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ivotTables/pivotTable1.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dam.ho/Desktop/Work/damcake-work-wiki/Raw/Finance/Unit Economic/Q425/"/>
    </mc:Choice>
  </mc:AlternateContent>
  <xr:revisionPtr revIDLastSave="0" documentId="13_ncr:101_{F2609B3C-6266-324E-BB43-389A0C987B85}" xr6:coauthVersionLast="47" xr6:coauthVersionMax="47" xr10:uidLastSave="{00000000-0000-0000-0000-000000000000}"/>
  <bookViews>
    <workbookView xWindow="1080" yWindow="1240" windowWidth="27640" windowHeight="16760" xr2:uid="{F47E4A12-343E-AE44-94A7-FF18CBCE4FFA}"/>
  </bookViews>
  <sheets>
    <sheet name="NOTE" sheetId="2" r:id="rId1"/>
    <sheet name="DATA" sheetId="3" r:id="rId2"/>
    <sheet name="PNL" sheetId="4" r:id="rId3"/>
    <sheet name="Early repayment" sheetId="5" r:id="rId4"/>
    <sheet name="RISK" sheetId="6" r:id="rId5"/>
    <sheet name="Leadsheet" sheetId="7" r:id="rId6"/>
    <sheet name="SAP_Speadsheet" sheetId="8" r:id="rId7"/>
    <sheet name="Saleplan&amp;PnL" sheetId="9" r:id="rId8"/>
    <sheet name="PnL_Speadsheet" sheetId="10" r:id="rId9"/>
    <sheet name="Sheet1" sheetId="1" r:id="rId10"/>
  </sheets>
  <externalReferences>
    <externalReference r:id="rId11"/>
    <externalReference r:id="rId12"/>
  </externalReferences>
  <definedNames>
    <definedName name="_____T3" localSheetId="0" hidden="1">{"'Sheet1'!$L$16"}</definedName>
    <definedName name="_____T3" localSheetId="2" hidden="1">{"'Sheet1'!$L$16"}</definedName>
    <definedName name="_____T3" hidden="1">{"'Sheet1'!$L$16"}</definedName>
    <definedName name="____T3" localSheetId="0" hidden="1">{"'Sheet1'!$L$16"}</definedName>
    <definedName name="____T3" localSheetId="2" hidden="1">{"'Sheet1'!$L$16"}</definedName>
    <definedName name="____T3" hidden="1">{"'Sheet1'!$L$16"}</definedName>
    <definedName name="___T3" localSheetId="0" hidden="1">{"'Sheet1'!$L$16"}</definedName>
    <definedName name="___T3" localSheetId="2"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localSheetId="2" hidden="1">#REF!</definedName>
    <definedName name="__123Graph_AGRAFIEK1" hidden="1">#REF!</definedName>
    <definedName name="__123Graph_AGRAFIEK11" localSheetId="2" hidden="1">#REF!</definedName>
    <definedName name="__123Graph_AGRAFIEK11" hidden="1">#REF!</definedName>
    <definedName name="__123Graph_AGRAFIEK12" localSheetId="2" hidden="1">#REF!</definedName>
    <definedName name="__123Graph_AGRAFIEK12" hidden="1">#REF!</definedName>
    <definedName name="__123Graph_AGRAFIEK13" localSheetId="2" hidden="1">#REF!</definedName>
    <definedName name="__123Graph_AGRAFIEK13" hidden="1">#REF!</definedName>
    <definedName name="__123Graph_AGRAFIEK14" localSheetId="2" hidden="1">#REF!</definedName>
    <definedName name="__123Graph_AGRAFIEK14" hidden="1">#REF!</definedName>
    <definedName name="__123Graph_AGRAFIEK15" localSheetId="2" hidden="1">#REF!</definedName>
    <definedName name="__123Graph_AGRAFIEK15" hidden="1">#REF!</definedName>
    <definedName name="__123Graph_AGRAFIEK16" localSheetId="2" hidden="1">#REF!</definedName>
    <definedName name="__123Graph_AGRAFIEK16" hidden="1">#REF!</definedName>
    <definedName name="__123Graph_AGRAFIEK17" localSheetId="2" hidden="1">#REF!</definedName>
    <definedName name="__123Graph_AGRAFIEK17" hidden="1">#REF!</definedName>
    <definedName name="__123Graph_AGRAFIEK18" localSheetId="2" hidden="1">#REF!</definedName>
    <definedName name="__123Graph_AGRAFIEK18" hidden="1">#REF!</definedName>
    <definedName name="__123Graph_AGRAFIEK19" localSheetId="2" hidden="1">#REF!</definedName>
    <definedName name="__123Graph_AGRAFIEK19" hidden="1">#REF!</definedName>
    <definedName name="__123Graph_AGRAFIEK2" localSheetId="2" hidden="1">#REF!</definedName>
    <definedName name="__123Graph_AGRAFIEK2" hidden="1">#REF!</definedName>
    <definedName name="__123Graph_AGRAFIEK20" localSheetId="2" hidden="1">#REF!</definedName>
    <definedName name="__123Graph_AGRAFIEK20" hidden="1">#REF!</definedName>
    <definedName name="__123Graph_AGRAFIEK3" localSheetId="2" hidden="1">#REF!</definedName>
    <definedName name="__123Graph_AGRAFIEK3" hidden="1">#REF!</definedName>
    <definedName name="__123Graph_AGRAFIEK4" localSheetId="2" hidden="1">#REF!</definedName>
    <definedName name="__123Graph_AGRAFIEK4" hidden="1">#REF!</definedName>
    <definedName name="__123Graph_AGRAFIEK5" localSheetId="2" hidden="1">#REF!</definedName>
    <definedName name="__123Graph_AGRAFIEK5" hidden="1">#REF!</definedName>
    <definedName name="__123Graph_AGRAFIEK6" localSheetId="2" hidden="1">#REF!</definedName>
    <definedName name="__123Graph_AGRAFIEK6" hidden="1">#REF!</definedName>
    <definedName name="__123Graph_AGRAFIEK7" localSheetId="2" hidden="1">#REF!</definedName>
    <definedName name="__123Graph_AGRAFIEK7" hidden="1">#REF!</definedName>
    <definedName name="__123Graph_AGRAFIEK8" localSheetId="2" hidden="1">#REF!</definedName>
    <definedName name="__123Graph_AGRAFIEK8" hidden="1">#REF!</definedName>
    <definedName name="__123Graph_AGRIEK131" localSheetId="2" hidden="1">#REF!</definedName>
    <definedName name="__123Graph_AGRIEK131" hidden="1">#REF!</definedName>
    <definedName name="__123Graph_B" localSheetId="0" hidden="1">#REF!</definedName>
    <definedName name="__123Graph_B" hidden="1">#REF!</definedName>
    <definedName name="__123Graph_BGRAFIEK1" localSheetId="2" hidden="1">#REF!</definedName>
    <definedName name="__123Graph_BGRAFIEK1" hidden="1">#REF!</definedName>
    <definedName name="__123Graph_BGRAFIEK11" localSheetId="2" hidden="1">#REF!</definedName>
    <definedName name="__123Graph_BGRAFIEK11" hidden="1">#REF!</definedName>
    <definedName name="__123Graph_BGRAFIEK12" localSheetId="2" hidden="1">#REF!</definedName>
    <definedName name="__123Graph_BGRAFIEK12" hidden="1">#REF!</definedName>
    <definedName name="__123Graph_BGRAFIEK13" localSheetId="2" hidden="1">#REF!</definedName>
    <definedName name="__123Graph_BGRAFIEK13" hidden="1">#REF!</definedName>
    <definedName name="__123Graph_BGRAFIEK14" localSheetId="2" hidden="1">#REF!</definedName>
    <definedName name="__123Graph_BGRAFIEK14" hidden="1">#REF!</definedName>
    <definedName name="__123Graph_BGRAFIEK16" localSheetId="2" hidden="1">#REF!</definedName>
    <definedName name="__123Graph_BGRAFIEK16" hidden="1">#REF!</definedName>
    <definedName name="__123Graph_BGRAFIEK17" localSheetId="2" hidden="1">#REF!</definedName>
    <definedName name="__123Graph_BGRAFIEK17" hidden="1">#REF!</definedName>
    <definedName name="__123Graph_BGRAFIEK18" localSheetId="2" hidden="1">#REF!</definedName>
    <definedName name="__123Graph_BGRAFIEK18" hidden="1">#REF!</definedName>
    <definedName name="__123Graph_BGRAFIEK2" localSheetId="2" hidden="1">#REF!</definedName>
    <definedName name="__123Graph_BGRAFIEK2" hidden="1">#REF!</definedName>
    <definedName name="__123Graph_BGRAFIEK20" localSheetId="2" hidden="1">#REF!</definedName>
    <definedName name="__123Graph_BGRAFIEK20" hidden="1">#REF!</definedName>
    <definedName name="__123Graph_BGRAFIEK3" localSheetId="2" hidden="1">#REF!</definedName>
    <definedName name="__123Graph_BGRAFIEK3" hidden="1">#REF!</definedName>
    <definedName name="__123Graph_BGRAFIEK4" localSheetId="2" hidden="1">#REF!</definedName>
    <definedName name="__123Graph_BGRAFIEK4" hidden="1">#REF!</definedName>
    <definedName name="__123Graph_BGRAFIEK5" localSheetId="2" hidden="1">#REF!</definedName>
    <definedName name="__123Graph_BGRAFIEK5" hidden="1">#REF!</definedName>
    <definedName name="__123Graph_BGRAFIEK6" localSheetId="2" hidden="1">#REF!</definedName>
    <definedName name="__123Graph_BGRAFIEK6" hidden="1">#REF!</definedName>
    <definedName name="__123Graph_BGRAFIEK7" localSheetId="2" hidden="1">#REF!</definedName>
    <definedName name="__123Graph_BGRAFIEK7" hidden="1">#REF!</definedName>
    <definedName name="__123Graph_BGRAFIEK8" localSheetId="2" hidden="1">#REF!</definedName>
    <definedName name="__123Graph_BGRAFIEK8" hidden="1">#REF!</definedName>
    <definedName name="__123Graph_CGRAFIEK1" localSheetId="2" hidden="1">#REF!</definedName>
    <definedName name="__123Graph_CGRAFIEK1" hidden="1">#REF!</definedName>
    <definedName name="__123Graph_CGRAFIEK16" localSheetId="2" hidden="1">#REF!</definedName>
    <definedName name="__123Graph_CGRAFIEK16" hidden="1">#REF!</definedName>
    <definedName name="__123Graph_CGRAFIEK2" localSheetId="2" hidden="1">#REF!</definedName>
    <definedName name="__123Graph_CGRAFIEK2" hidden="1">#REF!</definedName>
    <definedName name="__123Graph_CGRAFIEK20" localSheetId="2" hidden="1">#REF!</definedName>
    <definedName name="__123Graph_CGRAFIEK20" hidden="1">#REF!</definedName>
    <definedName name="__123Graph_CGRAFIEK3" localSheetId="2" hidden="1">#REF!</definedName>
    <definedName name="__123Graph_CGRAFIEK3" hidden="1">#REF!</definedName>
    <definedName name="__123Graph_CGRAFIEK4" localSheetId="2" hidden="1">#REF!</definedName>
    <definedName name="__123Graph_CGRAFIEK4" hidden="1">#REF!</definedName>
    <definedName name="__123Graph_CGRAFIEK7" localSheetId="2" hidden="1">#REF!</definedName>
    <definedName name="__123Graph_CGRAFIEK7" hidden="1">#REF!</definedName>
    <definedName name="__123Graph_CGRAFIEK8" localSheetId="2"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localSheetId="2" hidden="1">#REF!</definedName>
    <definedName name="__123Graph_XGRAFIEK11" hidden="1">#REF!</definedName>
    <definedName name="__123Graph_XGRAFIEK12" localSheetId="2" hidden="1">#REF!</definedName>
    <definedName name="__123Graph_XGRAFIEK12" hidden="1">#REF!</definedName>
    <definedName name="__123Graph_XGRAFIEK13" localSheetId="2" hidden="1">#REF!</definedName>
    <definedName name="__123Graph_XGRAFIEK13" hidden="1">#REF!</definedName>
    <definedName name="__123Graph_XGRAFIEK14" localSheetId="2" hidden="1">#REF!</definedName>
    <definedName name="__123Graph_XGRAFIEK14" hidden="1">#REF!</definedName>
    <definedName name="__123Graph_XGRAFIEK15" localSheetId="2" hidden="1">#REF!</definedName>
    <definedName name="__123Graph_XGRAFIEK15" hidden="1">#REF!</definedName>
    <definedName name="__123Graph_XGRAFIEK16" localSheetId="2" hidden="1">#REF!</definedName>
    <definedName name="__123Graph_XGRAFIEK16" hidden="1">#REF!</definedName>
    <definedName name="__123Graph_XGRAFIEK17" localSheetId="2" hidden="1">#REF!</definedName>
    <definedName name="__123Graph_XGRAFIEK17" hidden="1">#REF!</definedName>
    <definedName name="__123Graph_XGRAFIEK18" localSheetId="2" hidden="1">#REF!</definedName>
    <definedName name="__123Graph_XGRAFIEK18" hidden="1">#REF!</definedName>
    <definedName name="__123Graph_XGRAFIEK19" localSheetId="2" hidden="1">#REF!</definedName>
    <definedName name="__123Graph_XGRAFIEK19" hidden="1">#REF!</definedName>
    <definedName name="__123Graph_XGRAFIEK2" localSheetId="2" hidden="1">#REF!</definedName>
    <definedName name="__123Graph_XGRAFIEK2" hidden="1">#REF!</definedName>
    <definedName name="__123Graph_XGRAFIEK20" localSheetId="2" hidden="1">#REF!</definedName>
    <definedName name="__123Graph_XGRAFIEK20" hidden="1">#REF!</definedName>
    <definedName name="__123Graph_XGRAFIEK4" localSheetId="2" hidden="1">#REF!</definedName>
    <definedName name="__123Graph_XGRAFIEK4" hidden="1">#REF!</definedName>
    <definedName name="__123Graph_XGRAFIEK5" localSheetId="2" hidden="1">#REF!</definedName>
    <definedName name="__123Graph_XGRAFIEK5" hidden="1">#REF!</definedName>
    <definedName name="__123Graph_XGRAFIEK6" localSheetId="2" hidden="1">#REF!</definedName>
    <definedName name="__123Graph_XGRAFIEK6" hidden="1">#REF!</definedName>
    <definedName name="__123Graph_XGRAFIEK7" localSheetId="2" hidden="1">#REF!</definedName>
    <definedName name="__123Graph_XGRAFIEK7" hidden="1">#REF!</definedName>
    <definedName name="__123Graph_XGRAFIEK8" localSheetId="2"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localSheetId="2" hidden="1">{"'Sheet1'!$L$16"}</definedName>
    <definedName name="__f5" hidden="1">{"'Sheet1'!$L$16"}</definedName>
    <definedName name="__NSO2" localSheetId="0" hidden="1">{"'Sheet1'!$L$16"}</definedName>
    <definedName name="__NSO2" localSheetId="2" hidden="1">{"'Sheet1'!$L$16"}</definedName>
    <definedName name="__NSO2" hidden="1">{"'Sheet1'!$L$16"}</definedName>
    <definedName name="__S1" localSheetId="0">{"Book1"}</definedName>
    <definedName name="__S1" localSheetId="2">{"Book1"}</definedName>
    <definedName name="__S1">{"Book1"}</definedName>
    <definedName name="__T3" localSheetId="0" hidden="1">{"'Sheet1'!$L$16"}</definedName>
    <definedName name="__T3" localSheetId="2" hidden="1">{"'Sheet1'!$L$16"}</definedName>
    <definedName name="__T3" hidden="1">{"'Sheet1'!$L$16"}</definedName>
    <definedName name="__T5" localSheetId="0" hidden="1">{"'Sheet1'!$L$16"}</definedName>
    <definedName name="__T5" localSheetId="2"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2">{"'Sheet1'!$L$16"}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2"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2"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2"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2"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2"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localSheetId="2" hidden="1">PNL!$A$2:$AH$708</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localSheetId="2"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2">{"Book1"}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2" hidden="1">{"'Sheet1'!$L$16"}</definedName>
    <definedName name="_T5" hidden="1">{"'Sheet1'!$L$16"}</definedName>
    <definedName name="_Table1_In1" localSheetId="2" hidden="1">#REF!</definedName>
    <definedName name="_Table1_In1" hidden="1">#REF!</definedName>
    <definedName name="_Table1_Out" localSheetId="2" hidden="1">#REF!</definedName>
    <definedName name="_Table1_Out" hidden="1">#REF!</definedName>
    <definedName name="_Table2_In1" localSheetId="2" hidden="1">#REF!</definedName>
    <definedName name="_Table2_In1" hidden="1">#REF!</definedName>
    <definedName name="_Table2_In2" localSheetId="2" hidden="1">#REF!</definedName>
    <definedName name="_Table2_In2" hidden="1">#REF!</definedName>
    <definedName name="_Table2_Out" localSheetId="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 localSheetId="2">(PeriodInActual*(#REF!&gt;0))*PeriodInPlan</definedName>
    <definedName name="Actual">(PeriodInActual*(#REF!&gt;0))*PeriodInPlan</definedName>
    <definedName name="ActualBeyond" localSheetId="0">PeriodInActual*(#REF!&gt;0)</definedName>
    <definedName name="ActualBeyond" localSheetId="2">PeriodInActual*(#REF!&gt;0)</definedName>
    <definedName name="ActualBeyond">PeriodInActual*(#REF!&gt;0)</definedName>
    <definedName name="adcasdas" localSheetId="0" hidden="1">#REF!</definedName>
    <definedName name="adcasdas" hidden="1">#REF!</definedName>
    <definedName name="adf" localSheetId="0">#REF!</definedName>
    <definedName name="adf" localSheetId="2">#REF!</definedName>
    <definedName name="adf">#REF!</definedName>
    <definedName name="AdvIncQ12020" localSheetId="2">#REF!</definedName>
    <definedName name="AdvIncQ12020">#REF!</definedName>
    <definedName name="AdvIncQ12021" localSheetId="2">#REF!</definedName>
    <definedName name="AdvIncQ12021">#REF!</definedName>
    <definedName name="AdvIncQ12022" localSheetId="2">#REF!</definedName>
    <definedName name="AdvIncQ12022">#REF!</definedName>
    <definedName name="AdvIncQ12023" localSheetId="2">#REF!</definedName>
    <definedName name="AdvIncQ12023">#REF!</definedName>
    <definedName name="AdvIncQ12024" localSheetId="2">#REF!</definedName>
    <definedName name="AdvIncQ12024">#REF!</definedName>
    <definedName name="AdvIncQ22020" localSheetId="2">#REF!</definedName>
    <definedName name="AdvIncQ22020">#REF!</definedName>
    <definedName name="AdvIncQ22021" localSheetId="2">#REF!</definedName>
    <definedName name="AdvIncQ22021">#REF!</definedName>
    <definedName name="AdvIncQ22022" localSheetId="2">#REF!</definedName>
    <definedName name="AdvIncQ22022">#REF!</definedName>
    <definedName name="AdvIncQ22023" localSheetId="2">#REF!</definedName>
    <definedName name="AdvIncQ22023">#REF!</definedName>
    <definedName name="AdvIncQ22024" localSheetId="2">#REF!</definedName>
    <definedName name="AdvIncQ22024">#REF!</definedName>
    <definedName name="AdvIncQ32020" localSheetId="2">#REF!</definedName>
    <definedName name="AdvIncQ32020">#REF!</definedName>
    <definedName name="AdvIncQ32021" localSheetId="2">#REF!</definedName>
    <definedName name="AdvIncQ32021">#REF!</definedName>
    <definedName name="AdvIncQ32022" localSheetId="2">#REF!</definedName>
    <definedName name="AdvIncQ32022">#REF!</definedName>
    <definedName name="AdvIncQ32023" localSheetId="2">#REF!</definedName>
    <definedName name="AdvIncQ32023">#REF!</definedName>
    <definedName name="AdvIncQ32024" localSheetId="2">#REF!</definedName>
    <definedName name="AdvIncQ32024">#REF!</definedName>
    <definedName name="AdvIncQ42020" localSheetId="2">#REF!</definedName>
    <definedName name="AdvIncQ42020">#REF!</definedName>
    <definedName name="AdvIncQ42021" localSheetId="2">#REF!</definedName>
    <definedName name="AdvIncQ42021">#REF!</definedName>
    <definedName name="AdvIncQ42022" localSheetId="2">#REF!</definedName>
    <definedName name="AdvIncQ42022">#REF!</definedName>
    <definedName name="AdvIncQ42023" localSheetId="2">#REF!</definedName>
    <definedName name="AdvIncQ42023">#REF!</definedName>
    <definedName name="AdvIncQ42024" localSheetId="2">#REF!</definedName>
    <definedName name="AdvIncQ42024">#REF!</definedName>
    <definedName name="AdvPenRate2020" localSheetId="2">#REF!</definedName>
    <definedName name="AdvPenRate2020">#REF!</definedName>
    <definedName name="AdvPenRate2021" localSheetId="2">#REF!</definedName>
    <definedName name="AdvPenRate2021">#REF!</definedName>
    <definedName name="AdvPenRate2022" localSheetId="2">#REF!</definedName>
    <definedName name="AdvPenRate2022">#REF!</definedName>
    <definedName name="AdvPenRate2023" localSheetId="2">#REF!</definedName>
    <definedName name="AdvPenRate2023">#REF!</definedName>
    <definedName name="AdvPenRate2024" localSheetId="2">#REF!</definedName>
    <definedName name="AdvPenRate2024">#REF!</definedName>
    <definedName name="aldfj" localSheetId="0" hidden="1">{0,#N/A,FALSE,0;0,#N/A,FALSE,0;0,#N/A,FALSE,0;0,#N/A,FALSE,0;0,#N/A,FALSE,0;0,#N/A,FALSE,0;0,#N/A,FALSE,0}</definedName>
    <definedName name="aldfj" localSheetId="2" hidden="1">{0,#N/A,FALSE,0;0,#N/A,FALSE,0;0,#N/A,FALSE,0;0,#N/A,FALSE,0;0,#N/A,FALSE,0;0,#N/A,FALSE,0;0,#N/A,FALSE,0}</definedName>
    <definedName name="aldfj" hidden="1">{0,#N/A,FALSE,0;0,#N/A,FALSE,0;0,#N/A,FALSE,0;0,#N/A,FALSE,0;0,#N/A,FALSE,0;0,#N/A,FALSE,0;0,#N/A,FALSE,0}</definedName>
    <definedName name="AllReportList" localSheetId="2">#REF!</definedName>
    <definedName name="AllReportList">#REF!</definedName>
    <definedName name="Amount_act">#REF!</definedName>
    <definedName name="Amount_CF" localSheetId="2">#REF!</definedName>
    <definedName name="Amount_CF">#REF!</definedName>
    <definedName name="Amount_F">#REF!</definedName>
    <definedName name="Amount_KPI_act">#REF!</definedName>
    <definedName name="anscount" hidden="1">6</definedName>
    <definedName name="approval" localSheetId="0">#REF!</definedName>
    <definedName name="approval" localSheetId="2">#REF!</definedName>
    <definedName name="approval">#REF!</definedName>
    <definedName name="AS2DocOpenMode" hidden="1">"AS2DocumentEdit"</definedName>
    <definedName name="asd" localSheetId="0" hidden="1">{"'Sheet1'!$L$16"}</definedName>
    <definedName name="asd" localSheetId="2" hidden="1">{"'Sheet1'!$L$16"}</definedName>
    <definedName name="asd" hidden="1">{"'Sheet1'!$L$16"}</definedName>
    <definedName name="asdf"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2"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2" hidden="1">{0}</definedName>
    <definedName name="asdjfhop" hidden="1">{0}</definedName>
    <definedName name="Attribute_F">#REF!</definedName>
    <definedName name="B" localSheetId="2">#REF!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2"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 localSheetId="2">#REF!</definedName>
    <definedName name="BrMarQ12020">#REF!</definedName>
    <definedName name="BrMarQ12021" localSheetId="2">#REF!</definedName>
    <definedName name="BrMarQ12021">#REF!</definedName>
    <definedName name="BrMarQ12022" localSheetId="2">#REF!</definedName>
    <definedName name="BrMarQ12022">#REF!</definedName>
    <definedName name="BrMarQ12023" localSheetId="2">#REF!</definedName>
    <definedName name="BrMarQ12023">#REF!</definedName>
    <definedName name="BrMarQ12024" localSheetId="2">#REF!</definedName>
    <definedName name="BrMarQ12024">#REF!</definedName>
    <definedName name="BrMarQ22020" localSheetId="2">#REF!</definedName>
    <definedName name="BrMarQ22020">#REF!</definedName>
    <definedName name="BrMarQ22021" localSheetId="2">#REF!</definedName>
    <definedName name="BrMarQ22021">#REF!</definedName>
    <definedName name="BrMarQ22022" localSheetId="2">#REF!</definedName>
    <definedName name="BrMarQ22022">#REF!</definedName>
    <definedName name="BrMarQ22023" localSheetId="2">#REF!</definedName>
    <definedName name="BrMarQ22023">#REF!</definedName>
    <definedName name="BrMarQ22024" localSheetId="2">#REF!</definedName>
    <definedName name="BrMarQ22024">#REF!</definedName>
    <definedName name="BrMarQ32020" localSheetId="2">#REF!</definedName>
    <definedName name="BrMarQ32020">#REF!</definedName>
    <definedName name="BrMarQ32021" localSheetId="2">#REF!</definedName>
    <definedName name="BrMarQ32021">#REF!</definedName>
    <definedName name="BrMarQ32022" localSheetId="2">#REF!</definedName>
    <definedName name="BrMarQ32022">#REF!</definedName>
    <definedName name="BrMarQ32023" localSheetId="2">#REF!</definedName>
    <definedName name="BrMarQ32023">#REF!</definedName>
    <definedName name="BrMarQ32024" localSheetId="2">#REF!</definedName>
    <definedName name="BrMarQ32024">#REF!</definedName>
    <definedName name="BrMarQ42020" localSheetId="2">#REF!</definedName>
    <definedName name="BrMarQ42020">#REF!</definedName>
    <definedName name="BrMarQ42021" localSheetId="2">#REF!</definedName>
    <definedName name="BrMarQ42021">#REF!</definedName>
    <definedName name="BrMarQ42022" localSheetId="2">#REF!</definedName>
    <definedName name="BrMarQ42022">#REF!</definedName>
    <definedName name="BrMarQ42023" localSheetId="2">#REF!</definedName>
    <definedName name="BrMarQ42023">#REF!</definedName>
    <definedName name="BrMarQ42024" localSheetId="2">#REF!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 localSheetId="2">#REF!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 localSheetId="2">#REF!</definedName>
    <definedName name="CarFP2020">#REF!</definedName>
    <definedName name="CarLP2020" localSheetId="2">#REF!</definedName>
    <definedName name="CarLP2020">#REF!</definedName>
    <definedName name="CarLP2021" localSheetId="2">#REF!</definedName>
    <definedName name="CarLP2021">#REF!</definedName>
    <definedName name="CarLP2022" localSheetId="2">#REF!</definedName>
    <definedName name="CarLP2022">#REF!</definedName>
    <definedName name="CarLP2023" localSheetId="2">#REF!</definedName>
    <definedName name="CarLP2023">#REF!</definedName>
    <definedName name="CarLP2024" localSheetId="2">#REF!</definedName>
    <definedName name="CarLP2024">#REF!</definedName>
    <definedName name="CarPurQ12020" localSheetId="2">#REF!</definedName>
    <definedName name="CarPurQ12020">#REF!</definedName>
    <definedName name="CarPurQ12021" localSheetId="2">#REF!</definedName>
    <definedName name="CarPurQ12021">#REF!</definedName>
    <definedName name="CarPurQ12022" localSheetId="2">#REF!</definedName>
    <definedName name="CarPurQ12022">#REF!</definedName>
    <definedName name="CarPurQ12023" localSheetId="2">#REF!</definedName>
    <definedName name="CarPurQ12023">#REF!</definedName>
    <definedName name="CarPurQ12024" localSheetId="2">#REF!</definedName>
    <definedName name="CarPurQ12024">#REF!</definedName>
    <definedName name="CarPurQ22020" localSheetId="2">#REF!</definedName>
    <definedName name="CarPurQ22020">#REF!</definedName>
    <definedName name="CarPurQ22021" localSheetId="2">#REF!</definedName>
    <definedName name="CarPurQ22021">#REF!</definedName>
    <definedName name="CarPurQ22022" localSheetId="2">#REF!</definedName>
    <definedName name="CarPurQ22022">#REF!</definedName>
    <definedName name="CarPurQ22023" localSheetId="2">#REF!</definedName>
    <definedName name="CarPurQ22023">#REF!</definedName>
    <definedName name="CarPurQ22024" localSheetId="2">#REF!</definedName>
    <definedName name="CarPurQ22024">#REF!</definedName>
    <definedName name="CarPurQ32020" localSheetId="2">#REF!</definedName>
    <definedName name="CarPurQ32020">#REF!</definedName>
    <definedName name="CarPurQ32021" localSheetId="2">#REF!</definedName>
    <definedName name="CarPurQ32021">#REF!</definedName>
    <definedName name="CarPurQ32022" localSheetId="2">#REF!</definedName>
    <definedName name="CarPurQ32022">#REF!</definedName>
    <definedName name="CarPurQ32023" localSheetId="2">#REF!</definedName>
    <definedName name="CarPurQ32023">#REF!</definedName>
    <definedName name="CarPurQ32024" localSheetId="2">#REF!</definedName>
    <definedName name="CarPurQ32024">#REF!</definedName>
    <definedName name="CarPurQ42020" localSheetId="2">#REF!</definedName>
    <definedName name="CarPurQ42020">#REF!</definedName>
    <definedName name="CarPurQ42021" localSheetId="2">#REF!</definedName>
    <definedName name="CarPurQ42021">#REF!</definedName>
    <definedName name="CarPurQ42022" localSheetId="2">#REF!</definedName>
    <definedName name="CarPurQ42022">#REF!</definedName>
    <definedName name="CarPurQ42023" localSheetId="2">#REF!</definedName>
    <definedName name="CarPurQ42023">#REF!</definedName>
    <definedName name="CarPurQ42024" localSheetId="2">#REF!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 localSheetId="2">#REF!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 localSheetId="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 localSheetId="2">#REF!</definedName>
    <definedName name="ColumnList">#REF!</definedName>
    <definedName name="Confirmation">#REF!</definedName>
    <definedName name="conx" localSheetId="2">#REF!</definedName>
    <definedName name="conx">#REF!</definedName>
    <definedName name="Currency" localSheetId="2">#REF!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 localSheetId="2">#REF!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2"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 localSheetId="2">#REF!</definedName>
    <definedName name="DataFilter">#REF!</definedName>
    <definedName name="DataSort" localSheetId="2">#REF!</definedName>
    <definedName name="DataSort">#REF!</definedName>
    <definedName name="DataYTD" localSheetId="0">#REF!</definedName>
    <definedName name="DataYTD">#REF!</definedName>
    <definedName name="DateSelected" localSheetId="2">#REF!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localSheetId="2"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 localSheetId="2">#REF!</definedName>
    <definedName name="dealtype">#REF!</definedName>
    <definedName name="delete" localSheetId="0" hidden="1">{"IGRONIC2",#N/A,FALSE,"IG fixed RONIC";"IGRONIC1",#N/A,FALSE,"IG fixed RONIC"}</definedName>
    <definedName name="delete" localSheetId="2"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2" hidden="1">{"IGRONIC2",#N/A,FALSE,"IG fixed RONIC";"IGRONIC1",#N/A,FALSE,"IG fixed RONIC"}</definedName>
    <definedName name="delete2" hidden="1">{"IGRONIC2",#N/A,FALSE,"IG fixed RONIC";"IGRONIC1",#N/A,FALSE,"IG fixed RONIC"}</definedName>
    <definedName name="DepreciationTime" localSheetId="2">#REF!</definedName>
    <definedName name="DepreciationTime">#REF!</definedName>
    <definedName name="Description">#REF!</definedName>
    <definedName name="DeSPr">#REF!</definedName>
    <definedName name="DeSUM">#REF!</definedName>
    <definedName name="dfdf">#REF!</definedName>
    <definedName name="df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 localSheetId="2">#REF!</definedName>
    <definedName name="DGN">#REF!</definedName>
    <definedName name="dgnx" localSheetId="2">#REF!</definedName>
    <definedName name="dgnx">#REF!</definedName>
    <definedName name="dgsdg" localSheetId="0" hidden="1">{"'Sheet1'!$L$16"}</definedName>
    <definedName name="dgsdg" localSheetId="2" hidden="1">{"'Sheet1'!$L$16"}</definedName>
    <definedName name="dgsdg" hidden="1">{"'Sheet1'!$L$16"}</definedName>
    <definedName name="dgx" localSheetId="2">#REF!</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2"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2"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 localSheetId="2">#REF!</definedName>
    <definedName name="diengiai">#REF!</definedName>
    <definedName name="Discount" hidden="1">#REF!</definedName>
    <definedName name="display_area_2" hidden="1">#REF!</definedName>
    <definedName name="djdgjg" localSheetId="0" hidden="1">#REF!</definedName>
    <definedName name="djdgjg" hidden="1">#REF!</definedName>
    <definedName name="dmct" localSheetId="2">#REF!</definedName>
    <definedName name="dmct">#REF!</definedName>
    <definedName name="dmkhncc" localSheetId="2">#REF!</definedName>
    <definedName name="dmkhncc">#REF!</definedName>
    <definedName name="dmtk" localSheetId="2">#REF!</definedName>
    <definedName name="dmtk">#REF!</definedName>
    <definedName name="Document_array" localSheetId="0">{"Book1"}</definedName>
    <definedName name="Document_array" localSheetId="2">{"Book1"}</definedName>
    <definedName name="Document_array">{"Book1"}</definedName>
    <definedName name="DongTienDauTu">#REF!</definedName>
    <definedName name="DongTienKinhDoanh">#REF!</definedName>
    <definedName name="DongTienTaiChinh">#REF!</definedName>
    <definedName name="DownPayment" localSheetId="2">#REF!</definedName>
    <definedName name="DownPayment">#REF!</definedName>
    <definedName name="dsafd"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 localSheetId="2">#REF!</definedName>
    <definedName name="duckco">#REF!</definedName>
    <definedName name="duckno" localSheetId="2">#REF!</definedName>
    <definedName name="duckno">#REF!</definedName>
    <definedName name="dudkno" localSheetId="2">#REF!</definedName>
    <definedName name="dudkno">#REF!</definedName>
    <definedName name="dudkyco" localSheetId="2">#REF!</definedName>
    <definedName name="dudkyco">#REF!</definedName>
    <definedName name="DungCuChuyenMon">#REF!</definedName>
    <definedName name="DuPhong">#REF!</definedName>
    <definedName name="dvt" localSheetId="2">#REF!</definedName>
    <definedName name="dvt">#REF!</definedName>
    <definedName name="DVTNX" localSheetId="2">#REF!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 localSheetId="2">#REF!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 localSheetId="2">#REF!</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 localSheetId="2">#REF!</definedName>
    <definedName name="ExchangeRate">#REF!</definedName>
    <definedName name="expensetype" localSheetId="2">#REF!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 localSheetId="2">#REF!</definedName>
    <definedName name="front">#REF!</definedName>
    <definedName name="fsdsfafd" localSheetId="2"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2"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2"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localSheetId="2" hidden="1">{"'Sheet1'!$L$16"}</definedName>
    <definedName name="gdshd" hidden="1">{"'Sheet1'!$L$16"}</definedName>
    <definedName name="GDV" localSheetId="0">#REF!</definedName>
    <definedName name="GDV" localSheetId="2">#REF!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 localSheetId="2">#REF!</definedName>
    <definedName name="GoBack">#REF!</definedName>
    <definedName name="GracePeriod" localSheetId="2">#REF!</definedName>
    <definedName name="GracePeriod">#REF!</definedName>
    <definedName name="Gross_booking" localSheetId="2">#REF!</definedName>
    <definedName name="Gross_booking">#REF!</definedName>
    <definedName name="GrossRevPerMonth2020" localSheetId="2">#REF!</definedName>
    <definedName name="GrossRevPerMonth2020">#REF!</definedName>
    <definedName name="GrossRevPerMonth2021" localSheetId="2">#REF!</definedName>
    <definedName name="GrossRevPerMonth2021">#REF!</definedName>
    <definedName name="GrossRevPerMonth2022" localSheetId="2">#REF!</definedName>
    <definedName name="GrossRevPerMonth2022">#REF!</definedName>
    <definedName name="GrossRevPerMonth2023" localSheetId="2">#REF!</definedName>
    <definedName name="GrossRevPerMonth2023">#REF!</definedName>
    <definedName name="GrossRevPerMonth2024" localSheetId="2">#REF!</definedName>
    <definedName name="GrossRevPerMonth2024">#REF!</definedName>
    <definedName name="Group">#REF!</definedName>
    <definedName name="Group_CF" localSheetId="2">#REF!</definedName>
    <definedName name="Group_CF">#REF!</definedName>
    <definedName name="gtnhap" localSheetId="2">#REF!</definedName>
    <definedName name="gtnhap">#REF!</definedName>
    <definedName name="gtton" localSheetId="2">#REF!</definedName>
    <definedName name="gtton">#REF!</definedName>
    <definedName name="gtxuat" localSheetId="2">#REF!</definedName>
    <definedName name="gtxuat">#REF!</definedName>
    <definedName name="h" localSheetId="0" hidden="1">{"'Sheet1'!$L$16"}</definedName>
    <definedName name="h" localSheetId="2"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2"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 localSheetId="2">#REF!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localSheetId="2" hidden="1">{"'Sheet1'!$L$16"}</definedName>
    <definedName name="hjjkl" hidden="1">{"'Sheet1'!$L$16"}</definedName>
    <definedName name="Hoang" localSheetId="0">{"Book1"}</definedName>
    <definedName name="Hoang" localSheetId="2">{"Book1"}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2"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2">{"Book1"}</definedName>
    <definedName name="HTthang10">{"Book1"}</definedName>
    <definedName name="huy" localSheetId="0" hidden="1">{"'Sheet1'!$L$16"}</definedName>
    <definedName name="huy" localSheetId="2"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2"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 localSheetId="2">#REF!</definedName>
    <definedName name="InsCom2020">#REF!</definedName>
    <definedName name="InsCom2021" localSheetId="2">#REF!</definedName>
    <definedName name="InsCom2021">#REF!</definedName>
    <definedName name="InsCom2022" localSheetId="2">#REF!</definedName>
    <definedName name="InsCom2022">#REF!</definedName>
    <definedName name="InsCom2023" localSheetId="2">#REF!</definedName>
    <definedName name="InsCom2023">#REF!</definedName>
    <definedName name="InsCom2024" localSheetId="2">#REF!</definedName>
    <definedName name="InsCom2024">#REF!</definedName>
    <definedName name="InsComQ12020" localSheetId="2">#REF!</definedName>
    <definedName name="InsComQ12020">#REF!</definedName>
    <definedName name="InsComQ12021" localSheetId="2">#REF!</definedName>
    <definedName name="InsComQ12021">#REF!</definedName>
    <definedName name="InsComQ12022" localSheetId="2">#REF!</definedName>
    <definedName name="InsComQ12022">#REF!</definedName>
    <definedName name="InsComQ12023" localSheetId="2">#REF!</definedName>
    <definedName name="InsComQ12023">#REF!</definedName>
    <definedName name="InsComQ12024" localSheetId="2">#REF!</definedName>
    <definedName name="InsComQ12024">#REF!</definedName>
    <definedName name="InsComQ22020" localSheetId="2">#REF!</definedName>
    <definedName name="InsComQ22020">#REF!</definedName>
    <definedName name="InsComQ22021" localSheetId="2">#REF!</definedName>
    <definedName name="InsComQ22021">#REF!</definedName>
    <definedName name="InsComQ22022" localSheetId="2">#REF!</definedName>
    <definedName name="InsComQ22022">#REF!</definedName>
    <definedName name="InsComQ22023" localSheetId="2">#REF!</definedName>
    <definedName name="InsComQ22023">#REF!</definedName>
    <definedName name="InsComQ22024" localSheetId="2">#REF!</definedName>
    <definedName name="InsComQ22024">#REF!</definedName>
    <definedName name="InsComQ32020" localSheetId="2">#REF!</definedName>
    <definedName name="InsComQ32020">#REF!</definedName>
    <definedName name="InsComQ32021" localSheetId="2">#REF!</definedName>
    <definedName name="InsComQ32021">#REF!</definedName>
    <definedName name="InsComQ32022" localSheetId="2">#REF!</definedName>
    <definedName name="InsComQ32022">#REF!</definedName>
    <definedName name="InsComQ32023" localSheetId="2">#REF!</definedName>
    <definedName name="InsComQ32023">#REF!</definedName>
    <definedName name="InsComQ32024" localSheetId="2">#REF!</definedName>
    <definedName name="InsComQ32024">#REF!</definedName>
    <definedName name="InsComQ42020" localSheetId="2">#REF!</definedName>
    <definedName name="InsComQ42020">#REF!</definedName>
    <definedName name="InsComQ42021" localSheetId="2">#REF!</definedName>
    <definedName name="InsComQ42021">#REF!</definedName>
    <definedName name="InsComQ42022" localSheetId="2">#REF!</definedName>
    <definedName name="InsComQ42022">#REF!</definedName>
    <definedName name="InsComQ42023" localSheetId="2">#REF!</definedName>
    <definedName name="InsComQ42023">#REF!</definedName>
    <definedName name="InsComQ42024" localSheetId="2">#REF!</definedName>
    <definedName name="InsComQ42024">#REF!</definedName>
    <definedName name="InsPenRate2020" localSheetId="2">#REF!</definedName>
    <definedName name="InsPenRate2020">#REF!</definedName>
    <definedName name="InsPenRate2021" localSheetId="2">#REF!</definedName>
    <definedName name="InsPenRate2021">#REF!</definedName>
    <definedName name="InsPenRate2022" localSheetId="2">#REF!</definedName>
    <definedName name="InsPenRate2022">#REF!</definedName>
    <definedName name="InsPenRate2023" localSheetId="2">#REF!</definedName>
    <definedName name="InsPenRate2023">#REF!</definedName>
    <definedName name="InsPenRate2024" localSheetId="2">#REF!</definedName>
    <definedName name="InsPenRate2024">#REF!</definedName>
    <definedName name="InsValue2020" localSheetId="2">#REF!</definedName>
    <definedName name="InsValue2020">#REF!</definedName>
    <definedName name="InsValue2021" localSheetId="2">#REF!</definedName>
    <definedName name="InsValue2021">#REF!</definedName>
    <definedName name="InsValue2022" localSheetId="2">#REF!</definedName>
    <definedName name="InsValue2022">#REF!</definedName>
    <definedName name="InsValue2023" localSheetId="2">#REF!</definedName>
    <definedName name="InsValue2023">#REF!</definedName>
    <definedName name="InsValue2024" localSheetId="2">#REF!</definedName>
    <definedName name="InsValue2024">#REF!</definedName>
    <definedName name="InterestRateonLoan" localSheetId="2">#REF!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 localSheetId="2">#REF!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 localSheetId="2">#REF!</definedName>
    <definedName name="khlctt">#REF!</definedName>
    <definedName name="kho" localSheetId="2">#REF!</definedName>
    <definedName name="kho">#REF!</definedName>
    <definedName name="Khối" localSheetId="0" hidden="1">#REF!</definedName>
    <definedName name="Khối" hidden="1">#REF!</definedName>
    <definedName name="khu" localSheetId="0">#REF!</definedName>
    <definedName name="khu" localSheetId="2">#REF!</definedName>
    <definedName name="khu">#REF!</definedName>
    <definedName name="KilometersRun2020" localSheetId="2">#REF!</definedName>
    <definedName name="KilometersRun2020">#REF!</definedName>
    <definedName name="KilometersRun2021" localSheetId="2">#REF!</definedName>
    <definedName name="KilometersRun2021">#REF!</definedName>
    <definedName name="KilometersRun2022" localSheetId="2">#REF!</definedName>
    <definedName name="KilometersRun2022">#REF!</definedName>
    <definedName name="KilometersRun2023" localSheetId="2">#REF!</definedName>
    <definedName name="KilometersRun2023">#REF!</definedName>
    <definedName name="KilometersRun2024" localSheetId="2">#REF!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 localSheetId="2">#REF!</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 localSheetId="2">#REF!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 localSheetId="2">#REF!</definedName>
    <definedName name="loai">#REF!</definedName>
    <definedName name="LoaiKH" localSheetId="2">#REF!</definedName>
    <definedName name="LoaiKH">#REF!</definedName>
    <definedName name="loaikho" localSheetId="2">#REF!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 localSheetId="2">#REF!</definedName>
    <definedName name="luongcodinhtt">#REF!</definedName>
    <definedName name="luongtoithieuvung" localSheetId="0">#REF!</definedName>
    <definedName name="luongtoithieuvung" localSheetId="2">#REF!</definedName>
    <definedName name="luongtoithieuvung">#REF!</definedName>
    <definedName name="MaCoSo">#REF!</definedName>
    <definedName name="MaintExp2020" localSheetId="2">#REF!</definedName>
    <definedName name="MaintExp2020">#REF!</definedName>
    <definedName name="MaintExp2021" localSheetId="2">#REF!</definedName>
    <definedName name="MaintExp2021">#REF!</definedName>
    <definedName name="MaintExp2022" localSheetId="2">#REF!</definedName>
    <definedName name="MaintExp2022">#REF!</definedName>
    <definedName name="MaintExp2023" localSheetId="2">#REF!</definedName>
    <definedName name="MaintExp2023">#REF!</definedName>
    <definedName name="MaintExp2024" localSheetId="2">#REF!</definedName>
    <definedName name="MaintExp2024">#REF!</definedName>
    <definedName name="MaintExpQ12020" localSheetId="2">#REF!</definedName>
    <definedName name="MaintExpQ12020">#REF!</definedName>
    <definedName name="MaintExpQ12021" localSheetId="2">#REF!</definedName>
    <definedName name="MaintExpQ12021">#REF!</definedName>
    <definedName name="MaintExpQ12022" localSheetId="2">#REF!</definedName>
    <definedName name="MaintExpQ12022">#REF!</definedName>
    <definedName name="MaintExpQ12023" localSheetId="2">#REF!</definedName>
    <definedName name="MaintExpQ12023">#REF!</definedName>
    <definedName name="MaintExpQ12024" localSheetId="2">#REF!</definedName>
    <definedName name="MaintExpQ12024">#REF!</definedName>
    <definedName name="MaintExpQ22020" localSheetId="2">#REF!</definedName>
    <definedName name="MaintExpQ22020">#REF!</definedName>
    <definedName name="MaintExpQ22021" localSheetId="2">#REF!</definedName>
    <definedName name="MaintExpQ22021">#REF!</definedName>
    <definedName name="MaintExpQ22022" localSheetId="2">#REF!</definedName>
    <definedName name="MaintExpQ22022">#REF!</definedName>
    <definedName name="MaintExpQ22023" localSheetId="2">#REF!</definedName>
    <definedName name="MaintExpQ22023">#REF!</definedName>
    <definedName name="MaintExpQ22024" localSheetId="2">#REF!</definedName>
    <definedName name="MaintExpQ22024">#REF!</definedName>
    <definedName name="MaintExpQ32020" localSheetId="2">#REF!</definedName>
    <definedName name="MaintExpQ32020">#REF!</definedName>
    <definedName name="MaintExpQ32021" localSheetId="2">#REF!</definedName>
    <definedName name="MaintExpQ32021">#REF!</definedName>
    <definedName name="MaintExpQ32022" localSheetId="2">#REF!</definedName>
    <definedName name="MaintExpQ32022">#REF!</definedName>
    <definedName name="MaintExpQ32023" localSheetId="2">#REF!</definedName>
    <definedName name="MaintExpQ32023">#REF!</definedName>
    <definedName name="MaintExpQ32024" localSheetId="2">#REF!</definedName>
    <definedName name="MaintExpQ32024">#REF!</definedName>
    <definedName name="MaintExpQ42020" localSheetId="2">#REF!</definedName>
    <definedName name="MaintExpQ42020">#REF!</definedName>
    <definedName name="MaintExpQ42021" localSheetId="2">#REF!</definedName>
    <definedName name="MaintExpQ42021">#REF!</definedName>
    <definedName name="MaintExpQ42022" localSheetId="2">#REF!</definedName>
    <definedName name="MaintExpQ42022">#REF!</definedName>
    <definedName name="MaintExpQ42023" localSheetId="2">#REF!</definedName>
    <definedName name="MaintExpQ42023">#REF!</definedName>
    <definedName name="MaintExpQ42024" localSheetId="2">#REF!</definedName>
    <definedName name="MaintExpQ42024">#REF!</definedName>
    <definedName name="makhncc" localSheetId="2">#REF!</definedName>
    <definedName name="makhncc">#REF!</definedName>
    <definedName name="makhnccco" localSheetId="2">#REF!</definedName>
    <definedName name="makhnccco">#REF!</definedName>
    <definedName name="makhnccno" localSheetId="2">#REF!</definedName>
    <definedName name="makhnccno">#REF!</definedName>
    <definedName name="makho" localSheetId="2">#REF!</definedName>
    <definedName name="makho">#REF!</definedName>
    <definedName name="malctt" localSheetId="2">#REF!</definedName>
    <definedName name="malctt">#REF!</definedName>
    <definedName name="MaNhomKMCP">#REF!</definedName>
    <definedName name="MaNhomTien" localSheetId="2">#REF!</definedName>
    <definedName name="MaNhomTien">#REF!</definedName>
    <definedName name="MaNhomTK">#REF!</definedName>
    <definedName name="ManuCom2020" localSheetId="2">#REF!</definedName>
    <definedName name="ManuCom2020">#REF!</definedName>
    <definedName name="ManuCom2021" localSheetId="2">#REF!</definedName>
    <definedName name="ManuCom2021">#REF!</definedName>
    <definedName name="ManuCom2022" localSheetId="2">#REF!</definedName>
    <definedName name="ManuCom2022">#REF!</definedName>
    <definedName name="ManuCom2023" localSheetId="2">#REF!</definedName>
    <definedName name="ManuCom2023">#REF!</definedName>
    <definedName name="ManuCom2024" localSheetId="2">#REF!</definedName>
    <definedName name="ManuCom2024">#REF!</definedName>
    <definedName name="ManuComQ12020" localSheetId="2">#REF!</definedName>
    <definedName name="ManuComQ12020">#REF!</definedName>
    <definedName name="ManuComQ12021" localSheetId="2">#REF!</definedName>
    <definedName name="ManuComQ12021">#REF!</definedName>
    <definedName name="ManuComQ12022" localSheetId="2">#REF!</definedName>
    <definedName name="ManuComQ12022">#REF!</definedName>
    <definedName name="ManuComQ12023" localSheetId="2">#REF!</definedName>
    <definedName name="ManuComQ12023">#REF!</definedName>
    <definedName name="ManuComQ12024" localSheetId="2">#REF!</definedName>
    <definedName name="ManuComQ12024">#REF!</definedName>
    <definedName name="ManuComQ22020" localSheetId="2">#REF!</definedName>
    <definedName name="ManuComQ22020">#REF!</definedName>
    <definedName name="ManuComQ22021" localSheetId="2">#REF!</definedName>
    <definedName name="ManuComQ22021">#REF!</definedName>
    <definedName name="ManuComQ22022" localSheetId="2">#REF!</definedName>
    <definedName name="ManuComQ22022">#REF!</definedName>
    <definedName name="ManuComQ22023" localSheetId="2">#REF!</definedName>
    <definedName name="ManuComQ22023">#REF!</definedName>
    <definedName name="ManuComQ22024" localSheetId="2">#REF!</definedName>
    <definedName name="ManuComQ22024">#REF!</definedName>
    <definedName name="ManuComQ32020" localSheetId="2">#REF!</definedName>
    <definedName name="ManuComQ32020">#REF!</definedName>
    <definedName name="ManuComQ32021" localSheetId="2">#REF!</definedName>
    <definedName name="ManuComQ32021">#REF!</definedName>
    <definedName name="ManuComQ32022" localSheetId="2">#REF!</definedName>
    <definedName name="ManuComQ32022">#REF!</definedName>
    <definedName name="ManuComQ32023" localSheetId="2">#REF!</definedName>
    <definedName name="ManuComQ32023">#REF!</definedName>
    <definedName name="ManuComQ32024" localSheetId="2">#REF!</definedName>
    <definedName name="ManuComQ32024">#REF!</definedName>
    <definedName name="ManuComQ42020" localSheetId="2">#REF!</definedName>
    <definedName name="ManuComQ42020">#REF!</definedName>
    <definedName name="ManuComQ42021" localSheetId="2">#REF!</definedName>
    <definedName name="ManuComQ42021">#REF!</definedName>
    <definedName name="ManuComQ42022" localSheetId="2">#REF!</definedName>
    <definedName name="ManuComQ42022">#REF!</definedName>
    <definedName name="ManuComQ42023" localSheetId="2">#REF!</definedName>
    <definedName name="ManuComQ42023">#REF!</definedName>
    <definedName name="ManuComQ42024" localSheetId="2">#REF!</definedName>
    <definedName name="ManuComQ42024">#REF!</definedName>
    <definedName name="ManuPenRate2020" localSheetId="2">#REF!</definedName>
    <definedName name="ManuPenRate2020">#REF!</definedName>
    <definedName name="ManuPenRate2021" localSheetId="2">#REF!</definedName>
    <definedName name="ManuPenRate2021">#REF!</definedName>
    <definedName name="ManuPenRate2022" localSheetId="2">#REF!</definedName>
    <definedName name="ManuPenRate2022">#REF!</definedName>
    <definedName name="ManuPenRate2023" localSheetId="2">#REF!</definedName>
    <definedName name="ManuPenRate2023">#REF!</definedName>
    <definedName name="ManuPenRate2024" localSheetId="2">#REF!</definedName>
    <definedName name="ManuPenRate2024">#REF!</definedName>
    <definedName name="Marketing">#REF!</definedName>
    <definedName name="MaThang">#REF!</definedName>
    <definedName name="matrandcluong" localSheetId="0">#REF!</definedName>
    <definedName name="matrandcluong" localSheetId="2">#REF!</definedName>
    <definedName name="matrandcluong">#REF!</definedName>
    <definedName name="Mavtnx" localSheetId="2">#REF!</definedName>
    <definedName name="Mavtnx">#REF!</definedName>
    <definedName name="MEWarning" hidden="1">0</definedName>
    <definedName name="Million" localSheetId="2">#REF!</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 localSheetId="2">#REF!</definedName>
    <definedName name="Month">#REF!</definedName>
    <definedName name="Month_act">#REF!</definedName>
    <definedName name="Month_CF" localSheetId="2">#REF!</definedName>
    <definedName name="Month_CF">#REF!</definedName>
    <definedName name="Month_F">#REF!</definedName>
    <definedName name="Month_KPI_act">#REF!</definedName>
    <definedName name="month_KPI_bud">#REF!</definedName>
    <definedName name="month_staff" localSheetId="2">#REF!</definedName>
    <definedName name="month_staff">#REF!</definedName>
    <definedName name="Month_trip" localSheetId="2">#REF!</definedName>
    <definedName name="Month_trip">#REF!</definedName>
    <definedName name="MonthList" localSheetId="2">#REF!</definedName>
    <definedName name="MonthList">#REF!</definedName>
    <definedName name="MonthsPaid" localSheetId="0">#REF!</definedName>
    <definedName name="MonthsPaid" localSheetId="2">#REF!</definedName>
    <definedName name="MonthsPaid">#REF!</definedName>
    <definedName name="mst" localSheetId="2">#REF!</definedName>
    <definedName name="mst">#REF!</definedName>
    <definedName name="mucdich" localSheetId="0">#REF!</definedName>
    <definedName name="mucdich" localSheetId="2">#REF!</definedName>
    <definedName name="mucdich">#REF!</definedName>
    <definedName name="mvbr" localSheetId="2">#REF!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2">{"Book1"}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 localSheetId="2">#REF!</definedName>
    <definedName name="ngay1">#REF!</definedName>
    <definedName name="ngay2" localSheetId="2">#REF!</definedName>
    <definedName name="ngay2">#REF!</definedName>
    <definedName name="ngayct" localSheetId="2">#REF!</definedName>
    <definedName name="ngayct">#REF!</definedName>
    <definedName name="ngaygs" localSheetId="2">#REF!</definedName>
    <definedName name="ngaygs">#REF!</definedName>
    <definedName name="ngaynx" localSheetId="2">#REF!</definedName>
    <definedName name="ngaynx">#REF!</definedName>
    <definedName name="ngoclan210779" localSheetId="0">{"Book1"}</definedName>
    <definedName name="ngoclan210779" localSheetId="2">{"Book1"}</definedName>
    <definedName name="ngoclan210779">{"Book1"}</definedName>
    <definedName name="NhanSu">#REF!</definedName>
    <definedName name="nnn" localSheetId="0" hidden="1">#REF!</definedName>
    <definedName name="nnn" hidden="1">#REF!</definedName>
    <definedName name="nodky" localSheetId="2">#REF!</definedName>
    <definedName name="nodky">#REF!</definedName>
    <definedName name="noidungcongviec" localSheetId="0">#REF!</definedName>
    <definedName name="noidungcongviec" localSheetId="2">#REF!</definedName>
    <definedName name="noidungcongviec">#REF!</definedName>
    <definedName name="none" hidden="1">#REF!</definedName>
    <definedName name="nonx" localSheetId="2">#REF!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2" hidden="1">{#N/A,#N/A,FALSE,"Gesamt";#N/A,#N/A,FALSE,"Ree KG";#N/A,#N/A,FALSE,"Ree Inter";#N/A,#N/A,FALSE,"BTM";#N/A,#N/A,FALSE,"GmbH";#N/A,#N/A,FALSE,"Sonstige"}</definedName>
    <definedName name="oppp" hidden="1">{#N/A,#N/A,FALSE,"Gesamt";#N/A,#N/A,FALSE,"Ree KG";#N/A,#N/A,FALSE,"Ree Inter";#N/A,#N/A,FALSE,"BTM";#N/A,#N/A,FALSE,"GmbH";#N/A,#N/A,FALSE,"Sonstige"}</definedName>
    <definedName name="OpsExpQ12020" localSheetId="2">#REF!</definedName>
    <definedName name="OpsExpQ12020">#REF!</definedName>
    <definedName name="OpsExpQ12021" localSheetId="2">#REF!</definedName>
    <definedName name="OpsExpQ12021">#REF!</definedName>
    <definedName name="OpsExpQ12022" localSheetId="2">#REF!</definedName>
    <definedName name="OpsExpQ12022">#REF!</definedName>
    <definedName name="OpsExpQ12023" localSheetId="2">#REF!</definedName>
    <definedName name="OpsExpQ12023">#REF!</definedName>
    <definedName name="OpsExpQ12024" localSheetId="2">#REF!</definedName>
    <definedName name="OpsExpQ12024">#REF!</definedName>
    <definedName name="OpsExpQ22020" localSheetId="2">#REF!</definedName>
    <definedName name="OpsExpQ22020">#REF!</definedName>
    <definedName name="OpsExpQ22021" localSheetId="2">#REF!</definedName>
    <definedName name="OpsExpQ22021">#REF!</definedName>
    <definedName name="OpsExpQ22022" localSheetId="2">#REF!</definedName>
    <definedName name="OpsExpQ22022">#REF!</definedName>
    <definedName name="OpsExpQ22023" localSheetId="2">#REF!</definedName>
    <definedName name="OpsExpQ22023">#REF!</definedName>
    <definedName name="OpsExpQ22024" localSheetId="2">#REF!</definedName>
    <definedName name="OpsExpQ22024">#REF!</definedName>
    <definedName name="OpsExpQ32020" localSheetId="2">#REF!</definedName>
    <definedName name="OpsExpQ32020">#REF!</definedName>
    <definedName name="OpsExpQ32021" localSheetId="2">#REF!</definedName>
    <definedName name="OpsExpQ32021">#REF!</definedName>
    <definedName name="OpsExpQ32022" localSheetId="2">#REF!</definedName>
    <definedName name="OpsExpQ32022">#REF!</definedName>
    <definedName name="OpsExpQ32023" localSheetId="2">#REF!</definedName>
    <definedName name="OpsExpQ32023">#REF!</definedName>
    <definedName name="OpsExpQ32024" localSheetId="2">#REF!</definedName>
    <definedName name="OpsExpQ32024">#REF!</definedName>
    <definedName name="OpsExpQ42020" localSheetId="2">#REF!</definedName>
    <definedName name="OpsExpQ42020">#REF!</definedName>
    <definedName name="OpsExpQ42021" localSheetId="2">#REF!</definedName>
    <definedName name="OpsExpQ42021">#REF!</definedName>
    <definedName name="OpsExpQ42022" localSheetId="2">#REF!</definedName>
    <definedName name="OpsExpQ42022">#REF!</definedName>
    <definedName name="OpsExpQ42023" localSheetId="2">#REF!</definedName>
    <definedName name="OpsExpQ42023">#REF!</definedName>
    <definedName name="OpsExpQ42024" localSheetId="2">#REF!</definedName>
    <definedName name="OpsExpQ42024">#REF!</definedName>
    <definedName name="OrderTable" hidden="1">#REF!</definedName>
    <definedName name="P" localSheetId="2"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 localSheetId="2">PercentCompleteBeyond*PeriodInPlan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 localSheetId="2">#REF!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 localSheetId="0">PeriodInPlan*(#REF!&gt;0)</definedName>
    <definedName name="Plan" localSheetId="2">PeriodInPlan*(#REF!&gt;0)</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2" hidden="1">{"'Sheet1'!$L$16"}</definedName>
    <definedName name="PR" hidden="1">{"'Sheet1'!$L$16"}</definedName>
    <definedName name="prd" localSheetId="2" hidden="1">{"Netbacks",#N/A,FALSE,"Netbacks"}</definedName>
    <definedName name="prd" hidden="1">{"Netbacks",#N/A,FALSE,"Netbacks"}</definedName>
    <definedName name="prd." localSheetId="2"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7">'Saleplan&amp;PnL'!$A$1:$AO$33</definedName>
    <definedName name="_xlnm.Print_Area" localSheetId="6">SAP_Speadsheet!$A$1:$BF$215</definedName>
    <definedName name="ProdForm" hidden="1">#REF!</definedName>
    <definedName name="ProfitSharingRatio2020" localSheetId="2">#REF!</definedName>
    <definedName name="ProfitSharingRatio2020">#REF!</definedName>
    <definedName name="ProfitSharingRatio2021" localSheetId="2">#REF!</definedName>
    <definedName name="ProfitSharingRatio2021">#REF!</definedName>
    <definedName name="ProfitSharingRatio2022" localSheetId="2">#REF!</definedName>
    <definedName name="ProfitSharingRatio2022">#REF!</definedName>
    <definedName name="ProfitSharingRatio2023" localSheetId="2">#REF!</definedName>
    <definedName name="ProfitSharingRatio2023">#REF!</definedName>
    <definedName name="ProfitSharingRatio2024" localSheetId="2">#REF!</definedName>
    <definedName name="ProfitSharingRatio2024">#REF!</definedName>
    <definedName name="program" localSheetId="0">#REF!</definedName>
    <definedName name="program" localSheetId="2">#REF!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 localSheetId="2">#REF!</definedName>
    <definedName name="purpose">#REF!</definedName>
    <definedName name="q" localSheetId="0" hidden="1">#REF!</definedName>
    <definedName name="q" localSheetId="2" hidden="1">{"CSheet",#N/A,FALSE,"C";"SmCap",#N/A,FALSE,"VAL1";"GulfCoast",#N/A,FALSE,"VAL1";"nav",#N/A,FALSE,"NAV";"Summary",#N/A,FALSE,"NAV"}</definedName>
    <definedName name="q" hidden="1">#REF!</definedName>
    <definedName name="Q1FY2020" localSheetId="2">#REF!</definedName>
    <definedName name="Q1FY2020">#REF!</definedName>
    <definedName name="Q1FY2021" localSheetId="2">#REF!</definedName>
    <definedName name="Q1FY2021">#REF!</definedName>
    <definedName name="Q1FY2022" localSheetId="2">#REF!</definedName>
    <definedName name="Q1FY2022">#REF!</definedName>
    <definedName name="Q1FY2023" localSheetId="2">#REF!</definedName>
    <definedName name="Q1FY2023">#REF!</definedName>
    <definedName name="Q1FY2024" localSheetId="2">#REF!</definedName>
    <definedName name="Q1FY2024">#REF!</definedName>
    <definedName name="Q2FY2020" localSheetId="2">#REF!</definedName>
    <definedName name="Q2FY2020">#REF!</definedName>
    <definedName name="Q2FY2021" localSheetId="2">#REF!</definedName>
    <definedName name="Q2FY2021">#REF!</definedName>
    <definedName name="Q2FY2022" localSheetId="2">#REF!</definedName>
    <definedName name="Q2FY2022">#REF!</definedName>
    <definedName name="Q2FY2023" localSheetId="2">#REF!</definedName>
    <definedName name="Q2FY2023">#REF!</definedName>
    <definedName name="Q2FY2024" localSheetId="2">#REF!</definedName>
    <definedName name="Q2FY2024">#REF!</definedName>
    <definedName name="Q3FY2020" localSheetId="2">#REF!</definedName>
    <definedName name="Q3FY2020">#REF!</definedName>
    <definedName name="Q3FY2021" localSheetId="2">#REF!</definedName>
    <definedName name="Q3FY2021">#REF!</definedName>
    <definedName name="Q3FY2022" localSheetId="2">#REF!</definedName>
    <definedName name="Q3FY2022">#REF!</definedName>
    <definedName name="Q3FY2023" localSheetId="2">#REF!</definedName>
    <definedName name="Q3FY2023">#REF!</definedName>
    <definedName name="Q3FY2024" localSheetId="2">#REF!</definedName>
    <definedName name="Q3FY2024">#REF!</definedName>
    <definedName name="Q4FY2020" localSheetId="2">#REF!</definedName>
    <definedName name="Q4FY2020">#REF!</definedName>
    <definedName name="Q4FY2021" localSheetId="2">#REF!</definedName>
    <definedName name="Q4FY2021">#REF!</definedName>
    <definedName name="Q4FY2022" localSheetId="2">#REF!</definedName>
    <definedName name="Q4FY2022">#REF!</definedName>
    <definedName name="Q4FY2023" localSheetId="2">#REF!</definedName>
    <definedName name="Q4FY2023">#REF!</definedName>
    <definedName name="Q4FY2024" localSheetId="2">#REF!</definedName>
    <definedName name="Q4FY2024">#REF!</definedName>
    <definedName name="qiyf" localSheetId="0" hidden="1">{0}</definedName>
    <definedName name="qiyf" localSheetId="2"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 localSheetId="2">#REF!</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 localSheetId="2">#REF!</definedName>
    <definedName name="refuse">#REF!</definedName>
    <definedName name="Region" localSheetId="0">#REF!</definedName>
    <definedName name="Region" localSheetId="2">#REF!</definedName>
    <definedName name="Region">#REF!</definedName>
    <definedName name="Region_Business_Overview" localSheetId="0">#REF!</definedName>
    <definedName name="Region_Business_Overview">#REF!</definedName>
    <definedName name="RentQ12020" localSheetId="2">#REF!</definedName>
    <definedName name="RentQ12020">#REF!</definedName>
    <definedName name="RentQ12021" localSheetId="2">#REF!</definedName>
    <definedName name="RentQ12021">#REF!</definedName>
    <definedName name="RentQ12022" localSheetId="2">#REF!</definedName>
    <definedName name="RentQ12022">#REF!</definedName>
    <definedName name="RentQ12023" localSheetId="2">#REF!</definedName>
    <definedName name="RentQ12023">#REF!</definedName>
    <definedName name="RentQ12024" localSheetId="2">#REF!</definedName>
    <definedName name="RentQ12024">#REF!</definedName>
    <definedName name="RentQ22020" localSheetId="2">#REF!</definedName>
    <definedName name="RentQ22020">#REF!</definedName>
    <definedName name="RentQ22021" localSheetId="2">#REF!</definedName>
    <definedName name="RentQ22021">#REF!</definedName>
    <definedName name="RentQ22022" localSheetId="2">#REF!</definedName>
    <definedName name="RentQ22022">#REF!</definedName>
    <definedName name="RentQ22023" localSheetId="2">#REF!</definedName>
    <definedName name="RentQ22023">#REF!</definedName>
    <definedName name="RentQ22024" localSheetId="2">#REF!</definedName>
    <definedName name="RentQ22024">#REF!</definedName>
    <definedName name="RentQ32020" localSheetId="2">#REF!</definedName>
    <definedName name="RentQ32020">#REF!</definedName>
    <definedName name="RentQ32021" localSheetId="2">#REF!</definedName>
    <definedName name="RentQ32021">#REF!</definedName>
    <definedName name="RentQ32022" localSheetId="2">#REF!</definedName>
    <definedName name="RentQ32022">#REF!</definedName>
    <definedName name="RentQ32023" localSheetId="2">#REF!</definedName>
    <definedName name="RentQ32023">#REF!</definedName>
    <definedName name="RentQ32024" localSheetId="2">#REF!</definedName>
    <definedName name="RentQ32024">#REF!</definedName>
    <definedName name="RentQ42020" localSheetId="2">#REF!</definedName>
    <definedName name="RentQ42020">#REF!</definedName>
    <definedName name="RentQ42021" localSheetId="2">#REF!</definedName>
    <definedName name="RentQ42021">#REF!</definedName>
    <definedName name="RentQ42022" localSheetId="2">#REF!</definedName>
    <definedName name="RentQ42022">#REF!</definedName>
    <definedName name="RentQ42023" localSheetId="2">#REF!</definedName>
    <definedName name="RentQ42023">#REF!</definedName>
    <definedName name="RentQ42024" localSheetId="2">#REF!</definedName>
    <definedName name="RentQ42024">#REF!</definedName>
    <definedName name="RepairCost">#REF!</definedName>
    <definedName name="Report_act">#REF!</definedName>
    <definedName name="Report_F">#REF!</definedName>
    <definedName name="ReportList" localSheetId="2">#REF!</definedName>
    <definedName name="ReportList">#REF!</definedName>
    <definedName name="ReportType" localSheetId="2">#REF!</definedName>
    <definedName name="ReportType">#REF!</definedName>
    <definedName name="result" localSheetId="0">#REF!</definedName>
    <definedName name="result" localSheetId="2">#REF!</definedName>
    <definedName name="result">#REF!</definedName>
    <definedName name="RevShareRatioBeKIACo2020" localSheetId="2">#REF!</definedName>
    <definedName name="RevShareRatioBeKIACo2020">#REF!</definedName>
    <definedName name="RevShareRatioBeKIACo2021" localSheetId="2">#REF!</definedName>
    <definedName name="RevShareRatioBeKIACo2021">#REF!</definedName>
    <definedName name="RevShareRatioBeKIACo2022" localSheetId="2">#REF!</definedName>
    <definedName name="RevShareRatioBeKIACo2022">#REF!</definedName>
    <definedName name="RevShareRatioBeKIACo2023" localSheetId="2">#REF!</definedName>
    <definedName name="RevShareRatioBeKIACo2023">#REF!</definedName>
    <definedName name="RevShareRatioBeKIACo2024" localSheetId="2">#REF!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 localSheetId="2">#REF!</definedName>
    <definedName name="SalQ12020">#REF!</definedName>
    <definedName name="SalQ12021" localSheetId="2">#REF!</definedName>
    <definedName name="SalQ12021">#REF!</definedName>
    <definedName name="SalQ12022" localSheetId="2">#REF!</definedName>
    <definedName name="SalQ12022">#REF!</definedName>
    <definedName name="SalQ12023" localSheetId="2">#REF!</definedName>
    <definedName name="SalQ12023">#REF!</definedName>
    <definedName name="SalQ12024" localSheetId="2">#REF!</definedName>
    <definedName name="SalQ12024">#REF!</definedName>
    <definedName name="SalQ22020" localSheetId="2">#REF!</definedName>
    <definedName name="SalQ22020">#REF!</definedName>
    <definedName name="SalQ22021" localSheetId="2">#REF!</definedName>
    <definedName name="SalQ22021">#REF!</definedName>
    <definedName name="SalQ22022" localSheetId="2">#REF!</definedName>
    <definedName name="SalQ22022">#REF!</definedName>
    <definedName name="SalQ22023" localSheetId="2">#REF!</definedName>
    <definedName name="SalQ22023">#REF!</definedName>
    <definedName name="SalQ22024" localSheetId="2">#REF!</definedName>
    <definedName name="SalQ22024">#REF!</definedName>
    <definedName name="SalQ32020" localSheetId="2">#REF!</definedName>
    <definedName name="SalQ32020">#REF!</definedName>
    <definedName name="SalQ32021" localSheetId="2">#REF!</definedName>
    <definedName name="SalQ32021">#REF!</definedName>
    <definedName name="SalQ32022" localSheetId="2">#REF!</definedName>
    <definedName name="SalQ32022">#REF!</definedName>
    <definedName name="SalQ32023" localSheetId="2">#REF!</definedName>
    <definedName name="SalQ32023">#REF!</definedName>
    <definedName name="SalQ32024" localSheetId="2">#REF!</definedName>
    <definedName name="SalQ32024">#REF!</definedName>
    <definedName name="SalQ42020" localSheetId="2">#REF!</definedName>
    <definedName name="SalQ42020">#REF!</definedName>
    <definedName name="SalQ42021" localSheetId="2">#REF!</definedName>
    <definedName name="SalQ42021">#REF!</definedName>
    <definedName name="SalQ42022" localSheetId="2">#REF!</definedName>
    <definedName name="SalQ42022">#REF!</definedName>
    <definedName name="SalQ42023" localSheetId="2">#REF!</definedName>
    <definedName name="SalQ42023">#REF!</definedName>
    <definedName name="SalQ42024" localSheetId="2">#REF!</definedName>
    <definedName name="SalQ42024">#REF!</definedName>
    <definedName name="SalvageValue" localSheetId="2">#REF!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 localSheetId="2">#REF!</definedName>
    <definedName name="sda">#REF!</definedName>
    <definedName name="sdas" localSheetId="2"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2" hidden="1">{"'Sheet1'!$L$16"}</definedName>
    <definedName name="sdgfdh" hidden="1">{"'Sheet1'!$L$16"}</definedName>
    <definedName name="sdhrt" localSheetId="0" hidden="1">{"'Sheet1'!$L$16"}</definedName>
    <definedName name="sdhrt" localSheetId="2" hidden="1">{"'Sheet1'!$L$16"}</definedName>
    <definedName name="sdhrt" hidden="1">{"'Sheet1'!$L$16"}</definedName>
    <definedName name="sencount" hidden="1">2</definedName>
    <definedName name="seyrt" localSheetId="0" hidden="1">{"'Sheet1'!$L$16"}</definedName>
    <definedName name="seyrt" localSheetId="2" hidden="1">{"'Sheet1'!$L$16"}</definedName>
    <definedName name="seyrt" hidden="1">{"'Sheet1'!$L$16"}</definedName>
    <definedName name="sgfhg" localSheetId="0" hidden="1">{"'Sheet1'!$L$16"}</definedName>
    <definedName name="sgfhg" localSheetId="2"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2"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2"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 localSheetId="2">#REF!</definedName>
    <definedName name="SheetList">#REF!</definedName>
    <definedName name="shfg" localSheetId="0" hidden="1">{#N/A,#N/A,FALSE,"Chi tiÆt"}</definedName>
    <definedName name="shfg" localSheetId="2" hidden="1">{#N/A,#N/A,FALSE,"Chi tiÆt"}</definedName>
    <definedName name="shfg" hidden="1">{#N/A,#N/A,FALSE,"Chi tiÆt"}</definedName>
    <definedName name="shfgb" localSheetId="0" hidden="1">{"'Sheet1'!$L$16"}</definedName>
    <definedName name="shfgb" localSheetId="2" hidden="1">{"'Sheet1'!$L$16"}</definedName>
    <definedName name="shfgb" hidden="1">{"'Sheet1'!$L$16"}</definedName>
    <definedName name="shfgf" localSheetId="0" hidden="1">{"'Sheet1'!$L$16"}</definedName>
    <definedName name="shfgf" localSheetId="2"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 localSheetId="2">#REF!</definedName>
    <definedName name="SHTK">#REF!</definedName>
    <definedName name="shyt" localSheetId="0" hidden="1">{"'Sheet1'!$L$16"}</definedName>
    <definedName name="shyt" localSheetId="2" hidden="1">{"'Sheet1'!$L$16"}</definedName>
    <definedName name="shyt" hidden="1">{"'Sheet1'!$L$16"}</definedName>
    <definedName name="slnhap" localSheetId="2">#REF!</definedName>
    <definedName name="slnhap">#REF!</definedName>
    <definedName name="slton" localSheetId="2">#REF!</definedName>
    <definedName name="slton">#REF!</definedName>
    <definedName name="slxuat" localSheetId="2">#REF!</definedName>
    <definedName name="slxuat">#REF!</definedName>
    <definedName name="soct" localSheetId="2">#REF!</definedName>
    <definedName name="soct">#REF!</definedName>
    <definedName name="sohd" localSheetId="2">#REF!</definedName>
    <definedName name="sohd">#REF!</definedName>
    <definedName name="sophieunx" localSheetId="2">#REF!</definedName>
    <definedName name="sophieunx">#REF!</definedName>
    <definedName name="sotien" localSheetId="2">#REF!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2" hidden="1">{#N/A,#N/A,FALSE,"Gesamt";#N/A,#N/A,FALSE,"Ree KG";#N/A,#N/A,FALSE,"Ree Inter";#N/A,#N/A,FALSE,"BTM";#N/A,#N/A,FALSE,"GmbH";#N/A,#N/A,FALSE,"Sonstige"}</definedName>
    <definedName name="ssssss" hidden="1">{#N/A,#N/A,FALSE,"Gesamt";#N/A,#N/A,FALSE,"Ree KG";#N/A,#N/A,FALSE,"Ree Inter";#N/A,#N/A,FALSE,"BTM";#N/A,#N/A,FALSE,"GmbH";#N/A,#N/A,FALSE,"Sonstige"}</definedName>
    <definedName name="stt" localSheetId="2">#REF!</definedName>
    <definedName name="stt">#REF!</definedName>
    <definedName name="STTC">#REF!</definedName>
    <definedName name="sttnx" localSheetId="2">#REF!</definedName>
    <definedName name="sttnx">#REF!</definedName>
    <definedName name="sua" localSheetId="0" hidden="1">{"'Sheet1'!$L$16"}</definedName>
    <definedName name="sua" localSheetId="2"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2" hidden="1">{"'Sheet1'!$L$16"}</definedName>
    <definedName name="sygg" hidden="1">{"'Sheet1'!$L$16"}</definedName>
    <definedName name="TABLE" localSheetId="0">#REF!</definedName>
    <definedName name="TABLE">#REF!</definedName>
    <definedName name="table_total_apps" localSheetId="0">data_total_Apps</definedName>
    <definedName name="table_total_apps" localSheetId="2">data_total_Apps</definedName>
    <definedName name="table_total_apps">data_total_Apps</definedName>
    <definedName name="Task_Type">#REF!</definedName>
    <definedName name="tbl_ProdInfo" hidden="1">#REF!</definedName>
    <definedName name="TelQ12020" localSheetId="2">#REF!</definedName>
    <definedName name="TelQ12020">#REF!</definedName>
    <definedName name="TelQ12021" localSheetId="2">#REF!</definedName>
    <definedName name="TelQ12021">#REF!</definedName>
    <definedName name="TelQ12022" localSheetId="2">#REF!</definedName>
    <definedName name="TelQ12022">#REF!</definedName>
    <definedName name="TelQ12023" localSheetId="2">#REF!</definedName>
    <definedName name="TelQ12023">#REF!</definedName>
    <definedName name="TelQ12024" localSheetId="2">#REF!</definedName>
    <definedName name="TelQ12024">#REF!</definedName>
    <definedName name="TelQ22020" localSheetId="2">#REF!</definedName>
    <definedName name="TelQ22020">#REF!</definedName>
    <definedName name="TelQ22021" localSheetId="2">#REF!</definedName>
    <definedName name="TelQ22021">#REF!</definedName>
    <definedName name="TelQ22022" localSheetId="2">#REF!</definedName>
    <definedName name="TelQ22022">#REF!</definedName>
    <definedName name="TelQ22023" localSheetId="2">#REF!</definedName>
    <definedName name="TelQ22023">#REF!</definedName>
    <definedName name="TelQ22024" localSheetId="2">#REF!</definedName>
    <definedName name="TelQ22024">#REF!</definedName>
    <definedName name="TelQ32020" localSheetId="2">#REF!</definedName>
    <definedName name="TelQ32020">#REF!</definedName>
    <definedName name="TelQ32021" localSheetId="2">#REF!</definedName>
    <definedName name="TelQ32021">#REF!</definedName>
    <definedName name="TelQ32022" localSheetId="2">#REF!</definedName>
    <definedName name="TelQ32022">#REF!</definedName>
    <definedName name="TelQ32023" localSheetId="2">#REF!</definedName>
    <definedName name="TelQ32023">#REF!</definedName>
    <definedName name="TelQ32024" localSheetId="2">#REF!</definedName>
    <definedName name="TelQ32024">#REF!</definedName>
    <definedName name="TelQ42020" localSheetId="2">#REF!</definedName>
    <definedName name="TelQ42020">#REF!</definedName>
    <definedName name="TelQ42021" localSheetId="2">#REF!</definedName>
    <definedName name="TelQ42021">#REF!</definedName>
    <definedName name="TelQ42022" localSheetId="2">#REF!</definedName>
    <definedName name="TelQ42022">#REF!</definedName>
    <definedName name="TelQ42023" localSheetId="2">#REF!</definedName>
    <definedName name="TelQ42023">#REF!</definedName>
    <definedName name="TelQ42024" localSheetId="2">#REF!</definedName>
    <definedName name="TelQ42024">#REF!</definedName>
    <definedName name="tengs" localSheetId="2">#REF!</definedName>
    <definedName name="tengs">#REF!</definedName>
    <definedName name="Tenkhncc" localSheetId="2">#REF!</definedName>
    <definedName name="Tenkhncc">#REF!</definedName>
    <definedName name="tenkho" localSheetId="2">#REF!</definedName>
    <definedName name="tenkho">#REF!</definedName>
    <definedName name="tennx" localSheetId="2">#REF!</definedName>
    <definedName name="tennx">#REF!</definedName>
    <definedName name="TextRefCopyRangeCount" hidden="1">29</definedName>
    <definedName name="tha" localSheetId="0" hidden="1">{"'Sheet1'!$L$16"}</definedName>
    <definedName name="tha" localSheetId="2" hidden="1">{"'Sheet1'!$L$16"}</definedName>
    <definedName name="tha" hidden="1">{"'Sheet1'!$L$16"}</definedName>
    <definedName name="thang10" localSheetId="0">{"Book1"}</definedName>
    <definedName name="thang10" localSheetId="2">{"Book1"}</definedName>
    <definedName name="thang10">{"Book1"}</definedName>
    <definedName name="ThanhLapBanDau">#REF!</definedName>
    <definedName name="ThucPham">#REF!</definedName>
    <definedName name="ThuePhiLePhi">#REF!</definedName>
    <definedName name="tienthue" localSheetId="2">#REF!</definedName>
    <definedName name="tienthue">#REF!</definedName>
    <definedName name="tkco" localSheetId="2">#REF!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 localSheetId="2">#REF!</definedName>
    <definedName name="tkno">#REF!</definedName>
    <definedName name="tkscai" localSheetId="2">#REF!</definedName>
    <definedName name="tkscai">#REF!</definedName>
    <definedName name="TO_DATE" localSheetId="0">#REF!</definedName>
    <definedName name="TO_DATE">#REF!</definedName>
    <definedName name="ToolsQ12020" localSheetId="2">#REF!</definedName>
    <definedName name="ToolsQ12020">#REF!</definedName>
    <definedName name="ToolsQ12021" localSheetId="2">#REF!</definedName>
    <definedName name="ToolsQ12021">#REF!</definedName>
    <definedName name="ToolsQ12022" localSheetId="2">#REF!</definedName>
    <definedName name="ToolsQ12022">#REF!</definedName>
    <definedName name="ToolsQ12023" localSheetId="2">#REF!</definedName>
    <definedName name="ToolsQ12023">#REF!</definedName>
    <definedName name="ToolsQ12024" localSheetId="2">#REF!</definedName>
    <definedName name="ToolsQ12024">#REF!</definedName>
    <definedName name="ToolsQ22020" localSheetId="2">#REF!</definedName>
    <definedName name="ToolsQ22020">#REF!</definedName>
    <definedName name="ToolsQ22021" localSheetId="2">#REF!</definedName>
    <definedName name="ToolsQ22021">#REF!</definedName>
    <definedName name="ToolsQ22022" localSheetId="2">#REF!</definedName>
    <definedName name="ToolsQ22022">#REF!</definedName>
    <definedName name="ToolsQ22023" localSheetId="2">#REF!</definedName>
    <definedName name="ToolsQ22023">#REF!</definedName>
    <definedName name="ToolsQ22024" localSheetId="2">#REF!</definedName>
    <definedName name="ToolsQ22024">#REF!</definedName>
    <definedName name="ToolsQ32020" localSheetId="2">#REF!</definedName>
    <definedName name="ToolsQ32020">#REF!</definedName>
    <definedName name="ToolsQ32021" localSheetId="2">#REF!</definedName>
    <definedName name="ToolsQ32021">#REF!</definedName>
    <definedName name="ToolsQ32022" localSheetId="2">#REF!</definedName>
    <definedName name="ToolsQ32022">#REF!</definedName>
    <definedName name="ToolsQ32023" localSheetId="2">#REF!</definedName>
    <definedName name="ToolsQ32023">#REF!</definedName>
    <definedName name="ToolsQ32024" localSheetId="2">#REF!</definedName>
    <definedName name="ToolsQ32024">#REF!</definedName>
    <definedName name="ToolsQ42020" localSheetId="2">#REF!</definedName>
    <definedName name="ToolsQ42020">#REF!</definedName>
    <definedName name="ToolsQ42021" localSheetId="2">#REF!</definedName>
    <definedName name="ToolsQ42021">#REF!</definedName>
    <definedName name="ToolsQ42022" localSheetId="2">#REF!</definedName>
    <definedName name="ToolsQ42022">#REF!</definedName>
    <definedName name="ToolsQ42023" localSheetId="2">#REF!</definedName>
    <definedName name="ToolsQ42023">#REF!</definedName>
    <definedName name="ToolsQ42024" localSheetId="2">#REF!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 localSheetId="2">#REF!</definedName>
    <definedName name="TTD">#REF!</definedName>
    <definedName name="ttntt" localSheetId="0">#REF!</definedName>
    <definedName name="ttntt" localSheetId="2">#REF!</definedName>
    <definedName name="ttntt">#REF!</definedName>
    <definedName name="ttnx" localSheetId="2">#REF!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 localSheetId="2">#REF!</definedName>
    <definedName name="tuchoi">#REF!</definedName>
    <definedName name="tyledieuchinhluong" localSheetId="0">#REF!</definedName>
    <definedName name="tyledieuchinhluong" localSheetId="2">#REF!</definedName>
    <definedName name="tyledieuchinhluong">#REF!</definedName>
    <definedName name="Type_detail" localSheetId="2">#REF!</definedName>
    <definedName name="Type_detail">#REF!</definedName>
    <definedName name="u" localSheetId="2"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 localSheetId="2">#REF!</definedName>
    <definedName name="USDVND">#REF!</definedName>
    <definedName name="UtilRate2020" localSheetId="2">#REF!</definedName>
    <definedName name="UtilRate2020">#REF!</definedName>
    <definedName name="UtilRate2021" localSheetId="2">#REF!</definedName>
    <definedName name="UtilRate2021">#REF!</definedName>
    <definedName name="UtilRate2022" localSheetId="2">#REF!</definedName>
    <definedName name="UtilRate2022">#REF!</definedName>
    <definedName name="UtilRate2023" localSheetId="2">#REF!</definedName>
    <definedName name="UtilRate2023">#REF!</definedName>
    <definedName name="UtilRate2024" localSheetId="2">#REF!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 localSheetId="2">#REF!</definedName>
    <definedName name="VPBBaseSalaryScale">#REF!</definedName>
    <definedName name="VPBBaseSalaryScaleSale" localSheetId="0">#REF!</definedName>
    <definedName name="VPBBaseSalaryScaleSale" localSheetId="2">#REF!</definedName>
    <definedName name="VPBBaseSalaryScaleSale">#REF!</definedName>
    <definedName name="VPBdata" localSheetId="0">#REF!</definedName>
    <definedName name="VPBdata" localSheetId="2">#REF!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2"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localSheetId="2" hidden="1">#REF!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2"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2"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2" hidden="1">{#N/A,#N/A,FALSE,"Chi tiÆt"}</definedName>
    <definedName name="wrn.chi._.tiÆt." hidden="1">{#N/A,#N/A,FALSE,"Chi tiÆt"}</definedName>
    <definedName name="wrn.Corporate." localSheetId="2" hidden="1">{"Corporate",#N/A,FALSE,"Corporate Profile"}</definedName>
    <definedName name="wrn.Corporate." hidden="1">{"Corporate",#N/A,FALSE,"Corporate Profile"}</definedName>
    <definedName name="wrn.cotop." localSheetId="2" hidden="1">{"ReportTop",#N/A,FALSE,"report top"}</definedName>
    <definedName name="wrn.cotop." hidden="1">{"ReportTop",#N/A,FALSE,"report top"}</definedName>
    <definedName name="wrn.cotop2." localSheetId="2" hidden="1">{"ReportTop",#N/A,FALSE,"report top"}</definedName>
    <definedName name="wrn.cotop2." hidden="1">{"ReportTop",#N/A,FALSE,"report top"}</definedName>
    <definedName name="wrn.FCB." localSheetId="2" hidden="1">{"FCB_ALL",#N/A,FALSE,"FCB"}</definedName>
    <definedName name="wrn.FCB." hidden="1">{"FCB_ALL",#N/A,FALSE,"FCB"}</definedName>
    <definedName name="wrn.fcb2" localSheetId="2" hidden="1">{"FCB_ALL",#N/A,FALSE,"FCB"}</definedName>
    <definedName name="wrn.fcb2" hidden="1">{"FCB_ALL",#N/A,FALSE,"FCB"}</definedName>
    <definedName name="wrn.graph." localSheetId="2"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2"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2" hidden="1">{"IGRONIC2",#N/A,FALSE,"IG fixed RONIC";"IGRONIC1",#N/A,FALSE,"IG fixed RONIC"}</definedName>
    <definedName name="wrn.IGRONICbasicdata2" hidden="1">{"IGRONIC2",#N/A,FALSE,"IG fixed RONIC";"IGRONIC1",#N/A,FALSE,"IG fixed RONIC"}</definedName>
    <definedName name="wrn.IS._.Q96." localSheetId="2" hidden="1">{"IS Q96",#N/A,FALSE,"Income Statement"}</definedName>
    <definedName name="wrn.IS._.Q96." hidden="1">{"IS Q96",#N/A,FALSE,"Income Statement"}</definedName>
    <definedName name="wrn.IS._.Q97." localSheetId="2" hidden="1">{"IS Q97",#N/A,FALSE,"Income Statement"}</definedName>
    <definedName name="wrn.IS._.Q97." hidden="1">{"IS Q97",#N/A,FALSE,"Income Statement"}</definedName>
    <definedName name="wrn.IS._.Years." localSheetId="2" hidden="1">{"IS Years",#N/A,FALSE,"Income Statement"}</definedName>
    <definedName name="wrn.IS._.Years." hidden="1">{"IS Years",#N/A,FALSE,"Income Statement"}</definedName>
    <definedName name="wrn.JODM._.Graphs." localSheetId="2"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2"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2" hidden="1">{"Netbacks",#N/A,FALSE,"Netbacks"}</definedName>
    <definedName name="wrn.Netbacks." hidden="1">{"Netbacks",#N/A,FALSE,"Netbacks"}</definedName>
    <definedName name="wrn.PLX." localSheetId="2"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2"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2"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2"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2" hidden="1">{"inputs raw data",#N/A,TRUE,"INPUT"}</definedName>
    <definedName name="wrn.print._.raw._.data._.entry." hidden="1">{"inputs raw data",#N/A,TRUE,"INPUT"}</definedName>
    <definedName name="wrn.print._.summary._.sheets." localSheetId="2"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2"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2" hidden="1">{"FCB_ALL",#N/A,FALSE,"FCB";"GREY_ALL",#N/A,FALSE,"GREY"}</definedName>
    <definedName name="wrn.STAND_ALONE_BOTH." hidden="1">{"FCB_ALL",#N/A,FALSE,"FCB";"GREY_ALL",#N/A,FALSE,"GREY"}</definedName>
    <definedName name="wrn.Summary." localSheetId="2"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2"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2"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2"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2"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2"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 localSheetId="2">#REF!</definedName>
    <definedName name="YearList">#REF!</definedName>
    <definedName name="YTD1" localSheetId="0">#REF!</definedName>
    <definedName name="YTD1" localSheetId="2">#REF!</definedName>
    <definedName name="YTD1">#REF!</definedName>
    <definedName name="YTD10" localSheetId="0">#REF!</definedName>
    <definedName name="YTD10" localSheetId="2">#REF!</definedName>
    <definedName name="YTD10">#REF!</definedName>
    <definedName name="YTD11" localSheetId="0">#REF!</definedName>
    <definedName name="YTD11" localSheetId="2">#REF!</definedName>
    <definedName name="YTD11">#REF!</definedName>
    <definedName name="YTD12" localSheetId="0">#REF!</definedName>
    <definedName name="YTD12" localSheetId="2">#REF!</definedName>
    <definedName name="YTD12">#REF!</definedName>
    <definedName name="YTD2" localSheetId="0">#REF!</definedName>
    <definedName name="YTD2" localSheetId="2">#REF!</definedName>
    <definedName name="YTD2">#REF!</definedName>
    <definedName name="YTD3" localSheetId="0">#REF!</definedName>
    <definedName name="YTD3" localSheetId="2">#REF!</definedName>
    <definedName name="YTD3">#REF!</definedName>
    <definedName name="YTD4" localSheetId="0">#REF!</definedName>
    <definedName name="YTD4" localSheetId="2">#REF!</definedName>
    <definedName name="YTD4">#REF!</definedName>
    <definedName name="YTD5" localSheetId="0">#REF!</definedName>
    <definedName name="YTD5" localSheetId="2">#REF!</definedName>
    <definedName name="YTD5">#REF!</definedName>
    <definedName name="YTD6" localSheetId="0">#REF!</definedName>
    <definedName name="YTD6" localSheetId="2">#REF!</definedName>
    <definedName name="YTD6">#REF!</definedName>
    <definedName name="YTD7" localSheetId="0">#REF!</definedName>
    <definedName name="YTD7" localSheetId="2">#REF!</definedName>
    <definedName name="YTD7">#REF!</definedName>
    <definedName name="YTD8" localSheetId="0">#REF!</definedName>
    <definedName name="YTD8" localSheetId="2">#REF!</definedName>
    <definedName name="YTD8">#REF!</definedName>
    <definedName name="YTD9" localSheetId="0">#REF!</definedName>
    <definedName name="YTD9" localSheetId="2">#REF!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2" hidden="1">{"CSheet",#N/A,FALSE,"C";"SmCap",#N/A,FALSE,"VAL1";"GulfCoast",#N/A,FALSE,"VAL1";"nav",#N/A,FALSE,"NAV";"Summary",#N/A,FALSE,"NAV"}</definedName>
    <definedName name="z" hidden="1">{"CSheet",#N/A,FALSE,"C";"SmCap",#N/A,FALSE,"VAL1";"GulfCoast",#N/A,FALSE,"VAL1";"nav",#N/A,FALSE,"NAV";"Summary",#N/A,FALSE,"NAV"}</definedName>
    <definedName name="zdfgxzdfg" localSheetId="2" hidden="1">{"ReportTop",#N/A,FALSE,"report top"}</definedName>
    <definedName name="zdfgxzdfg" hidden="1">{"ReportTop",#N/A,FALSE,"report top"}</definedName>
    <definedName name="zone" localSheetId="0">#REF!</definedName>
    <definedName name="zone" localSheetId="2">#REF!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2"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2"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2"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2"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2"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12"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3" i="10" l="1"/>
  <c r="AJ113" i="10"/>
  <c r="AI113" i="10"/>
  <c r="AH113" i="10"/>
  <c r="AG113" i="10"/>
  <c r="AF113" i="10"/>
  <c r="AE113" i="10"/>
  <c r="AD113" i="10"/>
  <c r="AC113" i="10"/>
  <c r="AB113" i="10"/>
  <c r="AA113" i="10"/>
  <c r="Z113" i="10"/>
  <c r="Y113" i="10"/>
  <c r="X113" i="10"/>
  <c r="W113" i="10"/>
  <c r="V113" i="10"/>
  <c r="U113" i="10"/>
  <c r="T113" i="10"/>
  <c r="S113" i="10"/>
  <c r="R113" i="10"/>
  <c r="Q113" i="10"/>
  <c r="P113" i="10"/>
  <c r="O113" i="10"/>
  <c r="N113" i="10"/>
  <c r="M113" i="10"/>
  <c r="L113" i="10"/>
  <c r="K113" i="10"/>
  <c r="J113" i="10"/>
  <c r="I113" i="10"/>
  <c r="H113" i="10"/>
  <c r="G113" i="10"/>
  <c r="F113" i="10"/>
  <c r="E113" i="10"/>
  <c r="D113" i="10"/>
  <c r="C113" i="10"/>
  <c r="B113" i="10"/>
  <c r="AK112" i="10"/>
  <c r="AJ112" i="10"/>
  <c r="AI112" i="10"/>
  <c r="AH112" i="10"/>
  <c r="AG112" i="10"/>
  <c r="AF112" i="10"/>
  <c r="AE112" i="10"/>
  <c r="AD112" i="10"/>
  <c r="AC112" i="10"/>
  <c r="AB112" i="10"/>
  <c r="AA112" i="10"/>
  <c r="Z112" i="10"/>
  <c r="Y112" i="10"/>
  <c r="X112" i="10"/>
  <c r="W112" i="10"/>
  <c r="V112" i="10"/>
  <c r="U112" i="10"/>
  <c r="T112" i="10"/>
  <c r="S112" i="10"/>
  <c r="R112" i="10"/>
  <c r="Q112" i="10"/>
  <c r="P112" i="10"/>
  <c r="O112" i="10"/>
  <c r="N112" i="10"/>
  <c r="M112" i="10"/>
  <c r="L112" i="10"/>
  <c r="K112" i="10"/>
  <c r="J112" i="10"/>
  <c r="I112" i="10"/>
  <c r="H112" i="10"/>
  <c r="G112" i="10"/>
  <c r="F112" i="10"/>
  <c r="E112" i="10"/>
  <c r="D112" i="10"/>
  <c r="C112" i="10"/>
  <c r="B112" i="10"/>
  <c r="AK111" i="10"/>
  <c r="AJ111" i="10"/>
  <c r="AI111" i="10"/>
  <c r="AH111" i="10"/>
  <c r="AG111" i="10"/>
  <c r="AF111" i="10"/>
  <c r="AE111" i="10"/>
  <c r="AD111" i="10"/>
  <c r="AC111" i="10"/>
  <c r="AB111" i="10"/>
  <c r="AA111" i="10"/>
  <c r="Z111" i="10"/>
  <c r="Y111" i="10"/>
  <c r="X111" i="10"/>
  <c r="W111" i="10"/>
  <c r="V111" i="10"/>
  <c r="U111" i="10"/>
  <c r="T111" i="10"/>
  <c r="S111" i="10"/>
  <c r="R111" i="10"/>
  <c r="Q111" i="10"/>
  <c r="P111" i="10"/>
  <c r="O111" i="10"/>
  <c r="N111" i="10"/>
  <c r="M111" i="10"/>
  <c r="L111" i="10"/>
  <c r="K111" i="10"/>
  <c r="J111" i="10"/>
  <c r="I111" i="10"/>
  <c r="H111" i="10"/>
  <c r="G111" i="10"/>
  <c r="F111" i="10"/>
  <c r="E111" i="10"/>
  <c r="D111" i="10"/>
  <c r="C111" i="10"/>
  <c r="B111" i="10"/>
  <c r="AK110" i="10"/>
  <c r="AJ110" i="10"/>
  <c r="AI110" i="10"/>
  <c r="AH110" i="10"/>
  <c r="AG110" i="10"/>
  <c r="AF110" i="10"/>
  <c r="AE110" i="10"/>
  <c r="AD110" i="10"/>
  <c r="AC110" i="10"/>
  <c r="AB110" i="10"/>
  <c r="AA110" i="10"/>
  <c r="Z110" i="10"/>
  <c r="Y110" i="10"/>
  <c r="X110" i="10"/>
  <c r="W110" i="10"/>
  <c r="V110" i="10"/>
  <c r="U110" i="10"/>
  <c r="T110" i="10"/>
  <c r="S110" i="10"/>
  <c r="R110" i="10"/>
  <c r="Q110" i="10"/>
  <c r="P110" i="10"/>
  <c r="O110" i="10"/>
  <c r="N110" i="10"/>
  <c r="M110" i="10"/>
  <c r="L110" i="10"/>
  <c r="K110" i="10"/>
  <c r="J110" i="10"/>
  <c r="I110" i="10"/>
  <c r="H110" i="10"/>
  <c r="G110" i="10"/>
  <c r="F110" i="10"/>
  <c r="E110" i="10"/>
  <c r="D110" i="10"/>
  <c r="C110" i="10"/>
  <c r="B110" i="10"/>
  <c r="AK109" i="10"/>
  <c r="AJ109" i="10"/>
  <c r="AI109" i="10"/>
  <c r="AH109" i="10"/>
  <c r="AG109" i="10"/>
  <c r="AF109" i="10"/>
  <c r="AE109" i="10"/>
  <c r="AD109" i="10"/>
  <c r="AC109" i="10"/>
  <c r="AB109" i="10"/>
  <c r="AA109" i="10"/>
  <c r="Z109" i="10"/>
  <c r="Y109" i="10"/>
  <c r="X109" i="10"/>
  <c r="W109" i="10"/>
  <c r="V109" i="10"/>
  <c r="U109" i="10"/>
  <c r="T109" i="10"/>
  <c r="S109" i="10"/>
  <c r="R109" i="10"/>
  <c r="Q109" i="10"/>
  <c r="P109" i="10"/>
  <c r="O109" i="10"/>
  <c r="N109" i="10"/>
  <c r="M109" i="10"/>
  <c r="L109" i="10"/>
  <c r="K109" i="10"/>
  <c r="J109" i="10"/>
  <c r="I109" i="10"/>
  <c r="H109" i="10"/>
  <c r="G109" i="10"/>
  <c r="F109" i="10"/>
  <c r="E109" i="10"/>
  <c r="D109" i="10"/>
  <c r="C109" i="10"/>
  <c r="B109" i="10"/>
  <c r="AK108" i="10"/>
  <c r="AJ108" i="10"/>
  <c r="AI108" i="10"/>
  <c r="AH108" i="10"/>
  <c r="AG108" i="10"/>
  <c r="AF108" i="10"/>
  <c r="AE108" i="10"/>
  <c r="AD108" i="10"/>
  <c r="AC108" i="10"/>
  <c r="AB108" i="10"/>
  <c r="AA108" i="10"/>
  <c r="Z108" i="10"/>
  <c r="Y108" i="10"/>
  <c r="X108" i="10"/>
  <c r="W108" i="10"/>
  <c r="V108" i="10"/>
  <c r="U108" i="10"/>
  <c r="T108" i="10"/>
  <c r="S108" i="10"/>
  <c r="R108" i="10"/>
  <c r="Q108" i="10"/>
  <c r="P108" i="10"/>
  <c r="O108" i="10"/>
  <c r="N108" i="10"/>
  <c r="M108" i="10"/>
  <c r="L108" i="10"/>
  <c r="K108" i="10"/>
  <c r="J108" i="10"/>
  <c r="I108" i="10"/>
  <c r="H108" i="10"/>
  <c r="G108" i="10"/>
  <c r="F108" i="10"/>
  <c r="E108" i="10"/>
  <c r="D108" i="10"/>
  <c r="C108" i="10"/>
  <c r="B108" i="10"/>
  <c r="AK107" i="10"/>
  <c r="AJ107" i="10"/>
  <c r="AI107" i="10"/>
  <c r="AH107" i="10"/>
  <c r="AG107" i="10"/>
  <c r="AF107" i="10"/>
  <c r="AE107" i="10"/>
  <c r="AD107" i="10"/>
  <c r="AC107" i="10"/>
  <c r="AB107" i="10"/>
  <c r="AA107" i="10"/>
  <c r="Z107" i="10"/>
  <c r="Y107" i="10"/>
  <c r="X107" i="10"/>
  <c r="W107" i="10"/>
  <c r="V107" i="10"/>
  <c r="U107" i="10"/>
  <c r="T107" i="10"/>
  <c r="S107" i="10"/>
  <c r="R107" i="10"/>
  <c r="Q107" i="10"/>
  <c r="P107" i="10"/>
  <c r="O107" i="10"/>
  <c r="N107" i="10"/>
  <c r="M107" i="10"/>
  <c r="L107" i="10"/>
  <c r="K107" i="10"/>
  <c r="J107" i="10"/>
  <c r="I107" i="10"/>
  <c r="H107" i="10"/>
  <c r="G107" i="10"/>
  <c r="F107" i="10"/>
  <c r="E107" i="10"/>
  <c r="D107" i="10"/>
  <c r="C107" i="10"/>
  <c r="B107" i="10"/>
  <c r="AK106" i="10"/>
  <c r="AJ106" i="10"/>
  <c r="AI106" i="10"/>
  <c r="AH106" i="10"/>
  <c r="AG106" i="10"/>
  <c r="AF106" i="10"/>
  <c r="AE106" i="10"/>
  <c r="AD106" i="10"/>
  <c r="AC106" i="10"/>
  <c r="AB106" i="10"/>
  <c r="AA106" i="10"/>
  <c r="Z106" i="10"/>
  <c r="Y106" i="10"/>
  <c r="X106" i="10"/>
  <c r="W106" i="10"/>
  <c r="V106" i="10"/>
  <c r="U106" i="10"/>
  <c r="T106" i="10"/>
  <c r="S106" i="10"/>
  <c r="R106" i="10"/>
  <c r="Q106" i="10"/>
  <c r="P106" i="10"/>
  <c r="O106" i="10"/>
  <c r="N106" i="10"/>
  <c r="M106" i="10"/>
  <c r="L106" i="10"/>
  <c r="K106" i="10"/>
  <c r="J106" i="10"/>
  <c r="I106" i="10"/>
  <c r="H106" i="10"/>
  <c r="G106" i="10"/>
  <c r="F106" i="10"/>
  <c r="E106" i="10"/>
  <c r="D106" i="10"/>
  <c r="C106" i="10"/>
  <c r="B106" i="10"/>
  <c r="AK105" i="10"/>
  <c r="AJ105" i="10"/>
  <c r="AI105" i="10"/>
  <c r="AH105" i="10"/>
  <c r="AG105" i="10"/>
  <c r="AF105" i="10"/>
  <c r="AE105" i="10"/>
  <c r="AD105" i="10"/>
  <c r="AC105" i="10"/>
  <c r="AB105" i="10"/>
  <c r="AA105" i="10"/>
  <c r="Z105" i="10"/>
  <c r="Y105" i="10"/>
  <c r="X105" i="10"/>
  <c r="W105" i="10"/>
  <c r="V105" i="10"/>
  <c r="U105" i="10"/>
  <c r="T105" i="10"/>
  <c r="S105" i="10"/>
  <c r="R105" i="10"/>
  <c r="Q105" i="10"/>
  <c r="P105" i="10"/>
  <c r="O105" i="10"/>
  <c r="N105" i="10"/>
  <c r="M105" i="10"/>
  <c r="L105" i="10"/>
  <c r="K105" i="10"/>
  <c r="J105" i="10"/>
  <c r="I105" i="10"/>
  <c r="H105" i="10"/>
  <c r="G105" i="10"/>
  <c r="F105" i="10"/>
  <c r="E105" i="10"/>
  <c r="D105" i="10"/>
  <c r="C105" i="10"/>
  <c r="B105" i="10"/>
  <c r="AK104" i="10"/>
  <c r="AJ104" i="10"/>
  <c r="AI104" i="10"/>
  <c r="AH104" i="10"/>
  <c r="AG104" i="10"/>
  <c r="AF104" i="10"/>
  <c r="AE104" i="10"/>
  <c r="AD104" i="10"/>
  <c r="AC104" i="10"/>
  <c r="AB104" i="10"/>
  <c r="AA104" i="10"/>
  <c r="Z104" i="10"/>
  <c r="Y104" i="10"/>
  <c r="X104" i="10"/>
  <c r="W104" i="10"/>
  <c r="V104" i="10"/>
  <c r="U104" i="10"/>
  <c r="T104" i="10"/>
  <c r="S104" i="10"/>
  <c r="R104" i="10"/>
  <c r="Q104" i="10"/>
  <c r="P104" i="10"/>
  <c r="O104" i="10"/>
  <c r="N104" i="10"/>
  <c r="M104" i="10"/>
  <c r="L104" i="10"/>
  <c r="K104" i="10"/>
  <c r="J104" i="10"/>
  <c r="I104" i="10"/>
  <c r="H104" i="10"/>
  <c r="G104" i="10"/>
  <c r="F104" i="10"/>
  <c r="E104" i="10"/>
  <c r="D104" i="10"/>
  <c r="C104" i="10"/>
  <c r="B104" i="10"/>
  <c r="AK103" i="10"/>
  <c r="AJ103" i="10"/>
  <c r="AI103" i="10"/>
  <c r="AH103" i="10"/>
  <c r="AG103" i="10"/>
  <c r="AF103" i="10"/>
  <c r="AE103" i="10"/>
  <c r="AD103" i="10"/>
  <c r="AC103" i="10"/>
  <c r="AB103" i="10"/>
  <c r="AA103" i="10"/>
  <c r="Z103" i="10"/>
  <c r="Y103" i="10"/>
  <c r="X103" i="10"/>
  <c r="W103" i="10"/>
  <c r="V103" i="10"/>
  <c r="U103" i="10"/>
  <c r="T103" i="10"/>
  <c r="S103" i="10"/>
  <c r="R103" i="10"/>
  <c r="Q103" i="10"/>
  <c r="P103" i="10"/>
  <c r="O103" i="10"/>
  <c r="N103" i="10"/>
  <c r="M103" i="10"/>
  <c r="L103" i="10"/>
  <c r="K103" i="10"/>
  <c r="J103" i="10"/>
  <c r="I103" i="10"/>
  <c r="H103" i="10"/>
  <c r="G103" i="10"/>
  <c r="F103" i="10"/>
  <c r="E103" i="10"/>
  <c r="D103" i="10"/>
  <c r="C103" i="10"/>
  <c r="B103" i="10"/>
  <c r="AK102" i="10"/>
  <c r="AJ102" i="10"/>
  <c r="AI102" i="10"/>
  <c r="AH102" i="10"/>
  <c r="AG102" i="10"/>
  <c r="AF102" i="10"/>
  <c r="AE102" i="10"/>
  <c r="AD102" i="10"/>
  <c r="AC102" i="10"/>
  <c r="AB102" i="10"/>
  <c r="AA102" i="10"/>
  <c r="Z102" i="10"/>
  <c r="Y102" i="10"/>
  <c r="X102" i="10"/>
  <c r="W102" i="10"/>
  <c r="V102" i="10"/>
  <c r="U102" i="10"/>
  <c r="T102" i="10"/>
  <c r="S102" i="10"/>
  <c r="R102" i="10"/>
  <c r="Q102" i="10"/>
  <c r="P102" i="10"/>
  <c r="O102" i="10"/>
  <c r="N102" i="10"/>
  <c r="M102" i="10"/>
  <c r="L102" i="10"/>
  <c r="K102" i="10"/>
  <c r="J102" i="10"/>
  <c r="I102" i="10"/>
  <c r="H102" i="10"/>
  <c r="G102" i="10"/>
  <c r="F102" i="10"/>
  <c r="E102" i="10"/>
  <c r="D102" i="10"/>
  <c r="C102" i="10"/>
  <c r="B102" i="10"/>
  <c r="AK101" i="10"/>
  <c r="AJ101" i="10"/>
  <c r="AI101" i="10"/>
  <c r="AH101" i="10"/>
  <c r="AG101" i="10"/>
  <c r="AF101" i="10"/>
  <c r="AE101" i="10"/>
  <c r="AD101" i="10"/>
  <c r="AC101" i="10"/>
  <c r="AB101" i="10"/>
  <c r="AA101" i="10"/>
  <c r="Z101" i="10"/>
  <c r="Y101" i="10"/>
  <c r="X101" i="10"/>
  <c r="W101" i="10"/>
  <c r="V101" i="10"/>
  <c r="U101" i="10"/>
  <c r="T101" i="10"/>
  <c r="S101" i="10"/>
  <c r="R101" i="10"/>
  <c r="Q101" i="10"/>
  <c r="P101" i="10"/>
  <c r="O101" i="10"/>
  <c r="N101" i="10"/>
  <c r="M101" i="10"/>
  <c r="L101" i="10"/>
  <c r="K101" i="10"/>
  <c r="J101" i="10"/>
  <c r="I101" i="10"/>
  <c r="H101" i="10"/>
  <c r="G101" i="10"/>
  <c r="F101" i="10"/>
  <c r="E101" i="10"/>
  <c r="D101" i="10"/>
  <c r="C101" i="10"/>
  <c r="B101" i="10"/>
  <c r="AK100" i="10"/>
  <c r="AJ100" i="10"/>
  <c r="AI100" i="10"/>
  <c r="AH100" i="10"/>
  <c r="AG100" i="10"/>
  <c r="AF100" i="10"/>
  <c r="AE100" i="10"/>
  <c r="AD100" i="10"/>
  <c r="AC100" i="10"/>
  <c r="AB100" i="10"/>
  <c r="AA100" i="10"/>
  <c r="Z100" i="10"/>
  <c r="Y100" i="10"/>
  <c r="X100" i="10"/>
  <c r="W100" i="10"/>
  <c r="V100" i="10"/>
  <c r="U100" i="10"/>
  <c r="T100" i="10"/>
  <c r="S100" i="10"/>
  <c r="R100" i="10"/>
  <c r="Q100" i="10"/>
  <c r="P100" i="10"/>
  <c r="O100" i="10"/>
  <c r="N100" i="10"/>
  <c r="M100" i="10"/>
  <c r="L100" i="10"/>
  <c r="K100" i="10"/>
  <c r="J100" i="10"/>
  <c r="I100" i="10"/>
  <c r="H100" i="10"/>
  <c r="G100" i="10"/>
  <c r="F100" i="10"/>
  <c r="E100" i="10"/>
  <c r="D100" i="10"/>
  <c r="C100" i="10"/>
  <c r="B100" i="10"/>
  <c r="AK99" i="10"/>
  <c r="AJ99" i="10"/>
  <c r="AI99" i="10"/>
  <c r="AH99" i="10"/>
  <c r="AG99" i="10"/>
  <c r="AF99" i="10"/>
  <c r="AE99" i="10"/>
  <c r="AD99" i="10"/>
  <c r="AC99" i="10"/>
  <c r="AB99" i="10"/>
  <c r="AA99" i="10"/>
  <c r="Z99" i="10"/>
  <c r="Y99" i="10"/>
  <c r="X99" i="10"/>
  <c r="W99" i="10"/>
  <c r="V99" i="10"/>
  <c r="U99" i="10"/>
  <c r="T99" i="10"/>
  <c r="S99" i="10"/>
  <c r="R99" i="10"/>
  <c r="Q99" i="10"/>
  <c r="P99" i="10"/>
  <c r="O99" i="10"/>
  <c r="N99" i="10"/>
  <c r="M99" i="10"/>
  <c r="L99" i="10"/>
  <c r="K99" i="10"/>
  <c r="J99" i="10"/>
  <c r="I99" i="10"/>
  <c r="H99" i="10"/>
  <c r="G99" i="10"/>
  <c r="F99" i="10"/>
  <c r="E99" i="10"/>
  <c r="D99" i="10"/>
  <c r="C99" i="10"/>
  <c r="B99" i="10"/>
  <c r="AK98" i="10"/>
  <c r="AJ98" i="10"/>
  <c r="AI98" i="10"/>
  <c r="AH98" i="10"/>
  <c r="AG98" i="10"/>
  <c r="AF98" i="10"/>
  <c r="AE98" i="10"/>
  <c r="AD98" i="10"/>
  <c r="AC98" i="10"/>
  <c r="AB98" i="10"/>
  <c r="AA98" i="10"/>
  <c r="Z98" i="10"/>
  <c r="Y98" i="10"/>
  <c r="X98" i="10"/>
  <c r="W98" i="10"/>
  <c r="V98" i="10"/>
  <c r="U98" i="10"/>
  <c r="T98" i="10"/>
  <c r="S98" i="10"/>
  <c r="R98" i="10"/>
  <c r="Q98" i="10"/>
  <c r="P98" i="10"/>
  <c r="O98" i="10"/>
  <c r="N98" i="10"/>
  <c r="M98" i="10"/>
  <c r="L98" i="10"/>
  <c r="K98" i="10"/>
  <c r="J98" i="10"/>
  <c r="I98" i="10"/>
  <c r="H98" i="10"/>
  <c r="G98" i="10"/>
  <c r="F98" i="10"/>
  <c r="E98" i="10"/>
  <c r="D98" i="10"/>
  <c r="C98" i="10"/>
  <c r="B98" i="10"/>
  <c r="AK97" i="10"/>
  <c r="AJ97" i="10"/>
  <c r="AI97" i="10"/>
  <c r="AH97" i="10"/>
  <c r="AG97" i="10"/>
  <c r="AF97" i="10"/>
  <c r="AE97" i="10"/>
  <c r="AD97" i="10"/>
  <c r="AC97" i="10"/>
  <c r="AB97" i="10"/>
  <c r="AA97" i="10"/>
  <c r="Z97" i="10"/>
  <c r="Y97" i="10"/>
  <c r="X97" i="10"/>
  <c r="W97" i="10"/>
  <c r="V97" i="10"/>
  <c r="U97" i="10"/>
  <c r="T97" i="10"/>
  <c r="S97" i="10"/>
  <c r="R97" i="10"/>
  <c r="Q97" i="10"/>
  <c r="P97" i="10"/>
  <c r="O97" i="10"/>
  <c r="N97" i="10"/>
  <c r="M97" i="10"/>
  <c r="L97" i="10"/>
  <c r="K97" i="10"/>
  <c r="J97" i="10"/>
  <c r="I97" i="10"/>
  <c r="H97" i="10"/>
  <c r="G97" i="10"/>
  <c r="F97" i="10"/>
  <c r="E97" i="10"/>
  <c r="D97" i="10"/>
  <c r="C97" i="10"/>
  <c r="B97" i="10"/>
  <c r="AK96" i="10"/>
  <c r="AJ96" i="10"/>
  <c r="AI96" i="10"/>
  <c r="AH96" i="10"/>
  <c r="AG96" i="10"/>
  <c r="AF96" i="10"/>
  <c r="AE96" i="10"/>
  <c r="AD96" i="10"/>
  <c r="AC96" i="10"/>
  <c r="AB96" i="10"/>
  <c r="AA96" i="10"/>
  <c r="Z96" i="10"/>
  <c r="Y96" i="10"/>
  <c r="X96" i="10"/>
  <c r="W96" i="10"/>
  <c r="V96" i="10"/>
  <c r="U96" i="10"/>
  <c r="T96" i="10"/>
  <c r="S96" i="10"/>
  <c r="R96" i="10"/>
  <c r="Q96" i="10"/>
  <c r="P96" i="10"/>
  <c r="O96" i="10"/>
  <c r="N96" i="10"/>
  <c r="M96" i="10"/>
  <c r="L96" i="10"/>
  <c r="K96" i="10"/>
  <c r="J96" i="10"/>
  <c r="I96" i="10"/>
  <c r="H96" i="10"/>
  <c r="G96" i="10"/>
  <c r="F96" i="10"/>
  <c r="E96" i="10"/>
  <c r="D96" i="10"/>
  <c r="C96" i="10"/>
  <c r="B96" i="10"/>
  <c r="AK95" i="10"/>
  <c r="AJ95" i="10"/>
  <c r="AI95" i="10"/>
  <c r="AH95" i="10"/>
  <c r="AG95" i="10"/>
  <c r="AF95" i="10"/>
  <c r="AE95" i="10"/>
  <c r="AD95" i="10"/>
  <c r="AC95" i="10"/>
  <c r="AB95" i="10"/>
  <c r="AA95" i="10"/>
  <c r="Z95" i="10"/>
  <c r="Y95" i="10"/>
  <c r="X95" i="10"/>
  <c r="W95" i="10"/>
  <c r="V95" i="10"/>
  <c r="U95" i="10"/>
  <c r="T95" i="10"/>
  <c r="S95" i="10"/>
  <c r="R95" i="10"/>
  <c r="Q95" i="10"/>
  <c r="P95" i="10"/>
  <c r="O95" i="10"/>
  <c r="N95" i="10"/>
  <c r="M95" i="10"/>
  <c r="L95" i="10"/>
  <c r="K95" i="10"/>
  <c r="J95" i="10"/>
  <c r="I95" i="10"/>
  <c r="H95" i="10"/>
  <c r="G95" i="10"/>
  <c r="F95" i="10"/>
  <c r="E95" i="10"/>
  <c r="D95" i="10"/>
  <c r="C95" i="10"/>
  <c r="B95" i="10"/>
  <c r="AK94" i="10"/>
  <c r="AJ94" i="10"/>
  <c r="AI94" i="10"/>
  <c r="AH94" i="10"/>
  <c r="AG94" i="10"/>
  <c r="AF94" i="10"/>
  <c r="AE94" i="10"/>
  <c r="AD94" i="10"/>
  <c r="AC94" i="10"/>
  <c r="AB94" i="10"/>
  <c r="AA94" i="10"/>
  <c r="Z94" i="10"/>
  <c r="Y94" i="10"/>
  <c r="X94" i="10"/>
  <c r="W94" i="10"/>
  <c r="V94" i="10"/>
  <c r="U94" i="10"/>
  <c r="T94" i="10"/>
  <c r="S94" i="10"/>
  <c r="R94" i="10"/>
  <c r="Q94" i="10"/>
  <c r="P94" i="10"/>
  <c r="O94" i="10"/>
  <c r="N94" i="10"/>
  <c r="M94" i="10"/>
  <c r="L94" i="10"/>
  <c r="K94" i="10"/>
  <c r="J94" i="10"/>
  <c r="I94" i="10"/>
  <c r="H94" i="10"/>
  <c r="G94" i="10"/>
  <c r="F94" i="10"/>
  <c r="E94" i="10"/>
  <c r="D94" i="10"/>
  <c r="C94" i="10"/>
  <c r="B94" i="10"/>
  <c r="AK93" i="10"/>
  <c r="AJ93" i="10"/>
  <c r="AI93" i="10"/>
  <c r="AH93" i="10"/>
  <c r="AG93" i="10"/>
  <c r="AF93" i="10"/>
  <c r="AE93" i="10"/>
  <c r="AD93" i="10"/>
  <c r="AC93" i="10"/>
  <c r="AB93" i="10"/>
  <c r="AA93" i="10"/>
  <c r="Z93" i="10"/>
  <c r="Y93" i="10"/>
  <c r="X93" i="10"/>
  <c r="W93" i="10"/>
  <c r="V93" i="10"/>
  <c r="U93" i="10"/>
  <c r="T93" i="10"/>
  <c r="S93" i="10"/>
  <c r="R93" i="10"/>
  <c r="Q93" i="10"/>
  <c r="P93" i="10"/>
  <c r="O93" i="10"/>
  <c r="N93" i="10"/>
  <c r="M93" i="10"/>
  <c r="L93" i="10"/>
  <c r="K93" i="10"/>
  <c r="J93" i="10"/>
  <c r="I93" i="10"/>
  <c r="H93" i="10"/>
  <c r="G93" i="10"/>
  <c r="F93" i="10"/>
  <c r="E93" i="10"/>
  <c r="D93" i="10"/>
  <c r="C93" i="10"/>
  <c r="B93" i="10"/>
  <c r="AK92" i="10"/>
  <c r="AJ92" i="10"/>
  <c r="AI92" i="10"/>
  <c r="AH92" i="10"/>
  <c r="AG92" i="10"/>
  <c r="AF92" i="10"/>
  <c r="AE92" i="10"/>
  <c r="AD92" i="10"/>
  <c r="AC92" i="10"/>
  <c r="AB92" i="10"/>
  <c r="AA92" i="10"/>
  <c r="Z92" i="10"/>
  <c r="Y92" i="10"/>
  <c r="X92" i="10"/>
  <c r="W92" i="10"/>
  <c r="V92" i="10"/>
  <c r="U92" i="10"/>
  <c r="T92" i="10"/>
  <c r="S92" i="10"/>
  <c r="R92" i="10"/>
  <c r="Q92" i="10"/>
  <c r="P92" i="10"/>
  <c r="O92" i="10"/>
  <c r="N92" i="10"/>
  <c r="M92" i="10"/>
  <c r="L92" i="10"/>
  <c r="K92" i="10"/>
  <c r="J92" i="10"/>
  <c r="I92" i="10"/>
  <c r="H92" i="10"/>
  <c r="G92" i="10"/>
  <c r="F92" i="10"/>
  <c r="E92" i="10"/>
  <c r="D92" i="10"/>
  <c r="C92" i="10"/>
  <c r="B92" i="10"/>
  <c r="AK91" i="10"/>
  <c r="AJ91" i="10"/>
  <c r="AI91" i="10"/>
  <c r="AH91" i="10"/>
  <c r="AG91" i="10"/>
  <c r="AF91" i="10"/>
  <c r="AE91" i="10"/>
  <c r="AD91" i="10"/>
  <c r="AC91" i="10"/>
  <c r="AB91" i="10"/>
  <c r="AA91" i="10"/>
  <c r="Z91" i="10"/>
  <c r="Y91" i="10"/>
  <c r="X91" i="10"/>
  <c r="W91" i="10"/>
  <c r="V91" i="10"/>
  <c r="U91" i="10"/>
  <c r="T91" i="10"/>
  <c r="S91" i="10"/>
  <c r="R91" i="10"/>
  <c r="Q91" i="10"/>
  <c r="P91" i="10"/>
  <c r="O91" i="10"/>
  <c r="N91" i="10"/>
  <c r="M91" i="10"/>
  <c r="L91" i="10"/>
  <c r="K91" i="10"/>
  <c r="J91" i="10"/>
  <c r="I91" i="10"/>
  <c r="H91" i="10"/>
  <c r="G91" i="10"/>
  <c r="F91" i="10"/>
  <c r="E91" i="10"/>
  <c r="D91" i="10"/>
  <c r="C91" i="10"/>
  <c r="B91" i="10"/>
  <c r="AK90" i="10"/>
  <c r="AJ90" i="10"/>
  <c r="AI90" i="10"/>
  <c r="AH90" i="10"/>
  <c r="AG90" i="10"/>
  <c r="AF90" i="10"/>
  <c r="AE90" i="10"/>
  <c r="AD90" i="10"/>
  <c r="AC90" i="10"/>
  <c r="AB90" i="10"/>
  <c r="AA90" i="10"/>
  <c r="Z90" i="10"/>
  <c r="Y90" i="10"/>
  <c r="X90" i="10"/>
  <c r="W90" i="10"/>
  <c r="V90" i="10"/>
  <c r="U90" i="10"/>
  <c r="T90" i="10"/>
  <c r="S90" i="10"/>
  <c r="R90" i="10"/>
  <c r="Q90" i="10"/>
  <c r="P90" i="10"/>
  <c r="O90" i="10"/>
  <c r="N90" i="10"/>
  <c r="M90" i="10"/>
  <c r="L90" i="10"/>
  <c r="K90" i="10"/>
  <c r="J90" i="10"/>
  <c r="I90" i="10"/>
  <c r="H90" i="10"/>
  <c r="G90" i="10"/>
  <c r="F90" i="10"/>
  <c r="E90" i="10"/>
  <c r="D90" i="10"/>
  <c r="C90" i="10"/>
  <c r="B90" i="10"/>
  <c r="AJ89" i="10"/>
  <c r="AI89" i="10"/>
  <c r="AH89" i="10"/>
  <c r="AG89" i="10"/>
  <c r="AF89" i="10"/>
  <c r="AE89" i="10"/>
  <c r="AD89" i="10"/>
  <c r="AC89" i="10"/>
  <c r="AB89" i="10"/>
  <c r="AA89" i="10"/>
  <c r="Z89" i="10"/>
  <c r="Y89" i="10"/>
  <c r="X89" i="10"/>
  <c r="W89" i="10"/>
  <c r="V89" i="10"/>
  <c r="U89" i="10"/>
  <c r="T89" i="10"/>
  <c r="S89" i="10"/>
  <c r="R89" i="10"/>
  <c r="Q89" i="10"/>
  <c r="P89" i="10"/>
  <c r="O89" i="10"/>
  <c r="N89" i="10"/>
  <c r="M89" i="10"/>
  <c r="L89" i="10"/>
  <c r="K89" i="10"/>
  <c r="J89" i="10"/>
  <c r="I89" i="10"/>
  <c r="H89" i="10"/>
  <c r="G89" i="10"/>
  <c r="F89" i="10"/>
  <c r="E89" i="10"/>
  <c r="D89" i="10"/>
  <c r="C89" i="10"/>
  <c r="B89" i="10"/>
  <c r="AI88" i="10"/>
  <c r="AH88" i="10"/>
  <c r="AG88" i="10"/>
  <c r="AF88" i="10"/>
  <c r="AE88" i="10"/>
  <c r="AD88" i="10"/>
  <c r="AC88" i="10"/>
  <c r="AB88" i="10"/>
  <c r="AA88" i="10"/>
  <c r="Z88" i="10"/>
  <c r="Y88" i="10"/>
  <c r="X88" i="10"/>
  <c r="W88" i="10"/>
  <c r="V88" i="10"/>
  <c r="U88" i="10"/>
  <c r="T88" i="10"/>
  <c r="S88" i="10"/>
  <c r="R88" i="10"/>
  <c r="Q88" i="10"/>
  <c r="P88" i="10"/>
  <c r="O88" i="10"/>
  <c r="N88" i="10"/>
  <c r="M88" i="10"/>
  <c r="L88" i="10"/>
  <c r="K88" i="10"/>
  <c r="J88" i="10"/>
  <c r="I88" i="10"/>
  <c r="H88" i="10"/>
  <c r="G88" i="10"/>
  <c r="F88" i="10"/>
  <c r="E88" i="10"/>
  <c r="D88" i="10"/>
  <c r="C88" i="10"/>
  <c r="B88" i="10"/>
  <c r="AH87" i="10"/>
  <c r="AG87" i="10"/>
  <c r="AF87" i="10"/>
  <c r="AE87" i="10"/>
  <c r="AD87" i="10"/>
  <c r="AC87" i="10"/>
  <c r="AB87" i="10"/>
  <c r="AA87" i="10"/>
  <c r="Z87" i="10"/>
  <c r="Y87" i="10"/>
  <c r="X87" i="10"/>
  <c r="W87" i="10"/>
  <c r="V87" i="10"/>
  <c r="U87" i="10"/>
  <c r="T87" i="10"/>
  <c r="S87" i="10"/>
  <c r="R87" i="10"/>
  <c r="Q87" i="10"/>
  <c r="P87" i="10"/>
  <c r="O87" i="10"/>
  <c r="N87" i="10"/>
  <c r="M87" i="10"/>
  <c r="L87" i="10"/>
  <c r="K87" i="10"/>
  <c r="J87" i="10"/>
  <c r="I87" i="10"/>
  <c r="H87" i="10"/>
  <c r="G87" i="10"/>
  <c r="F87" i="10"/>
  <c r="E87" i="10"/>
  <c r="D87" i="10"/>
  <c r="C87" i="10"/>
  <c r="B87" i="10"/>
  <c r="AG86" i="10"/>
  <c r="AF86" i="10"/>
  <c r="AE86" i="10"/>
  <c r="AD86" i="10"/>
  <c r="AC86" i="10"/>
  <c r="AB86" i="10"/>
  <c r="AA86" i="10"/>
  <c r="Z86" i="10"/>
  <c r="Y86" i="10"/>
  <c r="X86" i="10"/>
  <c r="W86" i="10"/>
  <c r="V86" i="10"/>
  <c r="U86" i="10"/>
  <c r="T86" i="10"/>
  <c r="S86" i="10"/>
  <c r="R86" i="10"/>
  <c r="Q86" i="10"/>
  <c r="P86" i="10"/>
  <c r="O86" i="10"/>
  <c r="N86" i="10"/>
  <c r="M86" i="10"/>
  <c r="L86" i="10"/>
  <c r="K86" i="10"/>
  <c r="J86" i="10"/>
  <c r="I86" i="10"/>
  <c r="H86" i="10"/>
  <c r="G86" i="10"/>
  <c r="F86" i="10"/>
  <c r="E86" i="10"/>
  <c r="D86" i="10"/>
  <c r="C86" i="10"/>
  <c r="B86" i="10"/>
  <c r="AF85" i="10"/>
  <c r="AE85" i="10"/>
  <c r="AD85" i="10"/>
  <c r="AC85" i="10"/>
  <c r="AB85" i="10"/>
  <c r="AA85" i="10"/>
  <c r="Z85" i="10"/>
  <c r="Y85" i="10"/>
  <c r="X85" i="10"/>
  <c r="W85" i="10"/>
  <c r="V85" i="10"/>
  <c r="U85" i="10"/>
  <c r="T85" i="10"/>
  <c r="S85" i="10"/>
  <c r="R85" i="10"/>
  <c r="Q85" i="10"/>
  <c r="P85" i="10"/>
  <c r="O85" i="10"/>
  <c r="N85" i="10"/>
  <c r="M85" i="10"/>
  <c r="L85" i="10"/>
  <c r="K85" i="10"/>
  <c r="J85" i="10"/>
  <c r="I85" i="10"/>
  <c r="H85" i="10"/>
  <c r="G85" i="10"/>
  <c r="F85" i="10"/>
  <c r="E85" i="10"/>
  <c r="D85" i="10"/>
  <c r="C85" i="10"/>
  <c r="B85" i="10"/>
  <c r="AE84" i="10"/>
  <c r="AD84" i="10"/>
  <c r="AC84" i="10"/>
  <c r="AB84" i="10"/>
  <c r="AA84" i="10"/>
  <c r="Z84" i="10"/>
  <c r="Y84" i="10"/>
  <c r="X84" i="10"/>
  <c r="W84" i="10"/>
  <c r="V84" i="10"/>
  <c r="U84" i="10"/>
  <c r="T84" i="10"/>
  <c r="S84" i="10"/>
  <c r="R84" i="10"/>
  <c r="Q84" i="10"/>
  <c r="P84" i="10"/>
  <c r="O84" i="10"/>
  <c r="N84" i="10"/>
  <c r="M84" i="10"/>
  <c r="L84" i="10"/>
  <c r="K84" i="10"/>
  <c r="J84" i="10"/>
  <c r="I84" i="10"/>
  <c r="H84" i="10"/>
  <c r="G84" i="10"/>
  <c r="F84" i="10"/>
  <c r="E84" i="10"/>
  <c r="D84" i="10"/>
  <c r="C84" i="10"/>
  <c r="B84" i="10"/>
  <c r="AD83" i="10"/>
  <c r="AC83" i="10"/>
  <c r="AB83" i="10"/>
  <c r="AA83" i="10"/>
  <c r="Z83" i="10"/>
  <c r="Y83" i="10"/>
  <c r="X83" i="10"/>
  <c r="W83" i="10"/>
  <c r="V83" i="10"/>
  <c r="U83" i="10"/>
  <c r="T83" i="10"/>
  <c r="S83" i="10"/>
  <c r="R83" i="10"/>
  <c r="Q83" i="10"/>
  <c r="P83" i="10"/>
  <c r="O83" i="10"/>
  <c r="N83" i="10"/>
  <c r="M83" i="10"/>
  <c r="L83" i="10"/>
  <c r="K83" i="10"/>
  <c r="J83" i="10"/>
  <c r="I83" i="10"/>
  <c r="H83" i="10"/>
  <c r="G83" i="10"/>
  <c r="F83" i="10"/>
  <c r="E83" i="10"/>
  <c r="D83" i="10"/>
  <c r="C83" i="10"/>
  <c r="B83" i="10"/>
  <c r="AC82" i="10"/>
  <c r="AB82" i="10"/>
  <c r="AA82" i="10"/>
  <c r="Z82" i="10"/>
  <c r="Y82" i="10"/>
  <c r="X82" i="10"/>
  <c r="W82" i="10"/>
  <c r="V82" i="10"/>
  <c r="U82" i="10"/>
  <c r="T82" i="10"/>
  <c r="S82" i="10"/>
  <c r="R82" i="10"/>
  <c r="Q82" i="10"/>
  <c r="P82" i="10"/>
  <c r="O82" i="10"/>
  <c r="N82" i="10"/>
  <c r="M82" i="10"/>
  <c r="L82" i="10"/>
  <c r="K82" i="10"/>
  <c r="J82" i="10"/>
  <c r="I82" i="10"/>
  <c r="H82" i="10"/>
  <c r="G82" i="10"/>
  <c r="F82" i="10"/>
  <c r="E82" i="10"/>
  <c r="D82" i="10"/>
  <c r="C82" i="10"/>
  <c r="B82" i="10"/>
  <c r="AB81" i="10"/>
  <c r="AA81" i="10"/>
  <c r="Z81" i="10"/>
  <c r="Y81" i="10"/>
  <c r="X81" i="10"/>
  <c r="W81" i="10"/>
  <c r="V81" i="10"/>
  <c r="U81" i="10"/>
  <c r="T81" i="10"/>
  <c r="S81" i="10"/>
  <c r="R81" i="10"/>
  <c r="Q81" i="10"/>
  <c r="P81" i="10"/>
  <c r="O81" i="10"/>
  <c r="N81" i="10"/>
  <c r="M81" i="10"/>
  <c r="L81" i="10"/>
  <c r="K81" i="10"/>
  <c r="J81" i="10"/>
  <c r="I81" i="10"/>
  <c r="H81" i="10"/>
  <c r="G81" i="10"/>
  <c r="F81" i="10"/>
  <c r="E81" i="10"/>
  <c r="D81" i="10"/>
  <c r="C81" i="10"/>
  <c r="B81" i="10"/>
  <c r="AA80" i="10"/>
  <c r="Z80" i="10"/>
  <c r="Y80" i="10"/>
  <c r="X80" i="10"/>
  <c r="W80" i="10"/>
  <c r="V80" i="10"/>
  <c r="U80" i="10"/>
  <c r="T80" i="10"/>
  <c r="S80" i="10"/>
  <c r="R80" i="10"/>
  <c r="Q80" i="10"/>
  <c r="P80" i="10"/>
  <c r="O80" i="10"/>
  <c r="N80" i="10"/>
  <c r="M80" i="10"/>
  <c r="L80" i="10"/>
  <c r="K80" i="10"/>
  <c r="J80" i="10"/>
  <c r="I80" i="10"/>
  <c r="H80" i="10"/>
  <c r="G80" i="10"/>
  <c r="F80" i="10"/>
  <c r="E80" i="10"/>
  <c r="D80" i="10"/>
  <c r="C80" i="10"/>
  <c r="B80" i="10"/>
  <c r="Z79" i="10"/>
  <c r="Y79" i="10"/>
  <c r="X79" i="10"/>
  <c r="W79" i="10"/>
  <c r="V79" i="10"/>
  <c r="U79" i="10"/>
  <c r="T79" i="10"/>
  <c r="S79" i="10"/>
  <c r="R79" i="10"/>
  <c r="Q79" i="10"/>
  <c r="P79" i="10"/>
  <c r="O79" i="10"/>
  <c r="N79" i="10"/>
  <c r="M79" i="10"/>
  <c r="L79" i="10"/>
  <c r="K79" i="10"/>
  <c r="J79" i="10"/>
  <c r="I79" i="10"/>
  <c r="H79" i="10"/>
  <c r="G79" i="10"/>
  <c r="F79" i="10"/>
  <c r="E79" i="10"/>
  <c r="D79" i="10"/>
  <c r="C79" i="10"/>
  <c r="B79" i="10"/>
  <c r="Y78" i="10"/>
  <c r="X78" i="10"/>
  <c r="W78" i="10"/>
  <c r="V78" i="10"/>
  <c r="U78" i="10"/>
  <c r="T78" i="10"/>
  <c r="S78" i="10"/>
  <c r="R78" i="10"/>
  <c r="Q78" i="10"/>
  <c r="P78" i="10"/>
  <c r="O78" i="10"/>
  <c r="N78" i="10"/>
  <c r="M78" i="10"/>
  <c r="L78" i="10"/>
  <c r="K78" i="10"/>
  <c r="J78" i="10"/>
  <c r="I78" i="10"/>
  <c r="H78" i="10"/>
  <c r="G78" i="10"/>
  <c r="F78" i="10"/>
  <c r="E78" i="10"/>
  <c r="D78" i="10"/>
  <c r="C78" i="10"/>
  <c r="B78" i="10"/>
  <c r="X77" i="10"/>
  <c r="W77" i="10"/>
  <c r="V77" i="10"/>
  <c r="U77" i="10"/>
  <c r="T77" i="10"/>
  <c r="S77" i="10"/>
  <c r="R77" i="10"/>
  <c r="Q77" i="10"/>
  <c r="P77" i="10"/>
  <c r="O77" i="10"/>
  <c r="N77" i="10"/>
  <c r="M77" i="10"/>
  <c r="L77" i="10"/>
  <c r="K77" i="10"/>
  <c r="J77" i="10"/>
  <c r="I77" i="10"/>
  <c r="H77" i="10"/>
  <c r="G77" i="10"/>
  <c r="F77" i="10"/>
  <c r="E77" i="10"/>
  <c r="D77" i="10"/>
  <c r="C77" i="10"/>
  <c r="B77" i="10"/>
  <c r="W76" i="10"/>
  <c r="V76" i="10"/>
  <c r="U76" i="10"/>
  <c r="T76" i="10"/>
  <c r="S76" i="10"/>
  <c r="R76" i="10"/>
  <c r="Q76" i="10"/>
  <c r="P76" i="10"/>
  <c r="O76" i="10"/>
  <c r="N76" i="10"/>
  <c r="M76" i="10"/>
  <c r="L76" i="10"/>
  <c r="K76" i="10"/>
  <c r="J76" i="10"/>
  <c r="I76" i="10"/>
  <c r="H76" i="10"/>
  <c r="G76" i="10"/>
  <c r="F76" i="10"/>
  <c r="E76" i="10"/>
  <c r="D76" i="10"/>
  <c r="C76" i="10"/>
  <c r="B76" i="10"/>
  <c r="V75" i="10"/>
  <c r="U75" i="10"/>
  <c r="T75" i="10"/>
  <c r="S75" i="10"/>
  <c r="R75" i="10"/>
  <c r="Q75" i="10"/>
  <c r="P75" i="10"/>
  <c r="O75" i="10"/>
  <c r="N75" i="10"/>
  <c r="M75" i="10"/>
  <c r="L75" i="10"/>
  <c r="K75" i="10"/>
  <c r="J75" i="10"/>
  <c r="I75" i="10"/>
  <c r="H75" i="10"/>
  <c r="G75" i="10"/>
  <c r="F75" i="10"/>
  <c r="E75" i="10"/>
  <c r="D75" i="10"/>
  <c r="C75" i="10"/>
  <c r="B75" i="10"/>
  <c r="U74" i="10"/>
  <c r="T74" i="10"/>
  <c r="S74" i="10"/>
  <c r="R74" i="10"/>
  <c r="Q74" i="10"/>
  <c r="P74" i="10"/>
  <c r="O74" i="10"/>
  <c r="N74" i="10"/>
  <c r="M74" i="10"/>
  <c r="L74" i="10"/>
  <c r="K74" i="10"/>
  <c r="J74" i="10"/>
  <c r="I74" i="10"/>
  <c r="H74" i="10"/>
  <c r="G74" i="10"/>
  <c r="F74" i="10"/>
  <c r="E74" i="10"/>
  <c r="D74" i="10"/>
  <c r="C74" i="10"/>
  <c r="B74" i="10"/>
  <c r="T73" i="10"/>
  <c r="S73" i="10"/>
  <c r="R73" i="10"/>
  <c r="Q73" i="10"/>
  <c r="P73" i="10"/>
  <c r="O73" i="10"/>
  <c r="N73" i="10"/>
  <c r="M73" i="10"/>
  <c r="L73" i="10"/>
  <c r="K73" i="10"/>
  <c r="J73" i="10"/>
  <c r="I73" i="10"/>
  <c r="H73" i="10"/>
  <c r="G73" i="10"/>
  <c r="F73" i="10"/>
  <c r="E73" i="10"/>
  <c r="D73" i="10"/>
  <c r="C73" i="10"/>
  <c r="B73" i="10"/>
  <c r="S72" i="10"/>
  <c r="R72" i="10"/>
  <c r="Q72" i="10"/>
  <c r="P72" i="10"/>
  <c r="O72" i="10"/>
  <c r="N72" i="10"/>
  <c r="M72" i="10"/>
  <c r="L72" i="10"/>
  <c r="K72" i="10"/>
  <c r="J72" i="10"/>
  <c r="I72" i="10"/>
  <c r="H72" i="10"/>
  <c r="G72" i="10"/>
  <c r="F72" i="10"/>
  <c r="E72" i="10"/>
  <c r="D72" i="10"/>
  <c r="C72" i="10"/>
  <c r="B72" i="10"/>
  <c r="R71" i="10"/>
  <c r="Q71" i="10"/>
  <c r="P71" i="10"/>
  <c r="O71" i="10"/>
  <c r="N71" i="10"/>
  <c r="M71" i="10"/>
  <c r="L71" i="10"/>
  <c r="K71" i="10"/>
  <c r="J71" i="10"/>
  <c r="I71" i="10"/>
  <c r="H71" i="10"/>
  <c r="G71" i="10"/>
  <c r="F71" i="10"/>
  <c r="E71" i="10"/>
  <c r="D71" i="10"/>
  <c r="C71" i="10"/>
  <c r="B71" i="10"/>
  <c r="Q70" i="10"/>
  <c r="P70" i="10"/>
  <c r="O70" i="10"/>
  <c r="N70" i="10"/>
  <c r="M70" i="10"/>
  <c r="L70" i="10"/>
  <c r="K70" i="10"/>
  <c r="J70" i="10"/>
  <c r="I70" i="10"/>
  <c r="H70" i="10"/>
  <c r="G70" i="10"/>
  <c r="F70" i="10"/>
  <c r="E70" i="10"/>
  <c r="D70" i="10"/>
  <c r="C70" i="10"/>
  <c r="B70" i="10"/>
  <c r="P69" i="10"/>
  <c r="O69" i="10"/>
  <c r="N69" i="10"/>
  <c r="M69" i="10"/>
  <c r="L69" i="10"/>
  <c r="K69" i="10"/>
  <c r="J69" i="10"/>
  <c r="I69" i="10"/>
  <c r="H69" i="10"/>
  <c r="G69" i="10"/>
  <c r="F69" i="10"/>
  <c r="E69" i="10"/>
  <c r="D69" i="10"/>
  <c r="C69" i="10"/>
  <c r="B69" i="10"/>
  <c r="O68" i="10"/>
  <c r="N68" i="10"/>
  <c r="M68" i="10"/>
  <c r="L68" i="10"/>
  <c r="K68" i="10"/>
  <c r="J68" i="10"/>
  <c r="I68" i="10"/>
  <c r="H68" i="10"/>
  <c r="G68" i="10"/>
  <c r="F68" i="10"/>
  <c r="E68" i="10"/>
  <c r="D68" i="10"/>
  <c r="C68" i="10"/>
  <c r="B68" i="10"/>
  <c r="N67" i="10"/>
  <c r="M67" i="10"/>
  <c r="L67" i="10"/>
  <c r="K67" i="10"/>
  <c r="J67" i="10"/>
  <c r="I67" i="10"/>
  <c r="H67" i="10"/>
  <c r="G67" i="10"/>
  <c r="F67" i="10"/>
  <c r="E67" i="10"/>
  <c r="D67" i="10"/>
  <c r="C67" i="10"/>
  <c r="B67" i="10"/>
  <c r="M66" i="10"/>
  <c r="L66" i="10"/>
  <c r="K66" i="10"/>
  <c r="J66" i="10"/>
  <c r="I66" i="10"/>
  <c r="H66" i="10"/>
  <c r="G66" i="10"/>
  <c r="F66" i="10"/>
  <c r="E66" i="10"/>
  <c r="D66" i="10"/>
  <c r="C66" i="10"/>
  <c r="B66" i="10"/>
  <c r="L65" i="10"/>
  <c r="K65" i="10"/>
  <c r="J65" i="10"/>
  <c r="I65" i="10"/>
  <c r="H65" i="10"/>
  <c r="G65" i="10"/>
  <c r="F65" i="10"/>
  <c r="E65" i="10"/>
  <c r="D65" i="10"/>
  <c r="C65" i="10"/>
  <c r="B65" i="10"/>
  <c r="K64" i="10"/>
  <c r="J64" i="10"/>
  <c r="I64" i="10"/>
  <c r="H64" i="10"/>
  <c r="G64" i="10"/>
  <c r="F64" i="10"/>
  <c r="E64" i="10"/>
  <c r="D64" i="10"/>
  <c r="C64" i="10"/>
  <c r="B64" i="10"/>
  <c r="J63" i="10"/>
  <c r="I63" i="10"/>
  <c r="H63" i="10"/>
  <c r="G63" i="10"/>
  <c r="F63" i="10"/>
  <c r="E63" i="10"/>
  <c r="D63" i="10"/>
  <c r="C63" i="10"/>
  <c r="B63" i="10"/>
  <c r="I62" i="10"/>
  <c r="H62" i="10"/>
  <c r="G62" i="10"/>
  <c r="F62" i="10"/>
  <c r="E62" i="10"/>
  <c r="D62" i="10"/>
  <c r="C62" i="10"/>
  <c r="B62" i="10"/>
  <c r="H61" i="10"/>
  <c r="G61" i="10"/>
  <c r="F61" i="10"/>
  <c r="E61" i="10"/>
  <c r="D61" i="10"/>
  <c r="C61" i="10"/>
  <c r="B61" i="10"/>
  <c r="G60" i="10"/>
  <c r="F60" i="10"/>
  <c r="E60" i="10"/>
  <c r="D60" i="10"/>
  <c r="C60" i="10"/>
  <c r="B60" i="10"/>
  <c r="F59" i="10"/>
  <c r="E59" i="10"/>
  <c r="D59" i="10"/>
  <c r="C59" i="10"/>
  <c r="B59" i="10"/>
  <c r="E58" i="10"/>
  <c r="D58" i="10"/>
  <c r="C58" i="10"/>
  <c r="B58" i="10"/>
  <c r="D57" i="10"/>
  <c r="C57" i="10"/>
  <c r="B57" i="10"/>
  <c r="C56" i="10"/>
  <c r="B56" i="10"/>
  <c r="B55" i="10"/>
  <c r="AM5" i="10"/>
  <c r="AL5" i="10"/>
  <c r="B4" i="10"/>
  <c r="B3" i="10" s="1"/>
  <c r="E14" i="9"/>
  <c r="G10" i="9"/>
  <c r="F10" i="9"/>
  <c r="E5" i="9"/>
  <c r="D5" i="9"/>
  <c r="E4" i="9"/>
  <c r="E213" i="8"/>
  <c r="BD210" i="8"/>
  <c r="BE209" i="8" s="1"/>
  <c r="AQ210" i="8"/>
  <c r="AR209" i="8" s="1"/>
  <c r="AN210" i="8"/>
  <c r="AO209" i="8" s="1"/>
  <c r="AH210" i="8"/>
  <c r="AA210" i="8"/>
  <c r="AB209" i="8" s="1"/>
  <c r="R210" i="8"/>
  <c r="S209" i="8" s="1"/>
  <c r="P210" i="8"/>
  <c r="Q209" i="8" s="1"/>
  <c r="AY209" i="8"/>
  <c r="AS209" i="8"/>
  <c r="AK209" i="8"/>
  <c r="AI209" i="8"/>
  <c r="AA209" i="8"/>
  <c r="M209" i="8"/>
  <c r="E209" i="8"/>
  <c r="E205" i="8"/>
  <c r="E206" i="8" s="1"/>
  <c r="E201" i="8"/>
  <c r="BD197" i="8"/>
  <c r="AY197" i="8"/>
  <c r="AY210" i="8" s="1"/>
  <c r="AZ209" i="8" s="1"/>
  <c r="AX197" i="8"/>
  <c r="AX210" i="8" s="1"/>
  <c r="AV197" i="8"/>
  <c r="AV210" i="8" s="1"/>
  <c r="AW209" i="8" s="1"/>
  <c r="AS197" i="8"/>
  <c r="AS210" i="8" s="1"/>
  <c r="AT209" i="8" s="1"/>
  <c r="AO197" i="8"/>
  <c r="AO210" i="8" s="1"/>
  <c r="AP209" i="8" s="1"/>
  <c r="AN197" i="8"/>
  <c r="AI197" i="8"/>
  <c r="AI210" i="8" s="1"/>
  <c r="AJ209" i="8" s="1"/>
  <c r="AG197" i="8"/>
  <c r="AG210" i="8" s="1"/>
  <c r="AH209" i="8" s="1"/>
  <c r="AF197" i="8"/>
  <c r="AF210" i="8" s="1"/>
  <c r="AG209" i="8" s="1"/>
  <c r="AA197" i="8"/>
  <c r="X197" i="8"/>
  <c r="X210" i="8" s="1"/>
  <c r="Y209" i="8" s="1"/>
  <c r="U197" i="8"/>
  <c r="U210" i="8" s="1"/>
  <c r="V209" i="8" s="1"/>
  <c r="S197" i="8"/>
  <c r="S210" i="8" s="1"/>
  <c r="T209" i="8" s="1"/>
  <c r="Q197" i="8"/>
  <c r="Q210" i="8" s="1"/>
  <c r="R209" i="8" s="1"/>
  <c r="P197" i="8"/>
  <c r="K197" i="8"/>
  <c r="K210" i="8" s="1"/>
  <c r="L209" i="8" s="1"/>
  <c r="J197" i="8"/>
  <c r="J210" i="8" s="1"/>
  <c r="K209" i="8" s="1"/>
  <c r="H197" i="8"/>
  <c r="H210" i="8" s="1"/>
  <c r="I209" i="8" s="1"/>
  <c r="BF194" i="8"/>
  <c r="BE194" i="8"/>
  <c r="BD194" i="8"/>
  <c r="BC194" i="8"/>
  <c r="BB194" i="8"/>
  <c r="BA194" i="8"/>
  <c r="AZ194" i="8"/>
  <c r="AY194" i="8"/>
  <c r="AX194" i="8"/>
  <c r="AW194" i="8"/>
  <c r="AV194" i="8"/>
  <c r="AU194" i="8"/>
  <c r="AT194" i="8"/>
  <c r="AS194" i="8"/>
  <c r="AR194" i="8"/>
  <c r="AQ194" i="8"/>
  <c r="AP194" i="8"/>
  <c r="AO194" i="8"/>
  <c r="AN194" i="8"/>
  <c r="AM194" i="8"/>
  <c r="AL194" i="8"/>
  <c r="AK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BF193" i="8"/>
  <c r="BF197" i="8" s="1"/>
  <c r="BF210" i="8" s="1"/>
  <c r="BE193" i="8"/>
  <c r="BE197" i="8" s="1"/>
  <c r="BE210" i="8" s="1"/>
  <c r="BF209" i="8" s="1"/>
  <c r="BD193" i="8"/>
  <c r="BC193" i="8"/>
  <c r="BC197" i="8" s="1"/>
  <c r="BC210" i="8" s="1"/>
  <c r="BD209" i="8" s="1"/>
  <c r="BB193" i="8"/>
  <c r="BB197" i="8" s="1"/>
  <c r="BB210" i="8" s="1"/>
  <c r="BC209" i="8" s="1"/>
  <c r="BA193" i="8"/>
  <c r="BA197" i="8" s="1"/>
  <c r="BA210" i="8" s="1"/>
  <c r="BB209" i="8" s="1"/>
  <c r="AZ193" i="8"/>
  <c r="AZ197" i="8" s="1"/>
  <c r="AZ210" i="8" s="1"/>
  <c r="BA209" i="8" s="1"/>
  <c r="AY193" i="8"/>
  <c r="AX193" i="8"/>
  <c r="AW193" i="8"/>
  <c r="AW197" i="8" s="1"/>
  <c r="AW210" i="8" s="1"/>
  <c r="AX209" i="8" s="1"/>
  <c r="AV193" i="8"/>
  <c r="AU193" i="8"/>
  <c r="AU197" i="8" s="1"/>
  <c r="AU210" i="8" s="1"/>
  <c r="AV209" i="8" s="1"/>
  <c r="AT193" i="8"/>
  <c r="AT197" i="8" s="1"/>
  <c r="AT210" i="8" s="1"/>
  <c r="AU209" i="8" s="1"/>
  <c r="AS193" i="8"/>
  <c r="AR193" i="8"/>
  <c r="AR197" i="8" s="1"/>
  <c r="AR210" i="8" s="1"/>
  <c r="AQ193" i="8"/>
  <c r="AQ197" i="8" s="1"/>
  <c r="AP193" i="8"/>
  <c r="AP197" i="8" s="1"/>
  <c r="AP210" i="8" s="1"/>
  <c r="AQ209" i="8" s="1"/>
  <c r="AO193" i="8"/>
  <c r="AN193" i="8"/>
  <c r="AM193" i="8"/>
  <c r="AM197" i="8" s="1"/>
  <c r="AM210" i="8" s="1"/>
  <c r="AN209" i="8" s="1"/>
  <c r="AL193" i="8"/>
  <c r="AL197" i="8" s="1"/>
  <c r="AL210" i="8" s="1"/>
  <c r="AM209" i="8" s="1"/>
  <c r="AK193" i="8"/>
  <c r="AK197" i="8" s="1"/>
  <c r="AK210" i="8" s="1"/>
  <c r="AL209" i="8" s="1"/>
  <c r="AJ193" i="8"/>
  <c r="AJ197" i="8" s="1"/>
  <c r="AJ210" i="8" s="1"/>
  <c r="AI193" i="8"/>
  <c r="AH193" i="8"/>
  <c r="AH197" i="8" s="1"/>
  <c r="AG193" i="8"/>
  <c r="AF193" i="8"/>
  <c r="AE193" i="8"/>
  <c r="AE197" i="8" s="1"/>
  <c r="AE210" i="8" s="1"/>
  <c r="AF209" i="8" s="1"/>
  <c r="AD193" i="8"/>
  <c r="AD197" i="8" s="1"/>
  <c r="AD210" i="8" s="1"/>
  <c r="AE209" i="8" s="1"/>
  <c r="AC193" i="8"/>
  <c r="AC197" i="8" s="1"/>
  <c r="AC210" i="8" s="1"/>
  <c r="AD209" i="8" s="1"/>
  <c r="AB193" i="8"/>
  <c r="AB197" i="8" s="1"/>
  <c r="AB210" i="8" s="1"/>
  <c r="AC209" i="8" s="1"/>
  <c r="AA193" i="8"/>
  <c r="Z193" i="8"/>
  <c r="Z197" i="8" s="1"/>
  <c r="Z210" i="8" s="1"/>
  <c r="Y193" i="8"/>
  <c r="Y197" i="8" s="1"/>
  <c r="Y210" i="8" s="1"/>
  <c r="Z209" i="8" s="1"/>
  <c r="X193" i="8"/>
  <c r="W193" i="8"/>
  <c r="W197" i="8" s="1"/>
  <c r="W210" i="8" s="1"/>
  <c r="X209" i="8" s="1"/>
  <c r="V193" i="8"/>
  <c r="V197" i="8" s="1"/>
  <c r="V210" i="8" s="1"/>
  <c r="W209" i="8" s="1"/>
  <c r="U193" i="8"/>
  <c r="T193" i="8"/>
  <c r="T197" i="8" s="1"/>
  <c r="T210" i="8" s="1"/>
  <c r="U209" i="8" s="1"/>
  <c r="S193" i="8"/>
  <c r="R193" i="8"/>
  <c r="R197" i="8" s="1"/>
  <c r="Q193" i="8"/>
  <c r="P193" i="8"/>
  <c r="O193" i="8"/>
  <c r="O197" i="8" s="1"/>
  <c r="O210" i="8" s="1"/>
  <c r="P209" i="8" s="1"/>
  <c r="N193" i="8"/>
  <c r="N197" i="8" s="1"/>
  <c r="N210" i="8" s="1"/>
  <c r="O209" i="8" s="1"/>
  <c r="M193" i="8"/>
  <c r="M197" i="8" s="1"/>
  <c r="M210" i="8" s="1"/>
  <c r="N209" i="8" s="1"/>
  <c r="L193" i="8"/>
  <c r="L197" i="8" s="1"/>
  <c r="L210" i="8" s="1"/>
  <c r="K193" i="8"/>
  <c r="J193" i="8"/>
  <c r="I193" i="8"/>
  <c r="I197" i="8" s="1"/>
  <c r="I210" i="8" s="1"/>
  <c r="J209" i="8" s="1"/>
  <c r="H193" i="8"/>
  <c r="G193" i="8"/>
  <c r="G197" i="8" s="1"/>
  <c r="G210" i="8" s="1"/>
  <c r="H209" i="8" s="1"/>
  <c r="F193" i="8"/>
  <c r="F197" i="8" s="1"/>
  <c r="F210" i="8" s="1"/>
  <c r="G209" i="8" s="1"/>
  <c r="E193" i="8"/>
  <c r="E197" i="8" s="1"/>
  <c r="E210" i="8" s="1"/>
  <c r="F209" i="8" s="1"/>
  <c r="E187" i="8"/>
  <c r="BF186" i="8"/>
  <c r="BE186" i="8"/>
  <c r="BD186" i="8"/>
  <c r="BC186" i="8"/>
  <c r="BB186" i="8"/>
  <c r="BA186" i="8"/>
  <c r="AZ186" i="8"/>
  <c r="AY186" i="8"/>
  <c r="AX186" i="8"/>
  <c r="AW186" i="8"/>
  <c r="AV186" i="8"/>
  <c r="AU186" i="8"/>
  <c r="AT186" i="8"/>
  <c r="AS186" i="8"/>
  <c r="AR186" i="8"/>
  <c r="AQ186" i="8"/>
  <c r="AP186" i="8"/>
  <c r="AO186" i="8"/>
  <c r="AN186" i="8"/>
  <c r="AM186" i="8"/>
  <c r="AL186" i="8"/>
  <c r="AK186" i="8"/>
  <c r="AJ186" i="8"/>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E185" i="8"/>
  <c r="E188" i="8" s="1"/>
  <c r="E83" i="8"/>
  <c r="BL72" i="8"/>
  <c r="BG72" i="8"/>
  <c r="BD72" i="8"/>
  <c r="BB72" i="8"/>
  <c r="BA72" i="8"/>
  <c r="AV72" i="8"/>
  <c r="AT72" i="8"/>
  <c r="AS72" i="8"/>
  <c r="AR72" i="8"/>
  <c r="AQ72" i="8"/>
  <c r="AN72" i="8"/>
  <c r="AJ72" i="8"/>
  <c r="AI72" i="8"/>
  <c r="AF72" i="8"/>
  <c r="AE72" i="8"/>
  <c r="AA72" i="8"/>
  <c r="X72" i="8"/>
  <c r="U72" i="8"/>
  <c r="P72" i="8"/>
  <c r="N72" i="8"/>
  <c r="M72" i="8"/>
  <c r="L72" i="8"/>
  <c r="K72" i="8"/>
  <c r="H72" i="8"/>
  <c r="BL59" i="8"/>
  <c r="BK59" i="8"/>
  <c r="BK72" i="8" s="1"/>
  <c r="BJ59" i="8"/>
  <c r="BJ72" i="8" s="1"/>
  <c r="BI59" i="8"/>
  <c r="BI72" i="8" s="1"/>
  <c r="BH59" i="8"/>
  <c r="BH72" i="8" s="1"/>
  <c r="BG59" i="8"/>
  <c r="BF59" i="8"/>
  <c r="BF72" i="8" s="1"/>
  <c r="BE59" i="8"/>
  <c r="BE72" i="8" s="1"/>
  <c r="BD59" i="8"/>
  <c r="BC59" i="8"/>
  <c r="BC72" i="8" s="1"/>
  <c r="BB59" i="8"/>
  <c r="BA59" i="8"/>
  <c r="AZ59" i="8"/>
  <c r="AZ72" i="8" s="1"/>
  <c r="AY59" i="8"/>
  <c r="AY72" i="8" s="1"/>
  <c r="AX59" i="8"/>
  <c r="AX72" i="8" s="1"/>
  <c r="AW59" i="8"/>
  <c r="AW72" i="8" s="1"/>
  <c r="AV59" i="8"/>
  <c r="AU59" i="8"/>
  <c r="AU72" i="8" s="1"/>
  <c r="AT59" i="8"/>
  <c r="AS59" i="8"/>
  <c r="AR59" i="8"/>
  <c r="AQ59" i="8"/>
  <c r="AP59" i="8"/>
  <c r="AP72" i="8" s="1"/>
  <c r="AO59" i="8"/>
  <c r="AO72" i="8" s="1"/>
  <c r="AN59" i="8"/>
  <c r="AM59" i="8"/>
  <c r="AM72" i="8" s="1"/>
  <c r="AL59" i="8"/>
  <c r="AL72" i="8" s="1"/>
  <c r="AK59" i="8"/>
  <c r="AK72" i="8" s="1"/>
  <c r="AJ59" i="8"/>
  <c r="AI59" i="8"/>
  <c r="AH59" i="8"/>
  <c r="AH72" i="8" s="1"/>
  <c r="AG59" i="8"/>
  <c r="AG72" i="8" s="1"/>
  <c r="AF59" i="8"/>
  <c r="AE59" i="8"/>
  <c r="AD59" i="8"/>
  <c r="AD72" i="8" s="1"/>
  <c r="AC59" i="8"/>
  <c r="AC72" i="8" s="1"/>
  <c r="AB59" i="8"/>
  <c r="AB72" i="8" s="1"/>
  <c r="AA59" i="8"/>
  <c r="Z59" i="8"/>
  <c r="Z72" i="8" s="1"/>
  <c r="Y59" i="8"/>
  <c r="Y72" i="8" s="1"/>
  <c r="X59" i="8"/>
  <c r="W59" i="8"/>
  <c r="W72" i="8" s="1"/>
  <c r="V59" i="8"/>
  <c r="V72" i="8" s="1"/>
  <c r="U59" i="8"/>
  <c r="T59" i="8"/>
  <c r="T72" i="8" s="1"/>
  <c r="S59" i="8"/>
  <c r="S72" i="8" s="1"/>
  <c r="R59" i="8"/>
  <c r="R72" i="8" s="1"/>
  <c r="Q59" i="8"/>
  <c r="Q72" i="8" s="1"/>
  <c r="P59" i="8"/>
  <c r="O59" i="8"/>
  <c r="O72" i="8" s="1"/>
  <c r="N59" i="8"/>
  <c r="M59" i="8"/>
  <c r="L59" i="8"/>
  <c r="K59" i="8"/>
  <c r="J59" i="8"/>
  <c r="J72" i="8" s="1"/>
  <c r="I59" i="8"/>
  <c r="I72" i="8" s="1"/>
  <c r="H59" i="8"/>
  <c r="G59" i="8"/>
  <c r="G72" i="8" s="1"/>
  <c r="F59" i="8"/>
  <c r="F72" i="8" s="1"/>
  <c r="H5" i="8"/>
  <c r="G5" i="8"/>
  <c r="F5" i="8"/>
  <c r="E5" i="8"/>
  <c r="F91" i="7"/>
  <c r="F90" i="7"/>
  <c r="E118" i="8" s="1"/>
  <c r="F89" i="7"/>
  <c r="E117" i="8" s="1"/>
  <c r="F88" i="7"/>
  <c r="E116" i="8" s="1"/>
  <c r="E88" i="7"/>
  <c r="E87" i="7"/>
  <c r="F87" i="7" s="1"/>
  <c r="E115" i="8" s="1"/>
  <c r="E86" i="7"/>
  <c r="F86" i="7" s="1"/>
  <c r="E114" i="8" s="1"/>
  <c r="E85" i="7"/>
  <c r="F85" i="7" s="1"/>
  <c r="E113" i="8" s="1"/>
  <c r="F84" i="7"/>
  <c r="E112" i="8" s="1"/>
  <c r="E84" i="7"/>
  <c r="E83" i="7"/>
  <c r="F83" i="7" s="1"/>
  <c r="E111" i="8" s="1"/>
  <c r="E82" i="7"/>
  <c r="F82" i="7" s="1"/>
  <c r="E110" i="8" s="1"/>
  <c r="E81" i="7"/>
  <c r="F81" i="7" s="1"/>
  <c r="E109" i="8" s="1"/>
  <c r="D77" i="7"/>
  <c r="E100" i="7" s="1"/>
  <c r="D76" i="7"/>
  <c r="E57" i="7"/>
  <c r="S49" i="7"/>
  <c r="R49" i="7"/>
  <c r="Q49" i="7"/>
  <c r="P49" i="7"/>
  <c r="O49" i="7"/>
  <c r="S46" i="7"/>
  <c r="R46" i="7"/>
  <c r="Q46" i="7"/>
  <c r="P46" i="7"/>
  <c r="S45" i="7"/>
  <c r="S44" i="7" s="1"/>
  <c r="S19" i="7" s="1"/>
  <c r="R45" i="7"/>
  <c r="Q45" i="7"/>
  <c r="P45" i="7"/>
  <c r="R44" i="7"/>
  <c r="Q44" i="7"/>
  <c r="P44" i="7"/>
  <c r="P19" i="7" s="1"/>
  <c r="S43" i="7"/>
  <c r="R43" i="7"/>
  <c r="Q43" i="7"/>
  <c r="P43" i="7"/>
  <c r="S41" i="7"/>
  <c r="R41" i="7"/>
  <c r="Q41" i="7"/>
  <c r="P41" i="7"/>
  <c r="S36" i="7"/>
  <c r="R36" i="7"/>
  <c r="Q36" i="7"/>
  <c r="P36" i="7"/>
  <c r="S35" i="7"/>
  <c r="R35" i="7"/>
  <c r="Q35" i="7"/>
  <c r="P35" i="7"/>
  <c r="S34" i="7"/>
  <c r="R34" i="7"/>
  <c r="Q34" i="7"/>
  <c r="P34" i="7"/>
  <c r="P14" i="7" s="1"/>
  <c r="E22" i="7"/>
  <c r="R19" i="7"/>
  <c r="Q19" i="7"/>
  <c r="C19" i="7"/>
  <c r="S14" i="7"/>
  <c r="R14" i="7"/>
  <c r="Q14" i="7"/>
  <c r="H6" i="7"/>
  <c r="H5" i="7"/>
  <c r="H4" i="7"/>
  <c r="D2" i="7"/>
  <c r="C2" i="7"/>
  <c r="AB18" i="6"/>
  <c r="AA18" i="6"/>
  <c r="Z18" i="6"/>
  <c r="Y18" i="6"/>
  <c r="X18" i="6"/>
  <c r="W18" i="6"/>
  <c r="V18" i="6"/>
  <c r="U18" i="6"/>
  <c r="T18" i="6"/>
  <c r="S18" i="6"/>
  <c r="R18" i="6"/>
  <c r="Q18" i="6"/>
  <c r="P18" i="6"/>
  <c r="F185" i="5"/>
  <c r="E185" i="5"/>
  <c r="F184" i="5"/>
  <c r="E184" i="5"/>
  <c r="F183" i="5"/>
  <c r="E183" i="5"/>
  <c r="F182" i="5"/>
  <c r="E182" i="5"/>
  <c r="F181" i="5"/>
  <c r="E181" i="5"/>
  <c r="F180" i="5"/>
  <c r="E180" i="5"/>
  <c r="F179" i="5"/>
  <c r="E179" i="5"/>
  <c r="M164" i="5"/>
  <c r="L164" i="5"/>
  <c r="K164" i="5"/>
  <c r="J164" i="5"/>
  <c r="I164" i="5"/>
  <c r="H164" i="5"/>
  <c r="G164" i="5"/>
  <c r="F164" i="5"/>
  <c r="E164" i="5"/>
  <c r="D164" i="5"/>
  <c r="M163" i="5"/>
  <c r="L163" i="5"/>
  <c r="K163" i="5"/>
  <c r="J163" i="5"/>
  <c r="I163" i="5"/>
  <c r="H163" i="5"/>
  <c r="G163" i="5"/>
  <c r="F163" i="5"/>
  <c r="E163" i="5"/>
  <c r="D163" i="5"/>
  <c r="M162" i="5"/>
  <c r="L162" i="5"/>
  <c r="K162" i="5"/>
  <c r="J162" i="5"/>
  <c r="I162" i="5"/>
  <c r="H162" i="5"/>
  <c r="G162" i="5"/>
  <c r="F162" i="5"/>
  <c r="E162" i="5"/>
  <c r="D162" i="5"/>
  <c r="M161" i="5"/>
  <c r="L161" i="5"/>
  <c r="K161" i="5"/>
  <c r="J161" i="5"/>
  <c r="I161" i="5"/>
  <c r="H161" i="5"/>
  <c r="G161" i="5"/>
  <c r="F161" i="5"/>
  <c r="E161" i="5"/>
  <c r="D161" i="5"/>
  <c r="M160" i="5"/>
  <c r="L160" i="5"/>
  <c r="K160" i="5"/>
  <c r="J160" i="5"/>
  <c r="I160" i="5"/>
  <c r="H160" i="5"/>
  <c r="G160" i="5"/>
  <c r="F160" i="5"/>
  <c r="E160" i="5"/>
  <c r="D160" i="5"/>
  <c r="M159" i="5"/>
  <c r="L159" i="5"/>
  <c r="K159" i="5"/>
  <c r="J159" i="5"/>
  <c r="I159" i="5"/>
  <c r="H159" i="5"/>
  <c r="G159" i="5"/>
  <c r="F159" i="5"/>
  <c r="E159" i="5"/>
  <c r="D159" i="5"/>
  <c r="M158" i="5"/>
  <c r="L158" i="5"/>
  <c r="K158" i="5"/>
  <c r="J158" i="5"/>
  <c r="I158" i="5"/>
  <c r="H158" i="5"/>
  <c r="G158" i="5"/>
  <c r="F158" i="5"/>
  <c r="E158" i="5"/>
  <c r="D158" i="5"/>
  <c r="F157" i="5"/>
  <c r="G157" i="5" s="1"/>
  <c r="H157" i="5" s="1"/>
  <c r="I157" i="5" s="1"/>
  <c r="J157" i="5" s="1"/>
  <c r="K157" i="5" s="1"/>
  <c r="L157" i="5" s="1"/>
  <c r="M157" i="5" s="1"/>
  <c r="V146" i="5"/>
  <c r="W146" i="5" s="1"/>
  <c r="X146" i="5" s="1"/>
  <c r="Y146" i="5" s="1"/>
  <c r="Z146" i="5" s="1"/>
  <c r="AA146" i="5" s="1"/>
  <c r="AB146" i="5" s="1"/>
  <c r="AC146" i="5" s="1"/>
  <c r="AD146" i="5" s="1"/>
  <c r="AE146" i="5" s="1"/>
  <c r="F146" i="5"/>
  <c r="G146" i="5" s="1"/>
  <c r="H146" i="5" s="1"/>
  <c r="I146" i="5" s="1"/>
  <c r="J146" i="5" s="1"/>
  <c r="K146" i="5" s="1"/>
  <c r="L146" i="5" s="1"/>
  <c r="M146" i="5" s="1"/>
  <c r="N146" i="5" s="1"/>
  <c r="O146" i="5" s="1"/>
  <c r="L710" i="4"/>
  <c r="G708" i="4"/>
  <c r="Y707" i="4"/>
  <c r="J707" i="4"/>
  <c r="G707" i="4"/>
  <c r="Y706" i="4"/>
  <c r="G706" i="4"/>
  <c r="Y705" i="4"/>
  <c r="J705" i="4"/>
  <c r="J699" i="4" s="1"/>
  <c r="G705" i="4"/>
  <c r="Y704" i="4"/>
  <c r="J704" i="4"/>
  <c r="G704" i="4"/>
  <c r="Y703" i="4"/>
  <c r="J703" i="4"/>
  <c r="G703" i="4"/>
  <c r="Y702" i="4"/>
  <c r="J702" i="4"/>
  <c r="G702" i="4"/>
  <c r="Y701" i="4"/>
  <c r="J701" i="4"/>
  <c r="G701" i="4"/>
  <c r="Y700" i="4"/>
  <c r="J700" i="4"/>
  <c r="G700" i="4"/>
  <c r="X699" i="4"/>
  <c r="W699" i="4"/>
  <c r="V699" i="4"/>
  <c r="Y699" i="4" s="1"/>
  <c r="U699" i="4"/>
  <c r="T699" i="4"/>
  <c r="S699" i="4"/>
  <c r="R699" i="4"/>
  <c r="Q699" i="4"/>
  <c r="P699" i="4"/>
  <c r="O699" i="4"/>
  <c r="N699" i="4"/>
  <c r="M699" i="4"/>
  <c r="L699" i="4"/>
  <c r="K699" i="4"/>
  <c r="G699" i="4"/>
  <c r="Y698" i="4"/>
  <c r="J698" i="4"/>
  <c r="G698" i="4"/>
  <c r="Y697" i="4"/>
  <c r="J697" i="4"/>
  <c r="G697" i="4"/>
  <c r="Y696" i="4"/>
  <c r="J696" i="4"/>
  <c r="G696" i="4"/>
  <c r="Y695" i="4"/>
  <c r="J695" i="4"/>
  <c r="G695" i="4"/>
  <c r="Y694" i="4"/>
  <c r="J694" i="4"/>
  <c r="G694" i="4"/>
  <c r="X693" i="4"/>
  <c r="W693" i="4"/>
  <c r="V693" i="4"/>
  <c r="Y693" i="4" s="1"/>
  <c r="U693" i="4"/>
  <c r="T693" i="4"/>
  <c r="S693" i="4"/>
  <c r="R693" i="4"/>
  <c r="Q693" i="4"/>
  <c r="P693" i="4"/>
  <c r="O693" i="4"/>
  <c r="N693" i="4"/>
  <c r="M693" i="4"/>
  <c r="M687" i="4" s="1"/>
  <c r="M708" i="4" s="1"/>
  <c r="L693" i="4"/>
  <c r="K693" i="4"/>
  <c r="J693" i="4"/>
  <c r="G693" i="4"/>
  <c r="Y692" i="4"/>
  <c r="J692" i="4"/>
  <c r="G692" i="4"/>
  <c r="Y691" i="4"/>
  <c r="G691" i="4"/>
  <c r="Y690" i="4"/>
  <c r="J690" i="4"/>
  <c r="G690" i="4"/>
  <c r="X689" i="4"/>
  <c r="W689" i="4"/>
  <c r="Y689" i="4" s="1"/>
  <c r="V689" i="4"/>
  <c r="V688" i="4" s="1"/>
  <c r="U689" i="4"/>
  <c r="U688" i="4" s="1"/>
  <c r="U687" i="4" s="1"/>
  <c r="U708" i="4" s="1"/>
  <c r="T689" i="4"/>
  <c r="T688" i="4" s="1"/>
  <c r="T687" i="4" s="1"/>
  <c r="T708" i="4" s="1"/>
  <c r="S689" i="4"/>
  <c r="R689" i="4"/>
  <c r="Q689" i="4"/>
  <c r="P689" i="4"/>
  <c r="O689" i="4"/>
  <c r="O688" i="4" s="1"/>
  <c r="O687" i="4" s="1"/>
  <c r="O708" i="4" s="1"/>
  <c r="L689" i="4"/>
  <c r="L688" i="4" s="1"/>
  <c r="L687" i="4" s="1"/>
  <c r="L708" i="4" s="1"/>
  <c r="K689" i="4"/>
  <c r="K688" i="4" s="1"/>
  <c r="K687" i="4" s="1"/>
  <c r="K708" i="4" s="1"/>
  <c r="J689" i="4"/>
  <c r="J688" i="4" s="1"/>
  <c r="J687" i="4" s="1"/>
  <c r="J708" i="4" s="1"/>
  <c r="G689" i="4"/>
  <c r="X688" i="4"/>
  <c r="X687" i="4" s="1"/>
  <c r="X708" i="4" s="1"/>
  <c r="S688" i="4"/>
  <c r="S687" i="4" s="1"/>
  <c r="S708" i="4" s="1"/>
  <c r="R688" i="4"/>
  <c r="R687" i="4" s="1"/>
  <c r="R708" i="4" s="1"/>
  <c r="Q688" i="4"/>
  <c r="Q687" i="4" s="1"/>
  <c r="Q708" i="4" s="1"/>
  <c r="P688" i="4"/>
  <c r="P687" i="4" s="1"/>
  <c r="P708" i="4" s="1"/>
  <c r="N688" i="4"/>
  <c r="M688" i="4"/>
  <c r="G688" i="4"/>
  <c r="V687" i="4"/>
  <c r="V708" i="4" s="1"/>
  <c r="N687" i="4"/>
  <c r="N708" i="4" s="1"/>
  <c r="G687" i="4"/>
  <c r="X686" i="4"/>
  <c r="W686" i="4"/>
  <c r="Y686" i="4" s="1"/>
  <c r="V686" i="4"/>
  <c r="U686" i="4"/>
  <c r="T686" i="4"/>
  <c r="S686" i="4"/>
  <c r="R686" i="4"/>
  <c r="Q686" i="4"/>
  <c r="P686" i="4"/>
  <c r="O686" i="4"/>
  <c r="N686" i="4"/>
  <c r="M686" i="4"/>
  <c r="L686" i="4"/>
  <c r="K686" i="4"/>
  <c r="G686" i="4"/>
  <c r="X685" i="4"/>
  <c r="W685" i="4"/>
  <c r="Y685" i="4" s="1"/>
  <c r="V685" i="4"/>
  <c r="U685" i="4"/>
  <c r="T685" i="4"/>
  <c r="S685" i="4"/>
  <c r="R685" i="4"/>
  <c r="Q685" i="4"/>
  <c r="P685" i="4"/>
  <c r="O685" i="4"/>
  <c r="N685" i="4"/>
  <c r="M685" i="4"/>
  <c r="L685" i="4"/>
  <c r="K685" i="4"/>
  <c r="G685" i="4"/>
  <c r="X684" i="4"/>
  <c r="W684" i="4"/>
  <c r="V684" i="4"/>
  <c r="Z684" i="4" s="1"/>
  <c r="U684" i="4"/>
  <c r="T684" i="4"/>
  <c r="S684" i="4"/>
  <c r="R684" i="4"/>
  <c r="Q684" i="4"/>
  <c r="P684" i="4"/>
  <c r="O684" i="4"/>
  <c r="N684" i="4"/>
  <c r="M684" i="4"/>
  <c r="L684" i="4"/>
  <c r="K684" i="4"/>
  <c r="G684" i="4"/>
  <c r="Y683" i="4"/>
  <c r="J683" i="4"/>
  <c r="G683" i="4"/>
  <c r="Y682" i="4"/>
  <c r="J682" i="4"/>
  <c r="G682" i="4"/>
  <c r="Y681" i="4"/>
  <c r="J681" i="4"/>
  <c r="G681" i="4"/>
  <c r="Y680" i="4"/>
  <c r="J680" i="4"/>
  <c r="G680" i="4"/>
  <c r="X679" i="4"/>
  <c r="W679" i="4"/>
  <c r="V679" i="4"/>
  <c r="Y679" i="4" s="1"/>
  <c r="U679" i="4"/>
  <c r="T679" i="4"/>
  <c r="S679" i="4"/>
  <c r="R679" i="4"/>
  <c r="Q679" i="4"/>
  <c r="P679" i="4"/>
  <c r="O679" i="4"/>
  <c r="N679" i="4"/>
  <c r="M679" i="4"/>
  <c r="L679" i="4"/>
  <c r="K679" i="4"/>
  <c r="J679" i="4"/>
  <c r="G679" i="4"/>
  <c r="Y678" i="4"/>
  <c r="J678" i="4"/>
  <c r="G678" i="4"/>
  <c r="Y677" i="4"/>
  <c r="S677" i="4"/>
  <c r="N677" i="4"/>
  <c r="M677" i="4"/>
  <c r="G677" i="4"/>
  <c r="Y676" i="4"/>
  <c r="X676" i="4"/>
  <c r="T676" i="4"/>
  <c r="S676" i="4"/>
  <c r="R676" i="4"/>
  <c r="Q676" i="4"/>
  <c r="P676" i="4"/>
  <c r="O676" i="4"/>
  <c r="N676" i="4"/>
  <c r="M676" i="4"/>
  <c r="L676" i="4"/>
  <c r="K676" i="4"/>
  <c r="G676" i="4"/>
  <c r="Y675" i="4"/>
  <c r="J675" i="4"/>
  <c r="G675" i="4"/>
  <c r="Y674" i="4"/>
  <c r="J674" i="4"/>
  <c r="G674" i="4"/>
  <c r="Y673" i="4"/>
  <c r="J673" i="4"/>
  <c r="G673" i="4"/>
  <c r="Y672" i="4"/>
  <c r="J672" i="4"/>
  <c r="G672" i="4"/>
  <c r="Y671" i="4"/>
  <c r="G671" i="4"/>
  <c r="V670" i="4"/>
  <c r="G670" i="4"/>
  <c r="Y669" i="4"/>
  <c r="J669" i="4"/>
  <c r="G669" i="4"/>
  <c r="Y668" i="4"/>
  <c r="G668" i="4"/>
  <c r="Y667" i="4"/>
  <c r="J667" i="4"/>
  <c r="G667" i="4"/>
  <c r="Y666" i="4"/>
  <c r="J666" i="4"/>
  <c r="G666" i="4"/>
  <c r="Y665" i="4"/>
  <c r="J665" i="4"/>
  <c r="G665" i="4"/>
  <c r="Y664" i="4"/>
  <c r="J664" i="4"/>
  <c r="G664" i="4"/>
  <c r="Y663" i="4"/>
  <c r="J663" i="4"/>
  <c r="G663" i="4"/>
  <c r="Y662" i="4"/>
  <c r="J662" i="4"/>
  <c r="G662" i="4"/>
  <c r="X661" i="4"/>
  <c r="W661" i="4"/>
  <c r="W670" i="4" s="1"/>
  <c r="Y670" i="4" s="1"/>
  <c r="V661" i="4"/>
  <c r="U661" i="4"/>
  <c r="T661" i="4"/>
  <c r="S661" i="4"/>
  <c r="R661" i="4"/>
  <c r="Q661" i="4"/>
  <c r="P661" i="4"/>
  <c r="O661" i="4"/>
  <c r="N661" i="4"/>
  <c r="M661" i="4"/>
  <c r="L661" i="4"/>
  <c r="K661" i="4"/>
  <c r="J661" i="4"/>
  <c r="G661" i="4"/>
  <c r="Y660" i="4"/>
  <c r="U660" i="4"/>
  <c r="J660" i="4" s="1"/>
  <c r="G660" i="4"/>
  <c r="Y659" i="4"/>
  <c r="J659" i="4"/>
  <c r="G659" i="4"/>
  <c r="Y658" i="4"/>
  <c r="J658" i="4"/>
  <c r="G658" i="4"/>
  <c r="Y657" i="4"/>
  <c r="J657" i="4"/>
  <c r="G657" i="4"/>
  <c r="Y656" i="4"/>
  <c r="J656" i="4"/>
  <c r="J655" i="4" s="1"/>
  <c r="G656" i="4"/>
  <c r="Y655" i="4"/>
  <c r="X655" i="4"/>
  <c r="W655" i="4"/>
  <c r="V655" i="4"/>
  <c r="U655" i="4"/>
  <c r="T655" i="4"/>
  <c r="S655" i="4"/>
  <c r="R655" i="4"/>
  <c r="Q655" i="4"/>
  <c r="P655" i="4"/>
  <c r="O655" i="4"/>
  <c r="N655" i="4"/>
  <c r="M655" i="4"/>
  <c r="L655" i="4"/>
  <c r="K655" i="4"/>
  <c r="K649" i="4" s="1"/>
  <c r="K670" i="4" s="1"/>
  <c r="G655" i="4"/>
  <c r="Y654" i="4"/>
  <c r="J654" i="4"/>
  <c r="G654" i="4"/>
  <c r="Y653" i="4"/>
  <c r="G653" i="4"/>
  <c r="Y652" i="4"/>
  <c r="J652" i="4"/>
  <c r="G652" i="4"/>
  <c r="Y651" i="4"/>
  <c r="X651" i="4"/>
  <c r="W651" i="4"/>
  <c r="V651" i="4"/>
  <c r="U651" i="4"/>
  <c r="T651" i="4"/>
  <c r="T650" i="4" s="1"/>
  <c r="T649" i="4" s="1"/>
  <c r="T670" i="4" s="1"/>
  <c r="S651" i="4"/>
  <c r="S650" i="4" s="1"/>
  <c r="S649" i="4" s="1"/>
  <c r="S670" i="4" s="1"/>
  <c r="R651" i="4"/>
  <c r="Q651" i="4"/>
  <c r="P651" i="4"/>
  <c r="O651" i="4"/>
  <c r="L651" i="4"/>
  <c r="L650" i="4" s="1"/>
  <c r="K651" i="4"/>
  <c r="J651" i="4"/>
  <c r="J650" i="4" s="1"/>
  <c r="G651" i="4"/>
  <c r="Y650" i="4"/>
  <c r="X650" i="4"/>
  <c r="W650" i="4"/>
  <c r="W649" i="4" s="1"/>
  <c r="V650" i="4"/>
  <c r="V649" i="4" s="1"/>
  <c r="U650" i="4"/>
  <c r="U649" i="4" s="1"/>
  <c r="R650" i="4"/>
  <c r="R649" i="4" s="1"/>
  <c r="R670" i="4" s="1"/>
  <c r="Q650" i="4"/>
  <c r="Q649" i="4" s="1"/>
  <c r="Q670" i="4" s="1"/>
  <c r="P650" i="4"/>
  <c r="P649" i="4" s="1"/>
  <c r="P670" i="4" s="1"/>
  <c r="O650" i="4"/>
  <c r="O649" i="4" s="1"/>
  <c r="O670" i="4" s="1"/>
  <c r="N650" i="4"/>
  <c r="N649" i="4" s="1"/>
  <c r="N670" i="4" s="1"/>
  <c r="M650" i="4"/>
  <c r="M649" i="4" s="1"/>
  <c r="M670" i="4" s="1"/>
  <c r="K650" i="4"/>
  <c r="G650" i="4"/>
  <c r="Y649" i="4"/>
  <c r="X649" i="4"/>
  <c r="X670" i="4" s="1"/>
  <c r="L649" i="4"/>
  <c r="L670" i="4" s="1"/>
  <c r="G649" i="4"/>
  <c r="Y648" i="4"/>
  <c r="X648" i="4"/>
  <c r="W648" i="4"/>
  <c r="V648" i="4"/>
  <c r="U648" i="4"/>
  <c r="T648" i="4"/>
  <c r="S648" i="4"/>
  <c r="R648" i="4"/>
  <c r="Q648" i="4"/>
  <c r="P648" i="4"/>
  <c r="O648" i="4"/>
  <c r="N648" i="4"/>
  <c r="M648" i="4"/>
  <c r="L648" i="4"/>
  <c r="K648" i="4"/>
  <c r="G648" i="4"/>
  <c r="Y647" i="4"/>
  <c r="X647" i="4"/>
  <c r="W647" i="4"/>
  <c r="V647" i="4"/>
  <c r="U647" i="4"/>
  <c r="T647" i="4"/>
  <c r="S647" i="4"/>
  <c r="R647" i="4"/>
  <c r="Q647" i="4"/>
  <c r="P647" i="4"/>
  <c r="O647" i="4"/>
  <c r="N647" i="4"/>
  <c r="M647" i="4"/>
  <c r="L647" i="4"/>
  <c r="K647" i="4"/>
  <c r="G647" i="4"/>
  <c r="X646" i="4"/>
  <c r="W646" i="4"/>
  <c r="V646" i="4"/>
  <c r="Y646" i="4" s="1"/>
  <c r="U646" i="4"/>
  <c r="Z646" i="4" s="1"/>
  <c r="T646" i="4"/>
  <c r="S646" i="4"/>
  <c r="R646" i="4"/>
  <c r="Q646" i="4"/>
  <c r="P646" i="4"/>
  <c r="O646" i="4"/>
  <c r="N646" i="4"/>
  <c r="M646" i="4"/>
  <c r="L646" i="4"/>
  <c r="K646" i="4"/>
  <c r="J646" i="4"/>
  <c r="G646" i="4"/>
  <c r="Y645" i="4"/>
  <c r="J645" i="4"/>
  <c r="G645" i="4"/>
  <c r="Y644" i="4"/>
  <c r="J644" i="4"/>
  <c r="G644" i="4"/>
  <c r="Y643" i="4"/>
  <c r="J643" i="4"/>
  <c r="G643" i="4"/>
  <c r="Y642" i="4"/>
  <c r="J642" i="4"/>
  <c r="G642" i="4"/>
  <c r="X641" i="4"/>
  <c r="W641" i="4"/>
  <c r="Y641" i="4" s="1"/>
  <c r="V641" i="4"/>
  <c r="U641" i="4"/>
  <c r="T641" i="4"/>
  <c r="S641" i="4"/>
  <c r="R641" i="4"/>
  <c r="Q641" i="4"/>
  <c r="P641" i="4"/>
  <c r="O641" i="4"/>
  <c r="N641" i="4"/>
  <c r="M641" i="4"/>
  <c r="L641" i="4"/>
  <c r="K641" i="4"/>
  <c r="J641" i="4"/>
  <c r="G641" i="4"/>
  <c r="Y640" i="4"/>
  <c r="J640" i="4"/>
  <c r="G640" i="4"/>
  <c r="Y639" i="4"/>
  <c r="S639" i="4"/>
  <c r="N639" i="4"/>
  <c r="M639" i="4"/>
  <c r="G639" i="4"/>
  <c r="Y638" i="4"/>
  <c r="X638" i="4"/>
  <c r="W638" i="4"/>
  <c r="V638" i="4"/>
  <c r="U638" i="4"/>
  <c r="T638" i="4"/>
  <c r="S638" i="4"/>
  <c r="R638" i="4"/>
  <c r="Q638" i="4"/>
  <c r="P638" i="4"/>
  <c r="O638" i="4"/>
  <c r="N638" i="4"/>
  <c r="M638" i="4"/>
  <c r="L638" i="4"/>
  <c r="K638" i="4"/>
  <c r="G638" i="4"/>
  <c r="Y637" i="4"/>
  <c r="J637" i="4"/>
  <c r="G637" i="4"/>
  <c r="Y636" i="4"/>
  <c r="J636" i="4"/>
  <c r="G636" i="4"/>
  <c r="Y635" i="4"/>
  <c r="J635" i="4"/>
  <c r="G635" i="4"/>
  <c r="Y634" i="4"/>
  <c r="J634" i="4"/>
  <c r="G634" i="4"/>
  <c r="Y633" i="4"/>
  <c r="G633" i="4"/>
  <c r="V631" i="4"/>
  <c r="N631" i="4"/>
  <c r="G631" i="4"/>
  <c r="Y630" i="4"/>
  <c r="J630" i="4"/>
  <c r="G630" i="4"/>
  <c r="Y629" i="4"/>
  <c r="G629" i="4"/>
  <c r="Y628" i="4"/>
  <c r="J628" i="4"/>
  <c r="G628" i="4"/>
  <c r="Y627" i="4"/>
  <c r="J627" i="4"/>
  <c r="G627" i="4"/>
  <c r="Y626" i="4"/>
  <c r="J626" i="4"/>
  <c r="G626" i="4"/>
  <c r="Y625" i="4"/>
  <c r="J625" i="4"/>
  <c r="G625" i="4"/>
  <c r="Y624" i="4"/>
  <c r="J624" i="4"/>
  <c r="G624" i="4"/>
  <c r="Y623" i="4"/>
  <c r="J623" i="4"/>
  <c r="G623" i="4"/>
  <c r="Y622" i="4"/>
  <c r="X622" i="4"/>
  <c r="W622" i="4"/>
  <c r="V622" i="4"/>
  <c r="U622" i="4"/>
  <c r="T622" i="4"/>
  <c r="S622" i="4"/>
  <c r="R622" i="4"/>
  <c r="Q622" i="4"/>
  <c r="P622" i="4"/>
  <c r="O622" i="4"/>
  <c r="N622" i="4"/>
  <c r="M622" i="4"/>
  <c r="L622" i="4"/>
  <c r="K622" i="4"/>
  <c r="J622" i="4"/>
  <c r="G622" i="4"/>
  <c r="W621" i="4"/>
  <c r="Y621" i="4" s="1"/>
  <c r="V621" i="4"/>
  <c r="U621" i="4"/>
  <c r="J621" i="4" s="1"/>
  <c r="G621" i="4"/>
  <c r="Y620" i="4"/>
  <c r="J620" i="4"/>
  <c r="G620" i="4"/>
  <c r="Y619" i="4"/>
  <c r="J619" i="4"/>
  <c r="G619" i="4"/>
  <c r="Y618" i="4"/>
  <c r="J618" i="4"/>
  <c r="G618" i="4"/>
  <c r="Y617" i="4"/>
  <c r="J617" i="4"/>
  <c r="J616" i="4" s="1"/>
  <c r="G617" i="4"/>
  <c r="Y616" i="4"/>
  <c r="X616" i="4"/>
  <c r="W616" i="4"/>
  <c r="V616" i="4"/>
  <c r="U616" i="4"/>
  <c r="T616" i="4"/>
  <c r="S616" i="4"/>
  <c r="R616" i="4"/>
  <c r="Q616" i="4"/>
  <c r="P616" i="4"/>
  <c r="O616" i="4"/>
  <c r="N616" i="4"/>
  <c r="M616" i="4"/>
  <c r="L616" i="4"/>
  <c r="K616" i="4"/>
  <c r="G616" i="4"/>
  <c r="W615" i="4"/>
  <c r="Y615" i="4" s="1"/>
  <c r="V615" i="4"/>
  <c r="G615" i="4"/>
  <c r="Y614" i="4"/>
  <c r="V614" i="4"/>
  <c r="G614" i="4"/>
  <c r="Y613" i="4"/>
  <c r="J613" i="4"/>
  <c r="G613" i="4"/>
  <c r="Y612" i="4"/>
  <c r="X612" i="4"/>
  <c r="X611" i="4" s="1"/>
  <c r="X610" i="4" s="1"/>
  <c r="X631" i="4" s="1"/>
  <c r="W612" i="4"/>
  <c r="W611" i="4" s="1"/>
  <c r="V612" i="4"/>
  <c r="U612" i="4"/>
  <c r="T612" i="4"/>
  <c r="S612" i="4"/>
  <c r="S611" i="4" s="1"/>
  <c r="S610" i="4" s="1"/>
  <c r="S631" i="4" s="1"/>
  <c r="R612" i="4"/>
  <c r="Q612" i="4"/>
  <c r="P612" i="4"/>
  <c r="J612" i="4" s="1"/>
  <c r="O612" i="4"/>
  <c r="O611" i="4" s="1"/>
  <c r="O610" i="4" s="1"/>
  <c r="O631" i="4" s="1"/>
  <c r="N612" i="4"/>
  <c r="M612" i="4"/>
  <c r="L612" i="4"/>
  <c r="K612" i="4"/>
  <c r="K611" i="4" s="1"/>
  <c r="K610" i="4" s="1"/>
  <c r="K631" i="4" s="1"/>
  <c r="G612" i="4"/>
  <c r="V611" i="4"/>
  <c r="U611" i="4"/>
  <c r="T611" i="4"/>
  <c r="T610" i="4" s="1"/>
  <c r="T631" i="4" s="1"/>
  <c r="R611" i="4"/>
  <c r="Q611" i="4"/>
  <c r="Q610" i="4" s="1"/>
  <c r="Q631" i="4" s="1"/>
  <c r="N611" i="4"/>
  <c r="M611" i="4"/>
  <c r="L611" i="4"/>
  <c r="L610" i="4" s="1"/>
  <c r="L631" i="4" s="1"/>
  <c r="G611" i="4"/>
  <c r="V610" i="4"/>
  <c r="U610" i="4"/>
  <c r="U631" i="4" s="1"/>
  <c r="R610" i="4"/>
  <c r="R631" i="4" s="1"/>
  <c r="N610" i="4"/>
  <c r="M610" i="4"/>
  <c r="M631" i="4" s="1"/>
  <c r="G610" i="4"/>
  <c r="X609" i="4"/>
  <c r="W609" i="4"/>
  <c r="Y609" i="4" s="1"/>
  <c r="V609" i="4"/>
  <c r="U609" i="4"/>
  <c r="T609" i="4"/>
  <c r="S609" i="4"/>
  <c r="R609" i="4"/>
  <c r="Q609" i="4"/>
  <c r="P609" i="4"/>
  <c r="O609" i="4"/>
  <c r="N609" i="4"/>
  <c r="M609" i="4"/>
  <c r="L609" i="4"/>
  <c r="K609" i="4"/>
  <c r="G609" i="4"/>
  <c r="X608" i="4"/>
  <c r="W608" i="4"/>
  <c r="Y608" i="4" s="1"/>
  <c r="V608" i="4"/>
  <c r="U608" i="4"/>
  <c r="T608" i="4"/>
  <c r="S608" i="4"/>
  <c r="R608" i="4"/>
  <c r="Q608" i="4"/>
  <c r="P608" i="4"/>
  <c r="O608" i="4"/>
  <c r="N608" i="4"/>
  <c r="M608" i="4"/>
  <c r="L608" i="4"/>
  <c r="K608" i="4"/>
  <c r="G608" i="4"/>
  <c r="X607" i="4"/>
  <c r="W607" i="4"/>
  <c r="Y607" i="4" s="1"/>
  <c r="V607" i="4"/>
  <c r="Z607" i="4" s="1"/>
  <c r="U607" i="4"/>
  <c r="T607" i="4"/>
  <c r="S607" i="4"/>
  <c r="R607" i="4"/>
  <c r="Q607" i="4"/>
  <c r="P607" i="4"/>
  <c r="O607" i="4"/>
  <c r="N607" i="4"/>
  <c r="M607" i="4"/>
  <c r="L607" i="4"/>
  <c r="K607" i="4"/>
  <c r="G607" i="4"/>
  <c r="Y606" i="4"/>
  <c r="G606" i="4"/>
  <c r="Y605" i="4"/>
  <c r="G605" i="4"/>
  <c r="Y604" i="4"/>
  <c r="G604" i="4"/>
  <c r="Y603" i="4"/>
  <c r="G603" i="4"/>
  <c r="X602" i="4"/>
  <c r="W602" i="4"/>
  <c r="Y602" i="4" s="1"/>
  <c r="V602" i="4"/>
  <c r="U602" i="4"/>
  <c r="T602" i="4"/>
  <c r="S602" i="4"/>
  <c r="R602" i="4"/>
  <c r="Q602" i="4"/>
  <c r="P602" i="4"/>
  <c r="O602" i="4"/>
  <c r="N602" i="4"/>
  <c r="M602" i="4"/>
  <c r="L602" i="4"/>
  <c r="K602" i="4"/>
  <c r="G602" i="4"/>
  <c r="Y601" i="4"/>
  <c r="J601" i="4"/>
  <c r="G601" i="4"/>
  <c r="Y600" i="4"/>
  <c r="S600" i="4"/>
  <c r="G600" i="4"/>
  <c r="W599" i="4"/>
  <c r="Y599" i="4" s="1"/>
  <c r="V599" i="4"/>
  <c r="U599" i="4"/>
  <c r="T599" i="4"/>
  <c r="S599" i="4"/>
  <c r="R599" i="4"/>
  <c r="Q599" i="4"/>
  <c r="P599" i="4"/>
  <c r="O599" i="4"/>
  <c r="N599" i="4"/>
  <c r="N600" i="4" s="1"/>
  <c r="M599" i="4"/>
  <c r="M600" i="4" s="1"/>
  <c r="L599" i="4"/>
  <c r="K599" i="4"/>
  <c r="G599" i="4"/>
  <c r="Y598" i="4"/>
  <c r="J598" i="4"/>
  <c r="G598" i="4"/>
  <c r="Y597" i="4"/>
  <c r="J597" i="4"/>
  <c r="G597" i="4"/>
  <c r="Y596" i="4"/>
  <c r="J596" i="4"/>
  <c r="G596" i="4"/>
  <c r="Y595" i="4"/>
  <c r="J595" i="4"/>
  <c r="G595" i="4"/>
  <c r="Y594" i="4"/>
  <c r="G594" i="4"/>
  <c r="Y593" i="4"/>
  <c r="M592" i="4"/>
  <c r="G592" i="4"/>
  <c r="Y591" i="4"/>
  <c r="J591" i="4"/>
  <c r="G591" i="4"/>
  <c r="Y590" i="4"/>
  <c r="G590" i="4"/>
  <c r="Y589" i="4"/>
  <c r="J589" i="4"/>
  <c r="G589" i="4"/>
  <c r="Y588" i="4"/>
  <c r="J588" i="4"/>
  <c r="G588" i="4"/>
  <c r="Y587" i="4"/>
  <c r="J587" i="4"/>
  <c r="G587" i="4"/>
  <c r="Y586" i="4"/>
  <c r="J586" i="4"/>
  <c r="G586" i="4"/>
  <c r="Y585" i="4"/>
  <c r="S585" i="4"/>
  <c r="J585" i="4"/>
  <c r="G585" i="4"/>
  <c r="Y584" i="4"/>
  <c r="J584" i="4"/>
  <c r="J583" i="4" s="1"/>
  <c r="G584" i="4"/>
  <c r="X583" i="4"/>
  <c r="W583" i="4"/>
  <c r="Y583" i="4" s="1"/>
  <c r="V583" i="4"/>
  <c r="U583" i="4"/>
  <c r="T583" i="4"/>
  <c r="S583" i="4"/>
  <c r="R583" i="4"/>
  <c r="Q583" i="4"/>
  <c r="P583" i="4"/>
  <c r="O583" i="4"/>
  <c r="N583" i="4"/>
  <c r="M583" i="4"/>
  <c r="L583" i="4"/>
  <c r="K583" i="4"/>
  <c r="G583" i="4"/>
  <c r="V582" i="4"/>
  <c r="Y582" i="4" s="1"/>
  <c r="U582" i="4"/>
  <c r="U592" i="4" s="1"/>
  <c r="R582" i="4"/>
  <c r="O582" i="4"/>
  <c r="G582" i="4"/>
  <c r="Y581" i="4"/>
  <c r="J581" i="4"/>
  <c r="G581" i="4"/>
  <c r="Y580" i="4"/>
  <c r="J580" i="4"/>
  <c r="G580" i="4"/>
  <c r="Y579" i="4"/>
  <c r="J579" i="4"/>
  <c r="G579" i="4"/>
  <c r="Y578" i="4"/>
  <c r="J578" i="4"/>
  <c r="G578" i="4"/>
  <c r="X577" i="4"/>
  <c r="W577" i="4"/>
  <c r="Y577" i="4" s="1"/>
  <c r="V577" i="4"/>
  <c r="V571" i="4" s="1"/>
  <c r="V592" i="4" s="1"/>
  <c r="U577" i="4"/>
  <c r="T577" i="4"/>
  <c r="S577" i="4"/>
  <c r="R577" i="4"/>
  <c r="Q577" i="4"/>
  <c r="P577" i="4"/>
  <c r="O577" i="4"/>
  <c r="N577" i="4"/>
  <c r="N571" i="4" s="1"/>
  <c r="N592" i="4" s="1"/>
  <c r="M577" i="4"/>
  <c r="L577" i="4"/>
  <c r="K577" i="4"/>
  <c r="J577" i="4"/>
  <c r="G577" i="4"/>
  <c r="Y576" i="4"/>
  <c r="J576" i="4"/>
  <c r="G576" i="4"/>
  <c r="Y575" i="4"/>
  <c r="G575" i="4"/>
  <c r="Y574" i="4"/>
  <c r="J574" i="4"/>
  <c r="G574" i="4"/>
  <c r="Y573" i="4"/>
  <c r="Q573" i="4"/>
  <c r="P573" i="4"/>
  <c r="O573" i="4"/>
  <c r="L573" i="4"/>
  <c r="K573" i="4"/>
  <c r="J573" i="4"/>
  <c r="J572" i="4" s="1"/>
  <c r="J571" i="4" s="1"/>
  <c r="G573" i="4"/>
  <c r="Y572" i="4"/>
  <c r="X572" i="4"/>
  <c r="X571" i="4" s="1"/>
  <c r="X592" i="4" s="1"/>
  <c r="W572" i="4"/>
  <c r="W571" i="4" s="1"/>
  <c r="V572" i="4"/>
  <c r="U572" i="4"/>
  <c r="T572" i="4"/>
  <c r="S572" i="4"/>
  <c r="S571" i="4" s="1"/>
  <c r="S592" i="4" s="1"/>
  <c r="R572" i="4"/>
  <c r="R571" i="4" s="1"/>
  <c r="R592" i="4" s="1"/>
  <c r="Q572" i="4"/>
  <c r="Q571" i="4" s="1"/>
  <c r="Q592" i="4" s="1"/>
  <c r="P572" i="4"/>
  <c r="P571" i="4" s="1"/>
  <c r="P592" i="4" s="1"/>
  <c r="O572" i="4"/>
  <c r="O571" i="4" s="1"/>
  <c r="O592" i="4" s="1"/>
  <c r="N572" i="4"/>
  <c r="M572" i="4"/>
  <c r="L572" i="4"/>
  <c r="K572" i="4"/>
  <c r="K571" i="4" s="1"/>
  <c r="K592" i="4" s="1"/>
  <c r="G572" i="4"/>
  <c r="U571" i="4"/>
  <c r="T571" i="4"/>
  <c r="T592" i="4" s="1"/>
  <c r="M571" i="4"/>
  <c r="L571" i="4"/>
  <c r="L592" i="4" s="1"/>
  <c r="G571" i="4"/>
  <c r="Y570" i="4"/>
  <c r="X570" i="4"/>
  <c r="W570" i="4"/>
  <c r="V570" i="4"/>
  <c r="U570" i="4"/>
  <c r="T570" i="4"/>
  <c r="S570" i="4"/>
  <c r="R570" i="4"/>
  <c r="Q570" i="4"/>
  <c r="P570" i="4"/>
  <c r="O570" i="4"/>
  <c r="N570" i="4"/>
  <c r="M570" i="4"/>
  <c r="L570" i="4"/>
  <c r="K570" i="4"/>
  <c r="G570" i="4"/>
  <c r="Y569" i="4"/>
  <c r="X569" i="4"/>
  <c r="W569" i="4"/>
  <c r="V569" i="4"/>
  <c r="U569" i="4"/>
  <c r="T569" i="4"/>
  <c r="S569" i="4"/>
  <c r="R569" i="4"/>
  <c r="Q569" i="4"/>
  <c r="P569" i="4"/>
  <c r="O569" i="4"/>
  <c r="N569" i="4"/>
  <c r="M569" i="4"/>
  <c r="L569" i="4"/>
  <c r="K569" i="4"/>
  <c r="G569" i="4"/>
  <c r="X568" i="4"/>
  <c r="W568" i="4"/>
  <c r="Y568" i="4" s="1"/>
  <c r="V568" i="4"/>
  <c r="Z568" i="4" s="1"/>
  <c r="U568" i="4"/>
  <c r="T568" i="4"/>
  <c r="S568" i="4"/>
  <c r="R568" i="4"/>
  <c r="Q568" i="4"/>
  <c r="P568" i="4"/>
  <c r="O568" i="4"/>
  <c r="N568" i="4"/>
  <c r="M568" i="4"/>
  <c r="L568" i="4"/>
  <c r="K568" i="4"/>
  <c r="G568" i="4"/>
  <c r="Y567" i="4"/>
  <c r="G567" i="4"/>
  <c r="Y566" i="4"/>
  <c r="G566" i="4"/>
  <c r="Y565" i="4"/>
  <c r="G565" i="4"/>
  <c r="Y564" i="4"/>
  <c r="G564" i="4"/>
  <c r="X563" i="4"/>
  <c r="W563" i="4"/>
  <c r="Y563" i="4" s="1"/>
  <c r="V563" i="4"/>
  <c r="U563" i="4"/>
  <c r="T563" i="4"/>
  <c r="S563" i="4"/>
  <c r="R563" i="4"/>
  <c r="Q563" i="4"/>
  <c r="P563" i="4"/>
  <c r="O563" i="4"/>
  <c r="N563" i="4"/>
  <c r="M563" i="4"/>
  <c r="L563" i="4"/>
  <c r="K563" i="4"/>
  <c r="G563" i="4"/>
  <c r="Y562" i="4"/>
  <c r="J562" i="4"/>
  <c r="G562" i="4"/>
  <c r="Y561" i="4"/>
  <c r="N561" i="4"/>
  <c r="G561" i="4"/>
  <c r="Y560" i="4"/>
  <c r="X560" i="4"/>
  <c r="W560" i="4"/>
  <c r="V560" i="4"/>
  <c r="U560" i="4"/>
  <c r="T560" i="4"/>
  <c r="S560" i="4"/>
  <c r="R560" i="4"/>
  <c r="Q560" i="4"/>
  <c r="P560" i="4"/>
  <c r="O560" i="4"/>
  <c r="N560" i="4"/>
  <c r="M560" i="4"/>
  <c r="M561" i="4" s="1"/>
  <c r="L560" i="4"/>
  <c r="K560" i="4"/>
  <c r="G560" i="4"/>
  <c r="Y559" i="4"/>
  <c r="J559" i="4"/>
  <c r="G559" i="4"/>
  <c r="Y558" i="4"/>
  <c r="Q558" i="4"/>
  <c r="P558" i="4"/>
  <c r="O558" i="4"/>
  <c r="N558" i="4"/>
  <c r="J558" i="4"/>
  <c r="G558" i="4"/>
  <c r="Y557" i="4"/>
  <c r="J557" i="4"/>
  <c r="G557" i="4"/>
  <c r="Y556" i="4"/>
  <c r="J556" i="4"/>
  <c r="G556" i="4"/>
  <c r="Y555" i="4"/>
  <c r="G555" i="4"/>
  <c r="Y554" i="4"/>
  <c r="G553" i="4"/>
  <c r="Y552" i="4"/>
  <c r="J552" i="4"/>
  <c r="G552" i="4"/>
  <c r="Y551" i="4"/>
  <c r="G551" i="4"/>
  <c r="Y550" i="4"/>
  <c r="J550" i="4"/>
  <c r="G550" i="4"/>
  <c r="Y549" i="4"/>
  <c r="J549" i="4"/>
  <c r="G549" i="4"/>
  <c r="Y548" i="4"/>
  <c r="J548" i="4"/>
  <c r="G548" i="4"/>
  <c r="Y547" i="4"/>
  <c r="J547" i="4"/>
  <c r="G547" i="4"/>
  <c r="Y546" i="4"/>
  <c r="J546" i="4"/>
  <c r="J544" i="4" s="1"/>
  <c r="G546" i="4"/>
  <c r="Y545" i="4"/>
  <c r="J545" i="4"/>
  <c r="G545" i="4"/>
  <c r="Y544" i="4"/>
  <c r="X544" i="4"/>
  <c r="W544" i="4"/>
  <c r="V544" i="4"/>
  <c r="U544" i="4"/>
  <c r="T544" i="4"/>
  <c r="S544" i="4"/>
  <c r="R544" i="4"/>
  <c r="Q544" i="4"/>
  <c r="P544" i="4"/>
  <c r="O544" i="4"/>
  <c r="N544" i="4"/>
  <c r="M544" i="4"/>
  <c r="L544" i="4"/>
  <c r="K544" i="4"/>
  <c r="G544" i="4"/>
  <c r="W543" i="4"/>
  <c r="V543" i="4"/>
  <c r="Y543" i="4" s="1"/>
  <c r="U543" i="4"/>
  <c r="R543" i="4"/>
  <c r="O543" i="4"/>
  <c r="L543" i="4"/>
  <c r="J543" i="4"/>
  <c r="G543" i="4"/>
  <c r="Y542" i="4"/>
  <c r="J542" i="4"/>
  <c r="G542" i="4"/>
  <c r="Y541" i="4"/>
  <c r="J541" i="4"/>
  <c r="G541" i="4"/>
  <c r="Y540" i="4"/>
  <c r="J540" i="4"/>
  <c r="G540" i="4"/>
  <c r="Y539" i="4"/>
  <c r="J539" i="4"/>
  <c r="J538" i="4" s="1"/>
  <c r="G539" i="4"/>
  <c r="X538" i="4"/>
  <c r="W538" i="4"/>
  <c r="Y538" i="4" s="1"/>
  <c r="V538" i="4"/>
  <c r="U538" i="4"/>
  <c r="T538" i="4"/>
  <c r="S538" i="4"/>
  <c r="R538" i="4"/>
  <c r="Q538" i="4"/>
  <c r="P538" i="4"/>
  <c r="O538" i="4"/>
  <c r="O532" i="4" s="1"/>
  <c r="O553" i="4" s="1"/>
  <c r="N538" i="4"/>
  <c r="M538" i="4"/>
  <c r="L538" i="4"/>
  <c r="K538" i="4"/>
  <c r="G538" i="4"/>
  <c r="W537" i="4"/>
  <c r="W533" i="4" s="1"/>
  <c r="V537" i="4"/>
  <c r="V533" i="4" s="1"/>
  <c r="V532" i="4" s="1"/>
  <c r="V553" i="4" s="1"/>
  <c r="G537" i="4"/>
  <c r="Y536" i="4"/>
  <c r="V536" i="4"/>
  <c r="L536" i="4"/>
  <c r="G536" i="4"/>
  <c r="Y535" i="4"/>
  <c r="J535" i="4"/>
  <c r="G535" i="4"/>
  <c r="Y534" i="4"/>
  <c r="X534" i="4"/>
  <c r="X533" i="4" s="1"/>
  <c r="X532" i="4" s="1"/>
  <c r="X553" i="4" s="1"/>
  <c r="W534" i="4"/>
  <c r="V534" i="4"/>
  <c r="U534" i="4"/>
  <c r="T534" i="4"/>
  <c r="T533" i="4" s="1"/>
  <c r="T532" i="4" s="1"/>
  <c r="T553" i="4" s="1"/>
  <c r="S534" i="4"/>
  <c r="R534" i="4"/>
  <c r="Q534" i="4"/>
  <c r="J534" i="4" s="1"/>
  <c r="P534" i="4"/>
  <c r="P533" i="4" s="1"/>
  <c r="P532" i="4" s="1"/>
  <c r="P553" i="4" s="1"/>
  <c r="O534" i="4"/>
  <c r="N534" i="4"/>
  <c r="M534" i="4"/>
  <c r="L534" i="4"/>
  <c r="L533" i="4" s="1"/>
  <c r="L532" i="4" s="1"/>
  <c r="L553" i="4" s="1"/>
  <c r="K534" i="4"/>
  <c r="G534" i="4"/>
  <c r="U533" i="4"/>
  <c r="U532" i="4" s="1"/>
  <c r="U553" i="4" s="1"/>
  <c r="S533" i="4"/>
  <c r="R533" i="4"/>
  <c r="R532" i="4" s="1"/>
  <c r="R553" i="4" s="1"/>
  <c r="O533" i="4"/>
  <c r="N533" i="4"/>
  <c r="M533" i="4"/>
  <c r="M532" i="4" s="1"/>
  <c r="M553" i="4" s="1"/>
  <c r="K533" i="4"/>
  <c r="G533" i="4"/>
  <c r="S532" i="4"/>
  <c r="S553" i="4" s="1"/>
  <c r="N532" i="4"/>
  <c r="N553" i="4" s="1"/>
  <c r="K532" i="4"/>
  <c r="K553" i="4" s="1"/>
  <c r="G532" i="4"/>
  <c r="X531" i="4"/>
  <c r="W531" i="4"/>
  <c r="U531" i="4"/>
  <c r="T531" i="4"/>
  <c r="S531" i="4"/>
  <c r="R531" i="4"/>
  <c r="Q531" i="4"/>
  <c r="P531" i="4"/>
  <c r="O531" i="4"/>
  <c r="N531" i="4"/>
  <c r="M531" i="4"/>
  <c r="L531" i="4"/>
  <c r="K531" i="4"/>
  <c r="G531" i="4"/>
  <c r="X530" i="4"/>
  <c r="W530" i="4"/>
  <c r="Y530" i="4" s="1"/>
  <c r="V530" i="4"/>
  <c r="U530" i="4"/>
  <c r="T530" i="4"/>
  <c r="S530" i="4"/>
  <c r="R530" i="4"/>
  <c r="Q530" i="4"/>
  <c r="P530" i="4"/>
  <c r="O530" i="4"/>
  <c r="N530" i="4"/>
  <c r="M530" i="4"/>
  <c r="L530" i="4"/>
  <c r="K530" i="4"/>
  <c r="G530" i="4"/>
  <c r="X529" i="4"/>
  <c r="T529" i="4"/>
  <c r="S529" i="4"/>
  <c r="R529" i="4"/>
  <c r="Q529" i="4"/>
  <c r="P529" i="4"/>
  <c r="O529" i="4"/>
  <c r="N529" i="4"/>
  <c r="M529" i="4"/>
  <c r="L529" i="4"/>
  <c r="K529" i="4"/>
  <c r="G529" i="4"/>
  <c r="V528" i="4"/>
  <c r="Y528" i="4" s="1"/>
  <c r="G528" i="4"/>
  <c r="W527" i="4"/>
  <c r="W529" i="4" s="1"/>
  <c r="G527" i="4"/>
  <c r="Y526" i="4"/>
  <c r="G526" i="4"/>
  <c r="Y525" i="4"/>
  <c r="G525" i="4"/>
  <c r="X524" i="4"/>
  <c r="W524" i="4"/>
  <c r="Y524" i="4" s="1"/>
  <c r="V524" i="4"/>
  <c r="U524" i="4"/>
  <c r="T524" i="4"/>
  <c r="S524" i="4"/>
  <c r="R524" i="4"/>
  <c r="Q524" i="4"/>
  <c r="P524" i="4"/>
  <c r="O524" i="4"/>
  <c r="N524" i="4"/>
  <c r="M524" i="4"/>
  <c r="L524" i="4"/>
  <c r="K524" i="4"/>
  <c r="G524" i="4"/>
  <c r="Y523" i="4"/>
  <c r="J523" i="4"/>
  <c r="G523" i="4"/>
  <c r="G522" i="4"/>
  <c r="Y521" i="4"/>
  <c r="X521" i="4"/>
  <c r="X522" i="4" s="1"/>
  <c r="W521" i="4"/>
  <c r="W522" i="4" s="1"/>
  <c r="Y522" i="4" s="1"/>
  <c r="V521" i="4"/>
  <c r="V522" i="4" s="1"/>
  <c r="U521" i="4"/>
  <c r="U522" i="4" s="1"/>
  <c r="T521" i="4"/>
  <c r="T522" i="4" s="1"/>
  <c r="S521" i="4"/>
  <c r="S522" i="4" s="1"/>
  <c r="R521" i="4"/>
  <c r="R522" i="4" s="1"/>
  <c r="Q521" i="4"/>
  <c r="Q522" i="4" s="1"/>
  <c r="P521" i="4"/>
  <c r="P522" i="4" s="1"/>
  <c r="O521" i="4"/>
  <c r="O522" i="4" s="1"/>
  <c r="N521" i="4"/>
  <c r="N522" i="4" s="1"/>
  <c r="M521" i="4"/>
  <c r="M522" i="4" s="1"/>
  <c r="L521" i="4"/>
  <c r="L522" i="4" s="1"/>
  <c r="K521" i="4"/>
  <c r="G521" i="4"/>
  <c r="Y520" i="4"/>
  <c r="J520" i="4"/>
  <c r="G520" i="4"/>
  <c r="Y519" i="4"/>
  <c r="Q519" i="4"/>
  <c r="P519" i="4"/>
  <c r="O519" i="4"/>
  <c r="N519" i="4"/>
  <c r="M519" i="4"/>
  <c r="G519" i="4"/>
  <c r="Y518" i="4"/>
  <c r="J518" i="4"/>
  <c r="G518" i="4"/>
  <c r="Y517" i="4"/>
  <c r="J517" i="4"/>
  <c r="G517" i="4"/>
  <c r="Y516" i="4"/>
  <c r="Y515" i="4"/>
  <c r="G514" i="4"/>
  <c r="Y513" i="4"/>
  <c r="J513" i="4"/>
  <c r="G513" i="4"/>
  <c r="Y512" i="4"/>
  <c r="G512" i="4"/>
  <c r="Y511" i="4"/>
  <c r="J511" i="4"/>
  <c r="G511" i="4"/>
  <c r="Y510" i="4"/>
  <c r="J510" i="4"/>
  <c r="G510" i="4"/>
  <c r="Y509" i="4"/>
  <c r="J509" i="4"/>
  <c r="G509" i="4"/>
  <c r="Y508" i="4"/>
  <c r="J508" i="4"/>
  <c r="G508" i="4"/>
  <c r="Y507" i="4"/>
  <c r="G507" i="4"/>
  <c r="Y506" i="4"/>
  <c r="J506" i="4"/>
  <c r="J505" i="4" s="1"/>
  <c r="G506" i="4"/>
  <c r="X505" i="4"/>
  <c r="W505" i="4"/>
  <c r="Y505" i="4" s="1"/>
  <c r="V505" i="4"/>
  <c r="U505" i="4"/>
  <c r="T505" i="4"/>
  <c r="S505" i="4"/>
  <c r="R505" i="4"/>
  <c r="Q505" i="4"/>
  <c r="P505" i="4"/>
  <c r="O505" i="4"/>
  <c r="N505" i="4"/>
  <c r="M505" i="4"/>
  <c r="L505" i="4"/>
  <c r="K505" i="4"/>
  <c r="G505" i="4"/>
  <c r="Y504" i="4"/>
  <c r="U504" i="4"/>
  <c r="R504" i="4"/>
  <c r="O504" i="4"/>
  <c r="J504" i="4" s="1"/>
  <c r="L504" i="4"/>
  <c r="G504" i="4"/>
  <c r="Y503" i="4"/>
  <c r="J503" i="4"/>
  <c r="G503" i="4"/>
  <c r="Y502" i="4"/>
  <c r="J502" i="4"/>
  <c r="G502" i="4"/>
  <c r="Y501" i="4"/>
  <c r="J501" i="4"/>
  <c r="G501" i="4"/>
  <c r="Y500" i="4"/>
  <c r="J500" i="4"/>
  <c r="J499" i="4" s="1"/>
  <c r="G500" i="4"/>
  <c r="Y499" i="4"/>
  <c r="X499" i="4"/>
  <c r="W499" i="4"/>
  <c r="V499" i="4"/>
  <c r="U499" i="4"/>
  <c r="T499" i="4"/>
  <c r="S499" i="4"/>
  <c r="R499" i="4"/>
  <c r="Q499" i="4"/>
  <c r="Q493" i="4" s="1"/>
  <c r="Q514" i="4" s="1"/>
  <c r="P499" i="4"/>
  <c r="O499" i="4"/>
  <c r="N499" i="4"/>
  <c r="M499" i="4"/>
  <c r="L499" i="4"/>
  <c r="K499" i="4"/>
  <c r="G499" i="4"/>
  <c r="Y498" i="4"/>
  <c r="L498" i="4"/>
  <c r="J498" i="4"/>
  <c r="G498" i="4"/>
  <c r="Y497" i="4"/>
  <c r="L497" i="4"/>
  <c r="M495" i="4" s="1"/>
  <c r="G497" i="4"/>
  <c r="Y496" i="4"/>
  <c r="J496" i="4"/>
  <c r="G496" i="4"/>
  <c r="X495" i="4"/>
  <c r="W495" i="4"/>
  <c r="Y495" i="4" s="1"/>
  <c r="V495" i="4"/>
  <c r="V494" i="4" s="1"/>
  <c r="V493" i="4" s="1"/>
  <c r="V514" i="4" s="1"/>
  <c r="U495" i="4"/>
  <c r="T495" i="4"/>
  <c r="S495" i="4"/>
  <c r="S494" i="4" s="1"/>
  <c r="S493" i="4" s="1"/>
  <c r="S514" i="4" s="1"/>
  <c r="R495" i="4"/>
  <c r="R494" i="4" s="1"/>
  <c r="R493" i="4" s="1"/>
  <c r="R514" i="4" s="1"/>
  <c r="Q495" i="4"/>
  <c r="P495" i="4"/>
  <c r="O495" i="4"/>
  <c r="N495" i="4"/>
  <c r="N494" i="4" s="1"/>
  <c r="N493" i="4" s="1"/>
  <c r="N514" i="4" s="1"/>
  <c r="K495" i="4"/>
  <c r="K494" i="4" s="1"/>
  <c r="K493" i="4" s="1"/>
  <c r="K514" i="4" s="1"/>
  <c r="G495" i="4"/>
  <c r="X494" i="4"/>
  <c r="W494" i="4"/>
  <c r="U494" i="4"/>
  <c r="T494" i="4"/>
  <c r="T493" i="4" s="1"/>
  <c r="T514" i="4" s="1"/>
  <c r="Q494" i="4"/>
  <c r="P494" i="4"/>
  <c r="O494" i="4"/>
  <c r="O493" i="4" s="1"/>
  <c r="O514" i="4" s="1"/>
  <c r="G494" i="4"/>
  <c r="X493" i="4"/>
  <c r="X514" i="4" s="1"/>
  <c r="U493" i="4"/>
  <c r="U514" i="4" s="1"/>
  <c r="P493" i="4"/>
  <c r="P514" i="4" s="1"/>
  <c r="G493" i="4"/>
  <c r="Y492" i="4"/>
  <c r="X492" i="4"/>
  <c r="W492" i="4"/>
  <c r="V492" i="4"/>
  <c r="U492" i="4"/>
  <c r="T492" i="4"/>
  <c r="S492" i="4"/>
  <c r="R492" i="4"/>
  <c r="Q492" i="4"/>
  <c r="P492" i="4"/>
  <c r="O492" i="4"/>
  <c r="N492" i="4"/>
  <c r="M492" i="4"/>
  <c r="L492" i="4"/>
  <c r="K492" i="4"/>
  <c r="G492" i="4"/>
  <c r="Y491" i="4"/>
  <c r="X491" i="4"/>
  <c r="W491" i="4"/>
  <c r="V491" i="4"/>
  <c r="U491" i="4"/>
  <c r="T491" i="4"/>
  <c r="S491" i="4"/>
  <c r="R491" i="4"/>
  <c r="Q491" i="4"/>
  <c r="P491" i="4"/>
  <c r="O491" i="4"/>
  <c r="N491" i="4"/>
  <c r="M491" i="4"/>
  <c r="L491" i="4"/>
  <c r="K491" i="4"/>
  <c r="G491" i="4"/>
  <c r="Y490" i="4"/>
  <c r="X490" i="4"/>
  <c r="W490" i="4"/>
  <c r="V490" i="4"/>
  <c r="U490" i="4"/>
  <c r="T490" i="4"/>
  <c r="S490" i="4"/>
  <c r="R490" i="4"/>
  <c r="Q490" i="4"/>
  <c r="P490" i="4"/>
  <c r="O490" i="4"/>
  <c r="N490" i="4"/>
  <c r="M490" i="4"/>
  <c r="L490" i="4"/>
  <c r="K490" i="4"/>
  <c r="G490" i="4"/>
  <c r="Y489" i="4"/>
  <c r="G489" i="4"/>
  <c r="Y488" i="4"/>
  <c r="G488" i="4"/>
  <c r="Y487" i="4"/>
  <c r="N487" i="4"/>
  <c r="G487" i="4"/>
  <c r="Y486" i="4"/>
  <c r="G486" i="4"/>
  <c r="X485" i="4"/>
  <c r="W485" i="4"/>
  <c r="Y485" i="4" s="1"/>
  <c r="V485" i="4"/>
  <c r="U485" i="4"/>
  <c r="T485" i="4"/>
  <c r="S485" i="4"/>
  <c r="R485" i="4"/>
  <c r="Q485" i="4"/>
  <c r="P485" i="4"/>
  <c r="O485" i="4"/>
  <c r="N485" i="4"/>
  <c r="M485" i="4"/>
  <c r="L485" i="4"/>
  <c r="K485" i="4"/>
  <c r="G485" i="4"/>
  <c r="X484" i="4"/>
  <c r="W484" i="4"/>
  <c r="Y484" i="4" s="1"/>
  <c r="V484" i="4"/>
  <c r="U484" i="4"/>
  <c r="T484" i="4"/>
  <c r="S484" i="4"/>
  <c r="R484" i="4"/>
  <c r="Q484" i="4"/>
  <c r="P484" i="4"/>
  <c r="O484" i="4"/>
  <c r="N484" i="4"/>
  <c r="M484" i="4"/>
  <c r="L484" i="4"/>
  <c r="K484" i="4"/>
  <c r="J484" i="4"/>
  <c r="G484" i="4"/>
  <c r="Y483" i="4"/>
  <c r="J483" i="4"/>
  <c r="G483" i="4"/>
  <c r="Y482" i="4"/>
  <c r="J482" i="4"/>
  <c r="G482" i="4"/>
  <c r="Y481" i="4"/>
  <c r="J481" i="4"/>
  <c r="G481" i="4"/>
  <c r="Y480" i="4"/>
  <c r="P480" i="4"/>
  <c r="O480" i="4"/>
  <c r="N480" i="4"/>
  <c r="M480" i="4"/>
  <c r="J480" i="4"/>
  <c r="G480" i="4"/>
  <c r="Y479" i="4"/>
  <c r="G479" i="4"/>
  <c r="Y478" i="4"/>
  <c r="J478" i="4"/>
  <c r="G478" i="4"/>
  <c r="Y477" i="4"/>
  <c r="G477" i="4"/>
  <c r="G475" i="4"/>
  <c r="Y474" i="4"/>
  <c r="J474" i="4"/>
  <c r="G474" i="4"/>
  <c r="Y473" i="4"/>
  <c r="G473" i="4"/>
  <c r="Y472" i="4"/>
  <c r="J472" i="4"/>
  <c r="G472" i="4"/>
  <c r="Y471" i="4"/>
  <c r="J471" i="4"/>
  <c r="G471" i="4"/>
  <c r="Y470" i="4"/>
  <c r="J470" i="4"/>
  <c r="G470" i="4"/>
  <c r="Y469" i="4"/>
  <c r="J469" i="4"/>
  <c r="G469" i="4"/>
  <c r="Y468" i="4"/>
  <c r="J468" i="4"/>
  <c r="G468" i="4"/>
  <c r="Y467" i="4"/>
  <c r="J467" i="4"/>
  <c r="G467" i="4"/>
  <c r="Y466" i="4"/>
  <c r="X466" i="4"/>
  <c r="W466" i="4"/>
  <c r="V466" i="4"/>
  <c r="U466" i="4"/>
  <c r="T466" i="4"/>
  <c r="S466" i="4"/>
  <c r="R466" i="4"/>
  <c r="Q466" i="4"/>
  <c r="P466" i="4"/>
  <c r="O466" i="4"/>
  <c r="N466" i="4"/>
  <c r="M466" i="4"/>
  <c r="L466" i="4"/>
  <c r="K466" i="4"/>
  <c r="J466" i="4"/>
  <c r="G466" i="4"/>
  <c r="Y465" i="4"/>
  <c r="J465" i="4"/>
  <c r="G465" i="4"/>
  <c r="Y464" i="4"/>
  <c r="J464" i="4"/>
  <c r="G464" i="4"/>
  <c r="Y463" i="4"/>
  <c r="J463" i="4"/>
  <c r="G463" i="4"/>
  <c r="Y462" i="4"/>
  <c r="J462" i="4"/>
  <c r="G462" i="4"/>
  <c r="Y461" i="4"/>
  <c r="J461" i="4"/>
  <c r="G461" i="4"/>
  <c r="Y460" i="4"/>
  <c r="X460" i="4"/>
  <c r="W460" i="4"/>
  <c r="W454" i="4" s="1"/>
  <c r="V460" i="4"/>
  <c r="U460" i="4"/>
  <c r="T460" i="4"/>
  <c r="S460" i="4"/>
  <c r="R460" i="4"/>
  <c r="Q460" i="4"/>
  <c r="P460" i="4"/>
  <c r="O460" i="4"/>
  <c r="O454" i="4" s="1"/>
  <c r="O475" i="4" s="1"/>
  <c r="N460" i="4"/>
  <c r="M460" i="4"/>
  <c r="L460" i="4"/>
  <c r="K460" i="4"/>
  <c r="J460" i="4"/>
  <c r="G460" i="4"/>
  <c r="Y459" i="4"/>
  <c r="J459" i="4"/>
  <c r="G459" i="4"/>
  <c r="Y458" i="4"/>
  <c r="J458" i="4"/>
  <c r="G458" i="4"/>
  <c r="Y457" i="4"/>
  <c r="J457" i="4"/>
  <c r="G457" i="4"/>
  <c r="Y456" i="4"/>
  <c r="X456" i="4"/>
  <c r="X455" i="4" s="1"/>
  <c r="X454" i="4" s="1"/>
  <c r="X475" i="4" s="1"/>
  <c r="W456" i="4"/>
  <c r="V456" i="4"/>
  <c r="U456" i="4"/>
  <c r="T456" i="4"/>
  <c r="T455" i="4" s="1"/>
  <c r="T454" i="4" s="1"/>
  <c r="T475" i="4" s="1"/>
  <c r="S456" i="4"/>
  <c r="R456" i="4"/>
  <c r="R455" i="4" s="1"/>
  <c r="R454" i="4" s="1"/>
  <c r="R475" i="4" s="1"/>
  <c r="Q456" i="4"/>
  <c r="Q455" i="4" s="1"/>
  <c r="Q454" i="4" s="1"/>
  <c r="Q475" i="4" s="1"/>
  <c r="P456" i="4"/>
  <c r="P455" i="4" s="1"/>
  <c r="P454" i="4" s="1"/>
  <c r="P475" i="4" s="1"/>
  <c r="O456" i="4"/>
  <c r="N456" i="4"/>
  <c r="M456" i="4"/>
  <c r="L456" i="4"/>
  <c r="L455" i="4" s="1"/>
  <c r="L454" i="4" s="1"/>
  <c r="L475" i="4" s="1"/>
  <c r="K456" i="4"/>
  <c r="G456" i="4"/>
  <c r="Y455" i="4"/>
  <c r="W455" i="4"/>
  <c r="V455" i="4"/>
  <c r="U455" i="4"/>
  <c r="U454" i="4" s="1"/>
  <c r="U475" i="4" s="1"/>
  <c r="S455" i="4"/>
  <c r="S454" i="4" s="1"/>
  <c r="S475" i="4" s="1"/>
  <c r="O455" i="4"/>
  <c r="N455" i="4"/>
  <c r="M455" i="4"/>
  <c r="M454" i="4" s="1"/>
  <c r="M475" i="4" s="1"/>
  <c r="K455" i="4"/>
  <c r="K454" i="4" s="1"/>
  <c r="K475" i="4" s="1"/>
  <c r="G455" i="4"/>
  <c r="V454" i="4"/>
  <c r="V475" i="4" s="1"/>
  <c r="N454" i="4"/>
  <c r="N475" i="4" s="1"/>
  <c r="G454" i="4"/>
  <c r="X453" i="4"/>
  <c r="W453" i="4"/>
  <c r="Y453" i="4" s="1"/>
  <c r="V453" i="4"/>
  <c r="U453" i="4"/>
  <c r="T453" i="4"/>
  <c r="S453" i="4"/>
  <c r="R453" i="4"/>
  <c r="Q453" i="4"/>
  <c r="P453" i="4"/>
  <c r="G453" i="4"/>
  <c r="Y452" i="4"/>
  <c r="X452" i="4"/>
  <c r="W452" i="4"/>
  <c r="V452" i="4"/>
  <c r="U452" i="4"/>
  <c r="T452" i="4"/>
  <c r="S452" i="4"/>
  <c r="R452" i="4"/>
  <c r="Q452" i="4"/>
  <c r="P452" i="4"/>
  <c r="G452" i="4"/>
  <c r="Y451" i="4"/>
  <c r="U451" i="4"/>
  <c r="T451" i="4"/>
  <c r="S451" i="4"/>
  <c r="G451" i="4"/>
  <c r="Y450" i="4"/>
  <c r="G450" i="4"/>
  <c r="Y449" i="4"/>
  <c r="G449" i="4"/>
  <c r="Y448" i="4"/>
  <c r="G448" i="4"/>
  <c r="Y447" i="4"/>
  <c r="J447" i="4"/>
  <c r="G447" i="4"/>
  <c r="Y446" i="4"/>
  <c r="X446" i="4"/>
  <c r="W446" i="4"/>
  <c r="V446" i="4"/>
  <c r="U446" i="4"/>
  <c r="T446" i="4"/>
  <c r="S446" i="4"/>
  <c r="R446" i="4"/>
  <c r="Q446" i="4"/>
  <c r="P446" i="4"/>
  <c r="O446" i="4"/>
  <c r="N446" i="4"/>
  <c r="M446" i="4"/>
  <c r="L446" i="4"/>
  <c r="K446" i="4"/>
  <c r="J446" i="4"/>
  <c r="G446" i="4"/>
  <c r="Y445" i="4"/>
  <c r="J445" i="4"/>
  <c r="G445" i="4"/>
  <c r="X444" i="4"/>
  <c r="W444" i="4"/>
  <c r="Y444" i="4" s="1"/>
  <c r="V444" i="4"/>
  <c r="U444" i="4"/>
  <c r="T444" i="4"/>
  <c r="S444" i="4"/>
  <c r="R444" i="4"/>
  <c r="Q444" i="4"/>
  <c r="P444" i="4"/>
  <c r="O444" i="4"/>
  <c r="N444" i="4"/>
  <c r="M444" i="4"/>
  <c r="J444" i="4" s="1"/>
  <c r="L444" i="4"/>
  <c r="K444" i="4"/>
  <c r="G444" i="4"/>
  <c r="Y443" i="4"/>
  <c r="J443" i="4"/>
  <c r="G443" i="4"/>
  <c r="Y442" i="4"/>
  <c r="J442" i="4"/>
  <c r="G442" i="4"/>
  <c r="Y441" i="4"/>
  <c r="J441" i="4"/>
  <c r="G441" i="4"/>
  <c r="Y440" i="4"/>
  <c r="G440" i="4"/>
  <c r="Y439" i="4"/>
  <c r="J439" i="4"/>
  <c r="G439" i="4"/>
  <c r="Y438" i="4"/>
  <c r="G438" i="4"/>
  <c r="G436" i="4"/>
  <c r="Y435" i="4"/>
  <c r="J435" i="4"/>
  <c r="G435" i="4"/>
  <c r="Y434" i="4"/>
  <c r="G434" i="4"/>
  <c r="Y433" i="4"/>
  <c r="J433" i="4"/>
  <c r="G433" i="4"/>
  <c r="Y432" i="4"/>
  <c r="J432" i="4"/>
  <c r="G432" i="4"/>
  <c r="Y431" i="4"/>
  <c r="J431" i="4"/>
  <c r="G431" i="4"/>
  <c r="Y430" i="4"/>
  <c r="J430" i="4"/>
  <c r="G430" i="4"/>
  <c r="Y429" i="4"/>
  <c r="J429" i="4"/>
  <c r="J427" i="4" s="1"/>
  <c r="G429" i="4"/>
  <c r="Y428" i="4"/>
  <c r="J428" i="4"/>
  <c r="G428" i="4"/>
  <c r="X427" i="4"/>
  <c r="Y427" i="4" s="1"/>
  <c r="W427" i="4"/>
  <c r="V427" i="4"/>
  <c r="U427" i="4"/>
  <c r="T427" i="4"/>
  <c r="S427" i="4"/>
  <c r="R427" i="4"/>
  <c r="Q427" i="4"/>
  <c r="P427" i="4"/>
  <c r="O427" i="4"/>
  <c r="N427" i="4"/>
  <c r="M427" i="4"/>
  <c r="L427" i="4"/>
  <c r="K427" i="4"/>
  <c r="G427" i="4"/>
  <c r="Y426" i="4"/>
  <c r="J426" i="4"/>
  <c r="G426" i="4"/>
  <c r="Y425" i="4"/>
  <c r="J425" i="4"/>
  <c r="G425" i="4"/>
  <c r="Y424" i="4"/>
  <c r="J424" i="4"/>
  <c r="G424" i="4"/>
  <c r="Y423" i="4"/>
  <c r="J423" i="4"/>
  <c r="J421" i="4" s="1"/>
  <c r="G423" i="4"/>
  <c r="Y422" i="4"/>
  <c r="J422" i="4"/>
  <c r="G422" i="4"/>
  <c r="X421" i="4"/>
  <c r="Y421" i="4" s="1"/>
  <c r="W421" i="4"/>
  <c r="V421" i="4"/>
  <c r="U421" i="4"/>
  <c r="U415" i="4" s="1"/>
  <c r="U436" i="4" s="1"/>
  <c r="T421" i="4"/>
  <c r="S421" i="4"/>
  <c r="R421" i="4"/>
  <c r="Q421" i="4"/>
  <c r="P421" i="4"/>
  <c r="O421" i="4"/>
  <c r="N421" i="4"/>
  <c r="M421" i="4"/>
  <c r="M415" i="4" s="1"/>
  <c r="M436" i="4" s="1"/>
  <c r="L421" i="4"/>
  <c r="K421" i="4"/>
  <c r="G421" i="4"/>
  <c r="Y420" i="4"/>
  <c r="J420" i="4"/>
  <c r="G420" i="4"/>
  <c r="Y419" i="4"/>
  <c r="J419" i="4"/>
  <c r="G419" i="4"/>
  <c r="Y418" i="4"/>
  <c r="J418" i="4"/>
  <c r="G418" i="4"/>
  <c r="X417" i="4"/>
  <c r="Y417" i="4" s="1"/>
  <c r="W417" i="4"/>
  <c r="W416" i="4" s="1"/>
  <c r="W415" i="4" s="1"/>
  <c r="W436" i="4" s="1"/>
  <c r="V417" i="4"/>
  <c r="V416" i="4" s="1"/>
  <c r="V415" i="4" s="1"/>
  <c r="V436" i="4" s="1"/>
  <c r="U417" i="4"/>
  <c r="T417" i="4"/>
  <c r="S417" i="4"/>
  <c r="R417" i="4"/>
  <c r="R416" i="4" s="1"/>
  <c r="R415" i="4" s="1"/>
  <c r="R436" i="4" s="1"/>
  <c r="Q417" i="4"/>
  <c r="P417" i="4"/>
  <c r="P416" i="4" s="1"/>
  <c r="P415" i="4" s="1"/>
  <c r="P436" i="4" s="1"/>
  <c r="O417" i="4"/>
  <c r="O416" i="4" s="1"/>
  <c r="O415" i="4" s="1"/>
  <c r="O436" i="4" s="1"/>
  <c r="N417" i="4"/>
  <c r="N416" i="4" s="1"/>
  <c r="N415" i="4" s="1"/>
  <c r="N436" i="4" s="1"/>
  <c r="M417" i="4"/>
  <c r="L417" i="4"/>
  <c r="K417" i="4"/>
  <c r="J417" i="4"/>
  <c r="J416" i="4" s="1"/>
  <c r="J415" i="4" s="1"/>
  <c r="J436" i="4" s="1"/>
  <c r="G417" i="4"/>
  <c r="U416" i="4"/>
  <c r="T416" i="4"/>
  <c r="S416" i="4"/>
  <c r="S415" i="4" s="1"/>
  <c r="S436" i="4" s="1"/>
  <c r="Q416" i="4"/>
  <c r="Q415" i="4" s="1"/>
  <c r="Q436" i="4" s="1"/>
  <c r="M416" i="4"/>
  <c r="L416" i="4"/>
  <c r="K416" i="4"/>
  <c r="K415" i="4" s="1"/>
  <c r="K436" i="4" s="1"/>
  <c r="G416" i="4"/>
  <c r="T415" i="4"/>
  <c r="T436" i="4" s="1"/>
  <c r="L415" i="4"/>
  <c r="L436" i="4" s="1"/>
  <c r="G415" i="4"/>
  <c r="Y414" i="4"/>
  <c r="X414" i="4"/>
  <c r="W414" i="4"/>
  <c r="V414" i="4"/>
  <c r="U414" i="4"/>
  <c r="T414" i="4"/>
  <c r="S414" i="4"/>
  <c r="R414" i="4"/>
  <c r="Q414" i="4"/>
  <c r="P414" i="4"/>
  <c r="G414" i="4"/>
  <c r="X413" i="4"/>
  <c r="Y413" i="4" s="1"/>
  <c r="W413" i="4"/>
  <c r="V413" i="4"/>
  <c r="U413" i="4"/>
  <c r="T413" i="4"/>
  <c r="S413" i="4"/>
  <c r="R413" i="4"/>
  <c r="Q413" i="4"/>
  <c r="P413" i="4"/>
  <c r="G413" i="4"/>
  <c r="Y412" i="4"/>
  <c r="U412" i="4"/>
  <c r="T412" i="4"/>
  <c r="S412" i="4"/>
  <c r="G412" i="4"/>
  <c r="Y411" i="4"/>
  <c r="G411" i="4"/>
  <c r="Y410" i="4"/>
  <c r="G410" i="4"/>
  <c r="Y409" i="4"/>
  <c r="G409" i="4"/>
  <c r="Y408" i="4"/>
  <c r="J408" i="4"/>
  <c r="G408" i="4"/>
  <c r="Y407" i="4"/>
  <c r="X407" i="4"/>
  <c r="J407" i="4" s="1"/>
  <c r="W407" i="4"/>
  <c r="V407" i="4"/>
  <c r="U407" i="4"/>
  <c r="T407" i="4"/>
  <c r="S407" i="4"/>
  <c r="R407" i="4"/>
  <c r="Q407" i="4"/>
  <c r="P407" i="4"/>
  <c r="O407" i="4"/>
  <c r="N407" i="4"/>
  <c r="M407" i="4"/>
  <c r="L407" i="4"/>
  <c r="K407" i="4"/>
  <c r="G407" i="4"/>
  <c r="Y406" i="4"/>
  <c r="J406" i="4"/>
  <c r="G406" i="4"/>
  <c r="Y405" i="4"/>
  <c r="X405" i="4"/>
  <c r="W405" i="4"/>
  <c r="V405" i="4"/>
  <c r="U405" i="4"/>
  <c r="T405" i="4"/>
  <c r="S405" i="4"/>
  <c r="R405" i="4"/>
  <c r="Q405" i="4"/>
  <c r="P405" i="4"/>
  <c r="O405" i="4"/>
  <c r="N405" i="4"/>
  <c r="M405" i="4"/>
  <c r="J405" i="4" s="1"/>
  <c r="L405" i="4"/>
  <c r="K405" i="4"/>
  <c r="G405" i="4"/>
  <c r="Y404" i="4"/>
  <c r="J404" i="4"/>
  <c r="G404" i="4"/>
  <c r="Y403" i="4"/>
  <c r="J403" i="4"/>
  <c r="G403" i="4"/>
  <c r="Y402" i="4"/>
  <c r="J402" i="4"/>
  <c r="G402" i="4"/>
  <c r="Y401" i="4"/>
  <c r="G401" i="4"/>
  <c r="Y400" i="4"/>
  <c r="J400" i="4"/>
  <c r="G400" i="4"/>
  <c r="Y399" i="4"/>
  <c r="G399" i="4"/>
  <c r="Y398" i="4"/>
  <c r="G397" i="4"/>
  <c r="Y396" i="4"/>
  <c r="J396" i="4"/>
  <c r="G396" i="4"/>
  <c r="Y395" i="4"/>
  <c r="G395" i="4"/>
  <c r="Y394" i="4"/>
  <c r="J394" i="4"/>
  <c r="G394" i="4"/>
  <c r="Y393" i="4"/>
  <c r="J393" i="4"/>
  <c r="G393" i="4"/>
  <c r="Y392" i="4"/>
  <c r="J392" i="4"/>
  <c r="G392" i="4"/>
  <c r="Y391" i="4"/>
  <c r="J391" i="4"/>
  <c r="G391" i="4"/>
  <c r="Y390" i="4"/>
  <c r="W390" i="4"/>
  <c r="U390" i="4"/>
  <c r="J390" i="4" s="1"/>
  <c r="J388" i="4" s="1"/>
  <c r="G390" i="4"/>
  <c r="Y389" i="4"/>
  <c r="J389" i="4"/>
  <c r="G389" i="4"/>
  <c r="Y388" i="4"/>
  <c r="X388" i="4"/>
  <c r="W388" i="4"/>
  <c r="V388" i="4"/>
  <c r="T388" i="4"/>
  <c r="S388" i="4"/>
  <c r="R388" i="4"/>
  <c r="Q388" i="4"/>
  <c r="P388" i="4"/>
  <c r="O388" i="4"/>
  <c r="N388" i="4"/>
  <c r="M388" i="4"/>
  <c r="L388" i="4"/>
  <c r="K388" i="4"/>
  <c r="G388" i="4"/>
  <c r="Y387" i="4"/>
  <c r="U387" i="4"/>
  <c r="J387" i="4" s="1"/>
  <c r="G387" i="4"/>
  <c r="Y386" i="4"/>
  <c r="J386" i="4"/>
  <c r="G386" i="4"/>
  <c r="Y385" i="4"/>
  <c r="J385" i="4"/>
  <c r="G385" i="4"/>
  <c r="Y384" i="4"/>
  <c r="J384" i="4"/>
  <c r="G384" i="4"/>
  <c r="Y383" i="4"/>
  <c r="J383" i="4"/>
  <c r="G383" i="4"/>
  <c r="X382" i="4"/>
  <c r="Y382" i="4" s="1"/>
  <c r="W382" i="4"/>
  <c r="W376" i="4" s="1"/>
  <c r="W397" i="4" s="1"/>
  <c r="V382" i="4"/>
  <c r="U382" i="4"/>
  <c r="T382" i="4"/>
  <c r="S382" i="4"/>
  <c r="R382" i="4"/>
  <c r="Q382" i="4"/>
  <c r="P382" i="4"/>
  <c r="O382" i="4"/>
  <c r="O376" i="4" s="1"/>
  <c r="O397" i="4" s="1"/>
  <c r="N382" i="4"/>
  <c r="M382" i="4"/>
  <c r="L382" i="4"/>
  <c r="K382" i="4"/>
  <c r="J382" i="4"/>
  <c r="G382" i="4"/>
  <c r="Y381" i="4"/>
  <c r="J381" i="4"/>
  <c r="G381" i="4"/>
  <c r="Y380" i="4"/>
  <c r="J380" i="4"/>
  <c r="G380" i="4"/>
  <c r="Y379" i="4"/>
  <c r="J379" i="4"/>
  <c r="G379" i="4"/>
  <c r="Y378" i="4"/>
  <c r="X378" i="4"/>
  <c r="X377" i="4" s="1"/>
  <c r="W378" i="4"/>
  <c r="V378" i="4"/>
  <c r="U378" i="4"/>
  <c r="T378" i="4"/>
  <c r="T377" i="4" s="1"/>
  <c r="T376" i="4" s="1"/>
  <c r="T397" i="4" s="1"/>
  <c r="S378" i="4"/>
  <c r="R378" i="4"/>
  <c r="R377" i="4" s="1"/>
  <c r="R376" i="4" s="1"/>
  <c r="R397" i="4" s="1"/>
  <c r="Q378" i="4"/>
  <c r="Q377" i="4" s="1"/>
  <c r="Q376" i="4" s="1"/>
  <c r="Q397" i="4" s="1"/>
  <c r="P378" i="4"/>
  <c r="P377" i="4" s="1"/>
  <c r="P376" i="4" s="1"/>
  <c r="P397" i="4" s="1"/>
  <c r="O378" i="4"/>
  <c r="N378" i="4"/>
  <c r="M378" i="4"/>
  <c r="L378" i="4"/>
  <c r="L377" i="4" s="1"/>
  <c r="L376" i="4" s="1"/>
  <c r="L397" i="4" s="1"/>
  <c r="K378" i="4"/>
  <c r="G378" i="4"/>
  <c r="W377" i="4"/>
  <c r="V377" i="4"/>
  <c r="U377" i="4"/>
  <c r="U376" i="4" s="1"/>
  <c r="S377" i="4"/>
  <c r="S376" i="4" s="1"/>
  <c r="S397" i="4" s="1"/>
  <c r="O377" i="4"/>
  <c r="N377" i="4"/>
  <c r="M377" i="4"/>
  <c r="M376" i="4" s="1"/>
  <c r="M397" i="4" s="1"/>
  <c r="K377" i="4"/>
  <c r="K376" i="4" s="1"/>
  <c r="K397" i="4" s="1"/>
  <c r="G377" i="4"/>
  <c r="V376" i="4"/>
  <c r="V397" i="4" s="1"/>
  <c r="N376" i="4"/>
  <c r="N397" i="4" s="1"/>
  <c r="G376" i="4"/>
  <c r="X375" i="4"/>
  <c r="Y375" i="4" s="1"/>
  <c r="W375" i="4"/>
  <c r="V375" i="4"/>
  <c r="U375" i="4"/>
  <c r="T375" i="4"/>
  <c r="R375" i="4"/>
  <c r="Q375" i="4"/>
  <c r="P375" i="4"/>
  <c r="G375" i="4"/>
  <c r="X374" i="4"/>
  <c r="Y374" i="4" s="1"/>
  <c r="W374" i="4"/>
  <c r="V374" i="4"/>
  <c r="U374" i="4"/>
  <c r="T374" i="4"/>
  <c r="S374" i="4"/>
  <c r="R374" i="4"/>
  <c r="Q374" i="4"/>
  <c r="P374" i="4"/>
  <c r="G374" i="4"/>
  <c r="Y373" i="4"/>
  <c r="U373" i="4"/>
  <c r="T373" i="4"/>
  <c r="S373" i="4"/>
  <c r="S375" i="4" s="1"/>
  <c r="G373" i="4"/>
  <c r="Y372" i="4"/>
  <c r="G372" i="4"/>
  <c r="Y371" i="4"/>
  <c r="G371" i="4"/>
  <c r="Y370" i="4"/>
  <c r="G370" i="4"/>
  <c r="Y369" i="4"/>
  <c r="J369" i="4"/>
  <c r="G369" i="4"/>
  <c r="Y368" i="4"/>
  <c r="X368" i="4"/>
  <c r="W368" i="4"/>
  <c r="V368" i="4"/>
  <c r="U368" i="4"/>
  <c r="T368" i="4"/>
  <c r="S368" i="4"/>
  <c r="R368" i="4"/>
  <c r="Q368" i="4"/>
  <c r="P368" i="4"/>
  <c r="O368" i="4"/>
  <c r="N368" i="4"/>
  <c r="M368" i="4"/>
  <c r="L368" i="4"/>
  <c r="K368" i="4"/>
  <c r="J368" i="4"/>
  <c r="G368" i="4"/>
  <c r="Y367" i="4"/>
  <c r="J367" i="4"/>
  <c r="G367" i="4"/>
  <c r="X366" i="4"/>
  <c r="Y366" i="4" s="1"/>
  <c r="W366" i="4"/>
  <c r="V366" i="4"/>
  <c r="U366" i="4"/>
  <c r="T366" i="4"/>
  <c r="S366" i="4"/>
  <c r="R366" i="4"/>
  <c r="Q366" i="4"/>
  <c r="P366" i="4"/>
  <c r="O366" i="4"/>
  <c r="N366" i="4"/>
  <c r="M366" i="4"/>
  <c r="J366" i="4" s="1"/>
  <c r="L366" i="4"/>
  <c r="K366" i="4"/>
  <c r="G366" i="4"/>
  <c r="Y365" i="4"/>
  <c r="J365" i="4"/>
  <c r="G365" i="4"/>
  <c r="Y364" i="4"/>
  <c r="J364" i="4"/>
  <c r="G364" i="4"/>
  <c r="Y363" i="4"/>
  <c r="J363" i="4"/>
  <c r="G363" i="4"/>
  <c r="Y362" i="4"/>
  <c r="G362" i="4"/>
  <c r="Y361" i="4"/>
  <c r="J361" i="4"/>
  <c r="G361" i="4"/>
  <c r="Y360" i="4"/>
  <c r="G360" i="4"/>
  <c r="Y359" i="4"/>
  <c r="G358" i="4"/>
  <c r="Y357" i="4"/>
  <c r="J357" i="4"/>
  <c r="G357" i="4"/>
  <c r="Y356" i="4"/>
  <c r="G356" i="4"/>
  <c r="Y355" i="4"/>
  <c r="J355" i="4"/>
  <c r="G355" i="4"/>
  <c r="Y354" i="4"/>
  <c r="J354" i="4"/>
  <c r="G354" i="4"/>
  <c r="Y353" i="4"/>
  <c r="J353" i="4"/>
  <c r="G353" i="4"/>
  <c r="Y352" i="4"/>
  <c r="J352" i="4"/>
  <c r="G352" i="4"/>
  <c r="X351" i="4"/>
  <c r="Y351" i="4" s="1"/>
  <c r="U351" i="4"/>
  <c r="J351" i="4" s="1"/>
  <c r="G351" i="4"/>
  <c r="Y350" i="4"/>
  <c r="J350" i="4"/>
  <c r="J349" i="4" s="1"/>
  <c r="G350" i="4"/>
  <c r="X349" i="4"/>
  <c r="Y349" i="4" s="1"/>
  <c r="W349" i="4"/>
  <c r="V349" i="4"/>
  <c r="T349" i="4"/>
  <c r="S349" i="4"/>
  <c r="R349" i="4"/>
  <c r="Q349" i="4"/>
  <c r="P349" i="4"/>
  <c r="O349" i="4"/>
  <c r="N349" i="4"/>
  <c r="M349" i="4"/>
  <c r="L349" i="4"/>
  <c r="K349" i="4"/>
  <c r="G349" i="4"/>
  <c r="Y348" i="4"/>
  <c r="U348" i="4"/>
  <c r="J348" i="4" s="1"/>
  <c r="R348" i="4"/>
  <c r="G348" i="4"/>
  <c r="Y347" i="4"/>
  <c r="J347" i="4"/>
  <c r="G347" i="4"/>
  <c r="Y346" i="4"/>
  <c r="J346" i="4"/>
  <c r="G346" i="4"/>
  <c r="Y345" i="4"/>
  <c r="J345" i="4"/>
  <c r="G345" i="4"/>
  <c r="Y344" i="4"/>
  <c r="J344" i="4"/>
  <c r="J343" i="4" s="1"/>
  <c r="G344" i="4"/>
  <c r="Y343" i="4"/>
  <c r="X343" i="4"/>
  <c r="W343" i="4"/>
  <c r="V343" i="4"/>
  <c r="U343" i="4"/>
  <c r="T343" i="4"/>
  <c r="S343" i="4"/>
  <c r="R343" i="4"/>
  <c r="R337" i="4" s="1"/>
  <c r="R358" i="4" s="1"/>
  <c r="Q343" i="4"/>
  <c r="P343" i="4"/>
  <c r="O343" i="4"/>
  <c r="N343" i="4"/>
  <c r="M343" i="4"/>
  <c r="L343" i="4"/>
  <c r="K343" i="4"/>
  <c r="G343" i="4"/>
  <c r="Y342" i="4"/>
  <c r="J342" i="4"/>
  <c r="G342" i="4"/>
  <c r="Y341" i="4"/>
  <c r="J341" i="4"/>
  <c r="G341" i="4"/>
  <c r="Y340" i="4"/>
  <c r="J340" i="4"/>
  <c r="G340" i="4"/>
  <c r="X339" i="4"/>
  <c r="Y339" i="4" s="1"/>
  <c r="W339" i="4"/>
  <c r="W338" i="4" s="1"/>
  <c r="W337" i="4" s="1"/>
  <c r="W358" i="4" s="1"/>
  <c r="V339" i="4"/>
  <c r="U339" i="4"/>
  <c r="U338" i="4" s="1"/>
  <c r="U337" i="4" s="1"/>
  <c r="T339" i="4"/>
  <c r="T338" i="4" s="1"/>
  <c r="T337" i="4" s="1"/>
  <c r="T358" i="4" s="1"/>
  <c r="S339" i="4"/>
  <c r="S338" i="4" s="1"/>
  <c r="S337" i="4" s="1"/>
  <c r="S358" i="4" s="1"/>
  <c r="R339" i="4"/>
  <c r="Q339" i="4"/>
  <c r="P339" i="4"/>
  <c r="O339" i="4"/>
  <c r="O338" i="4" s="1"/>
  <c r="O337" i="4" s="1"/>
  <c r="O358" i="4" s="1"/>
  <c r="N339" i="4"/>
  <c r="M339" i="4"/>
  <c r="J339" i="4" s="1"/>
  <c r="J338" i="4" s="1"/>
  <c r="L339" i="4"/>
  <c r="L338" i="4" s="1"/>
  <c r="L337" i="4" s="1"/>
  <c r="L358" i="4" s="1"/>
  <c r="K339" i="4"/>
  <c r="K338" i="4" s="1"/>
  <c r="K337" i="4" s="1"/>
  <c r="K358" i="4" s="1"/>
  <c r="G339" i="4"/>
  <c r="X338" i="4"/>
  <c r="Y338" i="4" s="1"/>
  <c r="V338" i="4"/>
  <c r="V337" i="4" s="1"/>
  <c r="V358" i="4" s="1"/>
  <c r="R338" i="4"/>
  <c r="Q338" i="4"/>
  <c r="P338" i="4"/>
  <c r="P337" i="4" s="1"/>
  <c r="P358" i="4" s="1"/>
  <c r="N338" i="4"/>
  <c r="N337" i="4" s="1"/>
  <c r="N358" i="4" s="1"/>
  <c r="G338" i="4"/>
  <c r="Q337" i="4"/>
  <c r="Q358" i="4" s="1"/>
  <c r="G337" i="4"/>
  <c r="X336" i="4"/>
  <c r="Y336" i="4" s="1"/>
  <c r="W336" i="4"/>
  <c r="V336" i="4"/>
  <c r="U336" i="4"/>
  <c r="T336" i="4"/>
  <c r="S336" i="4"/>
  <c r="R336" i="4"/>
  <c r="Q336" i="4"/>
  <c r="P336" i="4"/>
  <c r="O336" i="4"/>
  <c r="G336" i="4"/>
  <c r="X335" i="4"/>
  <c r="Y335" i="4" s="1"/>
  <c r="W335" i="4"/>
  <c r="V335" i="4"/>
  <c r="U335" i="4"/>
  <c r="T335" i="4"/>
  <c r="S335" i="4"/>
  <c r="R335" i="4"/>
  <c r="Q335" i="4"/>
  <c r="P335" i="4"/>
  <c r="O335" i="4"/>
  <c r="G335" i="4"/>
  <c r="X334" i="4"/>
  <c r="Y334" i="4" s="1"/>
  <c r="W334" i="4"/>
  <c r="V334" i="4"/>
  <c r="U334" i="4"/>
  <c r="T334" i="4"/>
  <c r="S334" i="4"/>
  <c r="R334" i="4"/>
  <c r="Q334" i="4"/>
  <c r="P334" i="4"/>
  <c r="O334" i="4"/>
  <c r="N334" i="4"/>
  <c r="M334" i="4"/>
  <c r="L334" i="4"/>
  <c r="G334" i="4"/>
  <c r="Y333" i="4"/>
  <c r="G333" i="4"/>
  <c r="Y332" i="4"/>
  <c r="G332" i="4"/>
  <c r="Y331" i="4"/>
  <c r="G331" i="4"/>
  <c r="Y330" i="4"/>
  <c r="J330" i="4"/>
  <c r="G330" i="4"/>
  <c r="X329" i="4"/>
  <c r="Y329" i="4" s="1"/>
  <c r="W329" i="4"/>
  <c r="V329" i="4"/>
  <c r="U329" i="4"/>
  <c r="T329" i="4"/>
  <c r="S329" i="4"/>
  <c r="R329" i="4"/>
  <c r="Q329" i="4"/>
  <c r="P329" i="4"/>
  <c r="O329" i="4"/>
  <c r="N329" i="4"/>
  <c r="M329" i="4"/>
  <c r="L329" i="4"/>
  <c r="K329" i="4"/>
  <c r="J329" i="4"/>
  <c r="G329" i="4"/>
  <c r="Y328" i="4"/>
  <c r="J328" i="4"/>
  <c r="G328" i="4"/>
  <c r="X327" i="4"/>
  <c r="W327" i="4"/>
  <c r="Y327" i="4" s="1"/>
  <c r="V327" i="4"/>
  <c r="U327" i="4"/>
  <c r="T327" i="4"/>
  <c r="S327" i="4"/>
  <c r="R327" i="4"/>
  <c r="Q327" i="4"/>
  <c r="P327" i="4"/>
  <c r="O327" i="4"/>
  <c r="N327" i="4"/>
  <c r="M327" i="4"/>
  <c r="J327" i="4" s="1"/>
  <c r="L327" i="4"/>
  <c r="K327" i="4"/>
  <c r="G327" i="4"/>
  <c r="Y326" i="4"/>
  <c r="J326" i="4"/>
  <c r="G326" i="4"/>
  <c r="Y325" i="4"/>
  <c r="J325" i="4"/>
  <c r="G325" i="4"/>
  <c r="Y324" i="4"/>
  <c r="J324" i="4"/>
  <c r="G324" i="4"/>
  <c r="Y323" i="4"/>
  <c r="G323" i="4"/>
  <c r="Y322" i="4"/>
  <c r="J322" i="4"/>
  <c r="G322" i="4"/>
  <c r="Y321" i="4"/>
  <c r="G321" i="4"/>
  <c r="Y320" i="4"/>
  <c r="G319" i="4"/>
  <c r="Y318" i="4"/>
  <c r="J318" i="4"/>
  <c r="G318" i="4"/>
  <c r="Y317" i="4"/>
  <c r="G317" i="4"/>
  <c r="Y316" i="4"/>
  <c r="J316" i="4"/>
  <c r="G316" i="4"/>
  <c r="Y315" i="4"/>
  <c r="J315" i="4"/>
  <c r="G315" i="4"/>
  <c r="Y314" i="4"/>
  <c r="J314" i="4"/>
  <c r="G314" i="4"/>
  <c r="Y313" i="4"/>
  <c r="J313" i="4"/>
  <c r="G313" i="4"/>
  <c r="Y312" i="4"/>
  <c r="T312" i="4"/>
  <c r="T310" i="4" s="1"/>
  <c r="G312" i="4"/>
  <c r="Y311" i="4"/>
  <c r="J311" i="4"/>
  <c r="G311" i="4"/>
  <c r="Y310" i="4"/>
  <c r="X310" i="4"/>
  <c r="W310" i="4"/>
  <c r="V310" i="4"/>
  <c r="U310" i="4"/>
  <c r="S310" i="4"/>
  <c r="R310" i="4"/>
  <c r="Q310" i="4"/>
  <c r="P310" i="4"/>
  <c r="O310" i="4"/>
  <c r="N310" i="4"/>
  <c r="M310" i="4"/>
  <c r="L310" i="4"/>
  <c r="K310" i="4"/>
  <c r="G310" i="4"/>
  <c r="Y309" i="4"/>
  <c r="U309" i="4"/>
  <c r="R309" i="4"/>
  <c r="O309" i="4"/>
  <c r="J309" i="4" s="1"/>
  <c r="L309" i="4"/>
  <c r="G309" i="4"/>
  <c r="Y308" i="4"/>
  <c r="J308" i="4"/>
  <c r="G308" i="4"/>
  <c r="Y307" i="4"/>
  <c r="J307" i="4"/>
  <c r="G307" i="4"/>
  <c r="Y306" i="4"/>
  <c r="J306" i="4"/>
  <c r="G306" i="4"/>
  <c r="Y305" i="4"/>
  <c r="J305" i="4"/>
  <c r="J304" i="4" s="1"/>
  <c r="G305" i="4"/>
  <c r="Y304" i="4"/>
  <c r="X304" i="4"/>
  <c r="W304" i="4"/>
  <c r="V304" i="4"/>
  <c r="U304" i="4"/>
  <c r="T304" i="4"/>
  <c r="S304" i="4"/>
  <c r="R304" i="4"/>
  <c r="Q304" i="4"/>
  <c r="P304" i="4"/>
  <c r="O304" i="4"/>
  <c r="N304" i="4"/>
  <c r="M304" i="4"/>
  <c r="L304" i="4"/>
  <c r="K304" i="4"/>
  <c r="G304" i="4"/>
  <c r="Y303" i="4"/>
  <c r="J303" i="4"/>
  <c r="G303" i="4"/>
  <c r="Y302" i="4"/>
  <c r="J302" i="4"/>
  <c r="G302" i="4"/>
  <c r="Y301" i="4"/>
  <c r="J301" i="4"/>
  <c r="G301" i="4"/>
  <c r="X300" i="4"/>
  <c r="Y300" i="4" s="1"/>
  <c r="W300" i="4"/>
  <c r="W299" i="4" s="1"/>
  <c r="W298" i="4" s="1"/>
  <c r="W319" i="4" s="1"/>
  <c r="V300" i="4"/>
  <c r="U300" i="4"/>
  <c r="U299" i="4" s="1"/>
  <c r="U298" i="4" s="1"/>
  <c r="U319" i="4" s="1"/>
  <c r="T300" i="4"/>
  <c r="T299" i="4" s="1"/>
  <c r="T298" i="4" s="1"/>
  <c r="T319" i="4" s="1"/>
  <c r="S300" i="4"/>
  <c r="S299" i="4" s="1"/>
  <c r="S298" i="4" s="1"/>
  <c r="S319" i="4" s="1"/>
  <c r="R300" i="4"/>
  <c r="R299" i="4" s="1"/>
  <c r="R298" i="4" s="1"/>
  <c r="R319" i="4" s="1"/>
  <c r="Q300" i="4"/>
  <c r="P300" i="4"/>
  <c r="O300" i="4"/>
  <c r="O299" i="4" s="1"/>
  <c r="O298" i="4" s="1"/>
  <c r="O319" i="4" s="1"/>
  <c r="N300" i="4"/>
  <c r="M300" i="4"/>
  <c r="J300" i="4" s="1"/>
  <c r="L300" i="4"/>
  <c r="L299" i="4" s="1"/>
  <c r="L298" i="4" s="1"/>
  <c r="L319" i="4" s="1"/>
  <c r="K300" i="4"/>
  <c r="K299" i="4" s="1"/>
  <c r="K298" i="4" s="1"/>
  <c r="K319" i="4" s="1"/>
  <c r="G300" i="4"/>
  <c r="X299" i="4"/>
  <c r="Y299" i="4" s="1"/>
  <c r="V299" i="4"/>
  <c r="V298" i="4" s="1"/>
  <c r="V319" i="4" s="1"/>
  <c r="Q299" i="4"/>
  <c r="P299" i="4"/>
  <c r="P298" i="4" s="1"/>
  <c r="P319" i="4" s="1"/>
  <c r="N299" i="4"/>
  <c r="N298" i="4" s="1"/>
  <c r="N319" i="4" s="1"/>
  <c r="G299" i="4"/>
  <c r="Q298" i="4"/>
  <c r="Q319" i="4" s="1"/>
  <c r="G298" i="4"/>
  <c r="X297" i="4"/>
  <c r="Y297" i="4" s="1"/>
  <c r="W297" i="4"/>
  <c r="V297" i="4"/>
  <c r="U297" i="4"/>
  <c r="T297" i="4"/>
  <c r="S297" i="4"/>
  <c r="R297" i="4"/>
  <c r="Q297" i="4"/>
  <c r="P297" i="4"/>
  <c r="O297" i="4"/>
  <c r="N297" i="4"/>
  <c r="M297" i="4"/>
  <c r="L297" i="4"/>
  <c r="K297" i="4"/>
  <c r="G297" i="4"/>
  <c r="X296" i="4"/>
  <c r="Y296" i="4" s="1"/>
  <c r="W296" i="4"/>
  <c r="V296" i="4"/>
  <c r="U296" i="4"/>
  <c r="T296" i="4"/>
  <c r="S296" i="4"/>
  <c r="R296" i="4"/>
  <c r="Q296" i="4"/>
  <c r="P296" i="4"/>
  <c r="O296" i="4"/>
  <c r="N296" i="4"/>
  <c r="M296" i="4"/>
  <c r="L296" i="4"/>
  <c r="K296" i="4"/>
  <c r="G296" i="4"/>
  <c r="X295" i="4"/>
  <c r="Y295" i="4" s="1"/>
  <c r="W295" i="4"/>
  <c r="V295" i="4"/>
  <c r="U295" i="4"/>
  <c r="T295" i="4"/>
  <c r="S295" i="4"/>
  <c r="R295" i="4"/>
  <c r="Q295" i="4"/>
  <c r="P295" i="4"/>
  <c r="O295" i="4"/>
  <c r="N295" i="4"/>
  <c r="M295" i="4"/>
  <c r="L295" i="4"/>
  <c r="G295" i="4"/>
  <c r="Y294" i="4"/>
  <c r="G294" i="4"/>
  <c r="Y293" i="4"/>
  <c r="G293" i="4"/>
  <c r="Y292" i="4"/>
  <c r="G292" i="4"/>
  <c r="Y291" i="4"/>
  <c r="J291" i="4"/>
  <c r="G291" i="4"/>
  <c r="X290" i="4"/>
  <c r="Y290" i="4" s="1"/>
  <c r="W290" i="4"/>
  <c r="V290" i="4"/>
  <c r="U290" i="4"/>
  <c r="T290" i="4"/>
  <c r="S290" i="4"/>
  <c r="R290" i="4"/>
  <c r="Q290" i="4"/>
  <c r="P290" i="4"/>
  <c r="O290" i="4"/>
  <c r="N290" i="4"/>
  <c r="M290" i="4"/>
  <c r="L290" i="4"/>
  <c r="K290" i="4"/>
  <c r="J290" i="4"/>
  <c r="G290" i="4"/>
  <c r="Y289" i="4"/>
  <c r="J289" i="4"/>
  <c r="G289" i="4"/>
  <c r="X288" i="4"/>
  <c r="W288" i="4"/>
  <c r="Y288" i="4" s="1"/>
  <c r="V288" i="4"/>
  <c r="U288" i="4"/>
  <c r="T288" i="4"/>
  <c r="S288" i="4"/>
  <c r="R288" i="4"/>
  <c r="Q288" i="4"/>
  <c r="P288" i="4"/>
  <c r="O288" i="4"/>
  <c r="N288" i="4"/>
  <c r="M288" i="4"/>
  <c r="J288" i="4" s="1"/>
  <c r="L288" i="4"/>
  <c r="K288" i="4"/>
  <c r="G288" i="4"/>
  <c r="AC287" i="4"/>
  <c r="AB287" i="4"/>
  <c r="AA287" i="4"/>
  <c r="Z287" i="4"/>
  <c r="Y287" i="4"/>
  <c r="J287" i="4"/>
  <c r="G287" i="4"/>
  <c r="Y286" i="4"/>
  <c r="J286" i="4"/>
  <c r="G286" i="4"/>
  <c r="Y285" i="4"/>
  <c r="J285" i="4"/>
  <c r="G285" i="4"/>
  <c r="Y284" i="4"/>
  <c r="G284" i="4"/>
  <c r="Y283" i="4"/>
  <c r="J283" i="4"/>
  <c r="G283" i="4"/>
  <c r="Y282" i="4"/>
  <c r="G282" i="4"/>
  <c r="Y281" i="4"/>
  <c r="G280" i="4"/>
  <c r="Y279" i="4"/>
  <c r="J279" i="4"/>
  <c r="G279" i="4"/>
  <c r="Y278" i="4"/>
  <c r="G278" i="4"/>
  <c r="Y277" i="4"/>
  <c r="J277" i="4"/>
  <c r="G277" i="4"/>
  <c r="Y276" i="4"/>
  <c r="J276" i="4"/>
  <c r="G276" i="4"/>
  <c r="Y275" i="4"/>
  <c r="J275" i="4"/>
  <c r="G275" i="4"/>
  <c r="Y274" i="4"/>
  <c r="J274" i="4"/>
  <c r="G274" i="4"/>
  <c r="Y273" i="4"/>
  <c r="V273" i="4"/>
  <c r="T273" i="4"/>
  <c r="T271" i="4" s="1"/>
  <c r="R273" i="4"/>
  <c r="R271" i="4" s="1"/>
  <c r="P273" i="4"/>
  <c r="L273" i="4"/>
  <c r="L271" i="4" s="1"/>
  <c r="G273" i="4"/>
  <c r="Y272" i="4"/>
  <c r="J272" i="4"/>
  <c r="G272" i="4"/>
  <c r="Y271" i="4"/>
  <c r="X271" i="4"/>
  <c r="W271" i="4"/>
  <c r="V271" i="4"/>
  <c r="U271" i="4"/>
  <c r="S271" i="4"/>
  <c r="Q271" i="4"/>
  <c r="P271" i="4"/>
  <c r="O271" i="4"/>
  <c r="N271" i="4"/>
  <c r="M271" i="4"/>
  <c r="K271" i="4"/>
  <c r="G271" i="4"/>
  <c r="Y270" i="4"/>
  <c r="U270" i="4"/>
  <c r="R270" i="4"/>
  <c r="O270" i="4"/>
  <c r="J270" i="4" s="1"/>
  <c r="L270" i="4"/>
  <c r="G270" i="4"/>
  <c r="Y269" i="4"/>
  <c r="J269" i="4"/>
  <c r="G269" i="4"/>
  <c r="Y268" i="4"/>
  <c r="J268" i="4"/>
  <c r="G268" i="4"/>
  <c r="Y267" i="4"/>
  <c r="J267" i="4"/>
  <c r="G267" i="4"/>
  <c r="Y266" i="4"/>
  <c r="J266" i="4"/>
  <c r="G266" i="4"/>
  <c r="Y265" i="4"/>
  <c r="X265" i="4"/>
  <c r="W265" i="4"/>
  <c r="V265" i="4"/>
  <c r="U265" i="4"/>
  <c r="T265" i="4"/>
  <c r="S265" i="4"/>
  <c r="R265" i="4"/>
  <c r="Q265" i="4"/>
  <c r="P265" i="4"/>
  <c r="O265" i="4"/>
  <c r="N265" i="4"/>
  <c r="M265" i="4"/>
  <c r="L265" i="4"/>
  <c r="K265" i="4"/>
  <c r="J265" i="4"/>
  <c r="G265" i="4"/>
  <c r="Y264" i="4"/>
  <c r="J264" i="4"/>
  <c r="G264" i="4"/>
  <c r="Y263" i="4"/>
  <c r="L263" i="4"/>
  <c r="L261" i="4" s="1"/>
  <c r="L260" i="4" s="1"/>
  <c r="L259" i="4" s="1"/>
  <c r="L280" i="4" s="1"/>
  <c r="J263" i="4"/>
  <c r="G263" i="4"/>
  <c r="Y262" i="4"/>
  <c r="J262" i="4"/>
  <c r="G262" i="4"/>
  <c r="X261" i="4"/>
  <c r="Y261" i="4" s="1"/>
  <c r="W261" i="4"/>
  <c r="V261" i="4"/>
  <c r="U261" i="4"/>
  <c r="U260" i="4" s="1"/>
  <c r="U259" i="4" s="1"/>
  <c r="U280" i="4" s="1"/>
  <c r="T261" i="4"/>
  <c r="T260" i="4" s="1"/>
  <c r="T259" i="4" s="1"/>
  <c r="T280" i="4" s="1"/>
  <c r="S261" i="4"/>
  <c r="S260" i="4" s="1"/>
  <c r="S259" i="4" s="1"/>
  <c r="S280" i="4" s="1"/>
  <c r="R261" i="4"/>
  <c r="Q261" i="4"/>
  <c r="P261" i="4"/>
  <c r="P260" i="4" s="1"/>
  <c r="P259" i="4" s="1"/>
  <c r="P280" i="4" s="1"/>
  <c r="O261" i="4"/>
  <c r="N261" i="4"/>
  <c r="M261" i="4"/>
  <c r="J261" i="4" s="1"/>
  <c r="J260" i="4" s="1"/>
  <c r="J259" i="4" s="1"/>
  <c r="K261" i="4"/>
  <c r="K260" i="4" s="1"/>
  <c r="K259" i="4" s="1"/>
  <c r="K280" i="4" s="1"/>
  <c r="G261" i="4"/>
  <c r="W260" i="4"/>
  <c r="V260" i="4"/>
  <c r="V259" i="4" s="1"/>
  <c r="V280" i="4" s="1"/>
  <c r="R260" i="4"/>
  <c r="Q260" i="4"/>
  <c r="Q259" i="4" s="1"/>
  <c r="Q280" i="4" s="1"/>
  <c r="O260" i="4"/>
  <c r="N260" i="4"/>
  <c r="N259" i="4" s="1"/>
  <c r="N280" i="4" s="1"/>
  <c r="G260" i="4"/>
  <c r="W259" i="4"/>
  <c r="W280" i="4" s="1"/>
  <c r="R259" i="4"/>
  <c r="R280" i="4" s="1"/>
  <c r="O259" i="4"/>
  <c r="O280" i="4" s="1"/>
  <c r="G259" i="4"/>
  <c r="X258" i="4"/>
  <c r="Y258" i="4" s="1"/>
  <c r="W258" i="4"/>
  <c r="V258" i="4"/>
  <c r="U258" i="4"/>
  <c r="T258" i="4"/>
  <c r="S258" i="4"/>
  <c r="R258" i="4"/>
  <c r="Q258" i="4"/>
  <c r="P258" i="4"/>
  <c r="O258" i="4"/>
  <c r="N258" i="4"/>
  <c r="M258" i="4"/>
  <c r="L258" i="4"/>
  <c r="K258" i="4"/>
  <c r="G258" i="4"/>
  <c r="X257" i="4"/>
  <c r="Y257" i="4" s="1"/>
  <c r="W257" i="4"/>
  <c r="V257" i="4"/>
  <c r="U257" i="4"/>
  <c r="T257" i="4"/>
  <c r="S257" i="4"/>
  <c r="R257" i="4"/>
  <c r="Q257" i="4"/>
  <c r="P257" i="4"/>
  <c r="O257" i="4"/>
  <c r="N257" i="4"/>
  <c r="M257" i="4"/>
  <c r="L257" i="4"/>
  <c r="K257" i="4"/>
  <c r="G257" i="4"/>
  <c r="X256" i="4"/>
  <c r="Y256" i="4" s="1"/>
  <c r="W256" i="4"/>
  <c r="V256" i="4"/>
  <c r="U256" i="4"/>
  <c r="T256" i="4"/>
  <c r="S256" i="4"/>
  <c r="R256" i="4"/>
  <c r="Q256" i="4"/>
  <c r="P256" i="4"/>
  <c r="O256" i="4"/>
  <c r="N256" i="4"/>
  <c r="M256" i="4"/>
  <c r="K256" i="4"/>
  <c r="G256" i="4"/>
  <c r="Y255" i="4"/>
  <c r="G255" i="4"/>
  <c r="Y254" i="4"/>
  <c r="G254" i="4"/>
  <c r="Y253" i="4"/>
  <c r="G253" i="4"/>
  <c r="Y252" i="4"/>
  <c r="J252" i="4"/>
  <c r="G252" i="4"/>
  <c r="X251" i="4"/>
  <c r="Y251" i="4" s="1"/>
  <c r="W251" i="4"/>
  <c r="V251" i="4"/>
  <c r="U251" i="4"/>
  <c r="T251" i="4"/>
  <c r="S251" i="4"/>
  <c r="R251" i="4"/>
  <c r="Q251" i="4"/>
  <c r="P251" i="4"/>
  <c r="O251" i="4"/>
  <c r="N251" i="4"/>
  <c r="M251" i="4"/>
  <c r="L251" i="4"/>
  <c r="K251" i="4"/>
  <c r="J251" i="4"/>
  <c r="G251" i="4"/>
  <c r="Y250" i="4"/>
  <c r="J250" i="4"/>
  <c r="G250" i="4"/>
  <c r="X249" i="4"/>
  <c r="Y249" i="4" s="1"/>
  <c r="W249" i="4"/>
  <c r="V249" i="4"/>
  <c r="U249" i="4"/>
  <c r="T249" i="4"/>
  <c r="S249" i="4"/>
  <c r="R249" i="4"/>
  <c r="Q249" i="4"/>
  <c r="P249" i="4"/>
  <c r="O249" i="4"/>
  <c r="N249" i="4"/>
  <c r="M249" i="4"/>
  <c r="J249" i="4" s="1"/>
  <c r="L249" i="4"/>
  <c r="K249" i="4"/>
  <c r="G249" i="4"/>
  <c r="AC248" i="4"/>
  <c r="AB248" i="4"/>
  <c r="AA248" i="4"/>
  <c r="Z248" i="4"/>
  <c r="AD248" i="4" s="1"/>
  <c r="Y248" i="4"/>
  <c r="J248" i="4"/>
  <c r="G248" i="4"/>
  <c r="Y247" i="4"/>
  <c r="J247" i="4"/>
  <c r="G247" i="4"/>
  <c r="Y246" i="4"/>
  <c r="J246" i="4"/>
  <c r="G246" i="4"/>
  <c r="Y245" i="4"/>
  <c r="G245" i="4"/>
  <c r="Y244" i="4"/>
  <c r="J244" i="4"/>
  <c r="G244" i="4"/>
  <c r="Y243" i="4"/>
  <c r="G243" i="4"/>
  <c r="Y242" i="4"/>
  <c r="G241" i="4"/>
  <c r="Y240" i="4"/>
  <c r="J240" i="4"/>
  <c r="G240" i="4"/>
  <c r="Y239" i="4"/>
  <c r="G239" i="4"/>
  <c r="Y238" i="4"/>
  <c r="J238" i="4"/>
  <c r="G238" i="4"/>
  <c r="Y237" i="4"/>
  <c r="J237" i="4"/>
  <c r="G237" i="4"/>
  <c r="Y236" i="4"/>
  <c r="J236" i="4"/>
  <c r="G236" i="4"/>
  <c r="Y235" i="4"/>
  <c r="J235" i="4"/>
  <c r="G235" i="4"/>
  <c r="Y234" i="4"/>
  <c r="J234" i="4"/>
  <c r="G234" i="4"/>
  <c r="Y233" i="4"/>
  <c r="J233" i="4"/>
  <c r="J232" i="4" s="1"/>
  <c r="G233" i="4"/>
  <c r="X232" i="4"/>
  <c r="Y232" i="4" s="1"/>
  <c r="W232" i="4"/>
  <c r="V232" i="4"/>
  <c r="U232" i="4"/>
  <c r="T232" i="4"/>
  <c r="S232" i="4"/>
  <c r="R232" i="4"/>
  <c r="Q232" i="4"/>
  <c r="P232" i="4"/>
  <c r="O232" i="4"/>
  <c r="N232" i="4"/>
  <c r="M232" i="4"/>
  <c r="L232" i="4"/>
  <c r="K232" i="4"/>
  <c r="G232" i="4"/>
  <c r="Y231" i="4"/>
  <c r="U231" i="4"/>
  <c r="R231" i="4"/>
  <c r="O231" i="4"/>
  <c r="J231" i="4" s="1"/>
  <c r="L231" i="4"/>
  <c r="G231" i="4"/>
  <c r="Y230" i="4"/>
  <c r="J230" i="4"/>
  <c r="G230" i="4"/>
  <c r="Y229" i="4"/>
  <c r="J229" i="4"/>
  <c r="G229" i="4"/>
  <c r="Y228" i="4"/>
  <c r="J228" i="4"/>
  <c r="G228" i="4"/>
  <c r="Y227" i="4"/>
  <c r="U227" i="4"/>
  <c r="T227" i="4"/>
  <c r="T226" i="4" s="1"/>
  <c r="S227" i="4"/>
  <c r="J227" i="4" s="1"/>
  <c r="J226" i="4" s="1"/>
  <c r="G227" i="4"/>
  <c r="Y226" i="4"/>
  <c r="X226" i="4"/>
  <c r="W226" i="4"/>
  <c r="V226" i="4"/>
  <c r="U226" i="4"/>
  <c r="S226" i="4"/>
  <c r="S220" i="4" s="1"/>
  <c r="S241" i="4" s="1"/>
  <c r="R226" i="4"/>
  <c r="Q226" i="4"/>
  <c r="P226" i="4"/>
  <c r="O226" i="4"/>
  <c r="N226" i="4"/>
  <c r="M226" i="4"/>
  <c r="L226" i="4"/>
  <c r="K226" i="4"/>
  <c r="K220" i="4" s="1"/>
  <c r="K241" i="4" s="1"/>
  <c r="G226" i="4"/>
  <c r="Y225" i="4"/>
  <c r="J225" i="4"/>
  <c r="G225" i="4"/>
  <c r="Y224" i="4"/>
  <c r="L224" i="4"/>
  <c r="L222" i="4" s="1"/>
  <c r="L221" i="4" s="1"/>
  <c r="L220" i="4" s="1"/>
  <c r="L241" i="4" s="1"/>
  <c r="J224" i="4"/>
  <c r="G224" i="4"/>
  <c r="Y223" i="4"/>
  <c r="J223" i="4"/>
  <c r="G223" i="4"/>
  <c r="X222" i="4"/>
  <c r="Y222" i="4" s="1"/>
  <c r="W222" i="4"/>
  <c r="V222" i="4"/>
  <c r="U222" i="4"/>
  <c r="U221" i="4" s="1"/>
  <c r="U220" i="4" s="1"/>
  <c r="U241" i="4" s="1"/>
  <c r="T222" i="4"/>
  <c r="T221" i="4" s="1"/>
  <c r="T220" i="4" s="1"/>
  <c r="T241" i="4" s="1"/>
  <c r="S222" i="4"/>
  <c r="R222" i="4"/>
  <c r="Q222" i="4"/>
  <c r="P222" i="4"/>
  <c r="P221" i="4" s="1"/>
  <c r="P220" i="4" s="1"/>
  <c r="P241" i="4" s="1"/>
  <c r="O222" i="4"/>
  <c r="N222" i="4"/>
  <c r="M222" i="4"/>
  <c r="J222" i="4" s="1"/>
  <c r="J221" i="4" s="1"/>
  <c r="J220" i="4" s="1"/>
  <c r="J241" i="4" s="1"/>
  <c r="K222" i="4"/>
  <c r="G222" i="4"/>
  <c r="W221" i="4"/>
  <c r="V221" i="4"/>
  <c r="V220" i="4" s="1"/>
  <c r="V241" i="4" s="1"/>
  <c r="S221" i="4"/>
  <c r="R221" i="4"/>
  <c r="Q221" i="4"/>
  <c r="Q220" i="4" s="1"/>
  <c r="Q241" i="4" s="1"/>
  <c r="O221" i="4"/>
  <c r="N221" i="4"/>
  <c r="N220" i="4" s="1"/>
  <c r="N241" i="4" s="1"/>
  <c r="K221" i="4"/>
  <c r="G221" i="4"/>
  <c r="W220" i="4"/>
  <c r="W241" i="4" s="1"/>
  <c r="R220" i="4"/>
  <c r="R241" i="4" s="1"/>
  <c r="O220" i="4"/>
  <c r="O241" i="4" s="1"/>
  <c r="G220" i="4"/>
  <c r="X219" i="4"/>
  <c r="Y219" i="4" s="1"/>
  <c r="W219" i="4"/>
  <c r="V219" i="4"/>
  <c r="U219" i="4"/>
  <c r="T219" i="4"/>
  <c r="S219" i="4"/>
  <c r="R219" i="4"/>
  <c r="Q219" i="4"/>
  <c r="P219" i="4"/>
  <c r="O219" i="4"/>
  <c r="N219" i="4"/>
  <c r="M219" i="4"/>
  <c r="L219" i="4"/>
  <c r="K219" i="4"/>
  <c r="G219" i="4"/>
  <c r="X218" i="4"/>
  <c r="Y218" i="4" s="1"/>
  <c r="W218" i="4"/>
  <c r="V218" i="4"/>
  <c r="U218" i="4"/>
  <c r="T218" i="4"/>
  <c r="S218" i="4"/>
  <c r="R218" i="4"/>
  <c r="Q218" i="4"/>
  <c r="P218" i="4"/>
  <c r="O218" i="4"/>
  <c r="N218" i="4"/>
  <c r="M218" i="4"/>
  <c r="L218" i="4"/>
  <c r="K218" i="4"/>
  <c r="G218" i="4"/>
  <c r="X217" i="4"/>
  <c r="Y217" i="4" s="1"/>
  <c r="W217" i="4"/>
  <c r="V217" i="4"/>
  <c r="U217" i="4"/>
  <c r="T217" i="4"/>
  <c r="S217" i="4"/>
  <c r="R217" i="4"/>
  <c r="Q217" i="4"/>
  <c r="P217" i="4"/>
  <c r="O217" i="4"/>
  <c r="N217" i="4"/>
  <c r="M217" i="4"/>
  <c r="L217" i="4"/>
  <c r="K217" i="4"/>
  <c r="G217" i="4"/>
  <c r="Y216" i="4"/>
  <c r="G216" i="4"/>
  <c r="Y215" i="4"/>
  <c r="G215" i="4"/>
  <c r="Y214" i="4"/>
  <c r="G214" i="4"/>
  <c r="Y213" i="4"/>
  <c r="J213" i="4"/>
  <c r="G213" i="4"/>
  <c r="Y212" i="4"/>
  <c r="X212" i="4"/>
  <c r="W212" i="4"/>
  <c r="V212" i="4"/>
  <c r="U212" i="4"/>
  <c r="T212" i="4"/>
  <c r="S212" i="4"/>
  <c r="R212" i="4"/>
  <c r="Q212" i="4"/>
  <c r="P212" i="4"/>
  <c r="O212" i="4"/>
  <c r="N212" i="4"/>
  <c r="M212" i="4"/>
  <c r="L212" i="4"/>
  <c r="K212" i="4"/>
  <c r="J212" i="4"/>
  <c r="G212" i="4"/>
  <c r="Y211" i="4"/>
  <c r="J211" i="4"/>
  <c r="G211" i="4"/>
  <c r="X210" i="4"/>
  <c r="Y210" i="4" s="1"/>
  <c r="W210" i="4"/>
  <c r="V210" i="4"/>
  <c r="U210" i="4"/>
  <c r="T210" i="4"/>
  <c r="S210" i="4"/>
  <c r="R210" i="4"/>
  <c r="Q210" i="4"/>
  <c r="P210" i="4"/>
  <c r="O210" i="4"/>
  <c r="N210" i="4"/>
  <c r="M210" i="4"/>
  <c r="J210" i="4" s="1"/>
  <c r="L210" i="4"/>
  <c r="K210" i="4"/>
  <c r="G210" i="4"/>
  <c r="AB209" i="4"/>
  <c r="AA209" i="4"/>
  <c r="Z209" i="4"/>
  <c r="Y209" i="4"/>
  <c r="J209" i="4"/>
  <c r="G209" i="4"/>
  <c r="Y208" i="4"/>
  <c r="J208" i="4"/>
  <c r="G208" i="4"/>
  <c r="Y207" i="4"/>
  <c r="Q207" i="4"/>
  <c r="P207" i="4"/>
  <c r="J207" i="4" s="1"/>
  <c r="O207" i="4"/>
  <c r="N207" i="4"/>
  <c r="M207" i="4"/>
  <c r="G207" i="4"/>
  <c r="Y206" i="4"/>
  <c r="G206" i="4"/>
  <c r="Y205" i="4"/>
  <c r="J205" i="4"/>
  <c r="G205" i="4"/>
  <c r="Y204" i="4"/>
  <c r="G204" i="4"/>
  <c r="Y203" i="4"/>
  <c r="G202" i="4"/>
  <c r="Y201" i="4"/>
  <c r="J201" i="4"/>
  <c r="G201" i="4"/>
  <c r="Y200" i="4"/>
  <c r="G200" i="4"/>
  <c r="Y199" i="4"/>
  <c r="J199" i="4"/>
  <c r="G199" i="4"/>
  <c r="Y198" i="4"/>
  <c r="J198" i="4"/>
  <c r="G198" i="4"/>
  <c r="Y197" i="4"/>
  <c r="L197" i="4"/>
  <c r="J197" i="4"/>
  <c r="G197" i="4"/>
  <c r="Y196" i="4"/>
  <c r="J196" i="4"/>
  <c r="G196" i="4"/>
  <c r="Y195" i="4"/>
  <c r="J195" i="4"/>
  <c r="G195" i="4"/>
  <c r="Y194" i="4"/>
  <c r="J194" i="4"/>
  <c r="J193" i="4" s="1"/>
  <c r="G194" i="4"/>
  <c r="X193" i="4"/>
  <c r="Y193" i="4" s="1"/>
  <c r="W193" i="4"/>
  <c r="V193" i="4"/>
  <c r="U193" i="4"/>
  <c r="T193" i="4"/>
  <c r="S193" i="4"/>
  <c r="R193" i="4"/>
  <c r="Q193" i="4"/>
  <c r="P193" i="4"/>
  <c r="O193" i="4"/>
  <c r="N193" i="4"/>
  <c r="M193" i="4"/>
  <c r="L193" i="4"/>
  <c r="K193" i="4"/>
  <c r="G193" i="4"/>
  <c r="Y192" i="4"/>
  <c r="U192" i="4"/>
  <c r="R192" i="4"/>
  <c r="O192" i="4"/>
  <c r="L192" i="4"/>
  <c r="J192" i="4"/>
  <c r="G192" i="4"/>
  <c r="Y191" i="4"/>
  <c r="J191" i="4"/>
  <c r="G191" i="4"/>
  <c r="Y190" i="4"/>
  <c r="J190" i="4"/>
  <c r="G190" i="4"/>
  <c r="Y189" i="4"/>
  <c r="J189" i="4"/>
  <c r="G189" i="4"/>
  <c r="Y188" i="4"/>
  <c r="J188" i="4"/>
  <c r="J187" i="4" s="1"/>
  <c r="G188" i="4"/>
  <c r="X187" i="4"/>
  <c r="Y187" i="4" s="1"/>
  <c r="W187" i="4"/>
  <c r="V187" i="4"/>
  <c r="U187" i="4"/>
  <c r="U181" i="4" s="1"/>
  <c r="U202" i="4" s="1"/>
  <c r="T187" i="4"/>
  <c r="S187" i="4"/>
  <c r="R187" i="4"/>
  <c r="Q187" i="4"/>
  <c r="P187" i="4"/>
  <c r="O187" i="4"/>
  <c r="N187" i="4"/>
  <c r="M187" i="4"/>
  <c r="L187" i="4"/>
  <c r="K187" i="4"/>
  <c r="G187" i="4"/>
  <c r="Y186" i="4"/>
  <c r="J186" i="4"/>
  <c r="G186" i="4"/>
  <c r="Y185" i="4"/>
  <c r="L185" i="4"/>
  <c r="M183" i="4" s="1"/>
  <c r="J185" i="4"/>
  <c r="G185" i="4"/>
  <c r="Y184" i="4"/>
  <c r="J184" i="4"/>
  <c r="G184" i="4"/>
  <c r="Y183" i="4"/>
  <c r="X183" i="4"/>
  <c r="X182" i="4" s="1"/>
  <c r="W183" i="4"/>
  <c r="W182" i="4" s="1"/>
  <c r="W181" i="4" s="1"/>
  <c r="W202" i="4" s="1"/>
  <c r="V183" i="4"/>
  <c r="V182" i="4" s="1"/>
  <c r="V181" i="4" s="1"/>
  <c r="V202" i="4" s="1"/>
  <c r="U183" i="4"/>
  <c r="T183" i="4"/>
  <c r="S183" i="4"/>
  <c r="R183" i="4"/>
  <c r="R182" i="4" s="1"/>
  <c r="R181" i="4" s="1"/>
  <c r="R202" i="4" s="1"/>
  <c r="Q183" i="4"/>
  <c r="Q182" i="4" s="1"/>
  <c r="Q181" i="4" s="1"/>
  <c r="Q202" i="4" s="1"/>
  <c r="P183" i="4"/>
  <c r="P182" i="4" s="1"/>
  <c r="P181" i="4" s="1"/>
  <c r="P202" i="4" s="1"/>
  <c r="O183" i="4"/>
  <c r="O182" i="4" s="1"/>
  <c r="O181" i="4" s="1"/>
  <c r="O202" i="4" s="1"/>
  <c r="N183" i="4"/>
  <c r="N182" i="4" s="1"/>
  <c r="N181" i="4" s="1"/>
  <c r="N202" i="4" s="1"/>
  <c r="K183" i="4"/>
  <c r="G183" i="4"/>
  <c r="U182" i="4"/>
  <c r="T182" i="4"/>
  <c r="S182" i="4"/>
  <c r="S181" i="4" s="1"/>
  <c r="S202" i="4" s="1"/>
  <c r="K182" i="4"/>
  <c r="K181" i="4" s="1"/>
  <c r="K202" i="4" s="1"/>
  <c r="G182" i="4"/>
  <c r="T181" i="4"/>
  <c r="T202" i="4" s="1"/>
  <c r="G181" i="4"/>
  <c r="Y180" i="4"/>
  <c r="X180" i="4"/>
  <c r="W180" i="4"/>
  <c r="V180" i="4"/>
  <c r="U180" i="4"/>
  <c r="T180" i="4"/>
  <c r="S180" i="4"/>
  <c r="R180" i="4"/>
  <c r="Q180" i="4"/>
  <c r="P180" i="4"/>
  <c r="O180" i="4"/>
  <c r="N180" i="4"/>
  <c r="M180" i="4"/>
  <c r="L180" i="4"/>
  <c r="K180" i="4"/>
  <c r="G180" i="4"/>
  <c r="Y179" i="4"/>
  <c r="X179" i="4"/>
  <c r="W179" i="4"/>
  <c r="V179" i="4"/>
  <c r="U179" i="4"/>
  <c r="T179" i="4"/>
  <c r="S179" i="4"/>
  <c r="R179" i="4"/>
  <c r="Q179" i="4"/>
  <c r="P179" i="4"/>
  <c r="O179" i="4"/>
  <c r="N179" i="4"/>
  <c r="M179" i="4"/>
  <c r="L179" i="4"/>
  <c r="K179" i="4"/>
  <c r="G179" i="4"/>
  <c r="Y178" i="4"/>
  <c r="X178" i="4"/>
  <c r="W178" i="4"/>
  <c r="V178" i="4"/>
  <c r="U178" i="4"/>
  <c r="T178" i="4"/>
  <c r="S178" i="4"/>
  <c r="R178" i="4"/>
  <c r="Q178" i="4"/>
  <c r="P178" i="4"/>
  <c r="O178" i="4"/>
  <c r="N178" i="4"/>
  <c r="M178" i="4"/>
  <c r="L178" i="4"/>
  <c r="K178" i="4"/>
  <c r="G178" i="4"/>
  <c r="Y177" i="4"/>
  <c r="G177" i="4"/>
  <c r="Y176" i="4"/>
  <c r="G176" i="4"/>
  <c r="Y175" i="4"/>
  <c r="Y174" i="4"/>
  <c r="J174" i="4"/>
  <c r="G174" i="4"/>
  <c r="Y173" i="4"/>
  <c r="X173" i="4"/>
  <c r="W173" i="4"/>
  <c r="V173" i="4"/>
  <c r="U173" i="4"/>
  <c r="T173" i="4"/>
  <c r="S173" i="4"/>
  <c r="R173" i="4"/>
  <c r="Q173" i="4"/>
  <c r="P173" i="4"/>
  <c r="O173" i="4"/>
  <c r="N173" i="4"/>
  <c r="M173" i="4"/>
  <c r="L173" i="4"/>
  <c r="K173" i="4"/>
  <c r="J173" i="4"/>
  <c r="G173" i="4"/>
  <c r="Y172" i="4"/>
  <c r="J172" i="4"/>
  <c r="G172" i="4"/>
  <c r="Y171" i="4"/>
  <c r="X171" i="4"/>
  <c r="W171" i="4"/>
  <c r="V171" i="4"/>
  <c r="U171" i="4"/>
  <c r="T171" i="4"/>
  <c r="S171" i="4"/>
  <c r="R171" i="4"/>
  <c r="Q171" i="4"/>
  <c r="P171" i="4"/>
  <c r="O171" i="4"/>
  <c r="N171" i="4"/>
  <c r="J171" i="4" s="1"/>
  <c r="M171" i="4"/>
  <c r="L171" i="4"/>
  <c r="K171" i="4"/>
  <c r="G171" i="4"/>
  <c r="Y170" i="4"/>
  <c r="J170" i="4"/>
  <c r="G170" i="4"/>
  <c r="Y169" i="4"/>
  <c r="J169" i="4"/>
  <c r="G169" i="4"/>
  <c r="Y168" i="4"/>
  <c r="P168" i="4"/>
  <c r="O168" i="4"/>
  <c r="N168" i="4"/>
  <c r="M168" i="4"/>
  <c r="J168" i="4" s="1"/>
  <c r="G168" i="4"/>
  <c r="Y167" i="4"/>
  <c r="G167" i="4"/>
  <c r="Y166" i="4"/>
  <c r="J166" i="4"/>
  <c r="G166" i="4"/>
  <c r="Y165" i="4"/>
  <c r="G165" i="4"/>
  <c r="Y164" i="4"/>
  <c r="G163" i="4"/>
  <c r="Y162" i="4"/>
  <c r="J162" i="4"/>
  <c r="G162" i="4"/>
  <c r="Y161" i="4"/>
  <c r="G161" i="4"/>
  <c r="Y160" i="4"/>
  <c r="J160" i="4"/>
  <c r="G160" i="4"/>
  <c r="Y159" i="4"/>
  <c r="J159" i="4"/>
  <c r="G159" i="4"/>
  <c r="Y158" i="4"/>
  <c r="J158" i="4"/>
  <c r="G158" i="4"/>
  <c r="Y157" i="4"/>
  <c r="J157" i="4"/>
  <c r="J154" i="4" s="1"/>
  <c r="G157" i="4"/>
  <c r="Y156" i="4"/>
  <c r="J156" i="4"/>
  <c r="G156" i="4"/>
  <c r="Y155" i="4"/>
  <c r="J155" i="4"/>
  <c r="G155" i="4"/>
  <c r="X154" i="4"/>
  <c r="Y154" i="4" s="1"/>
  <c r="W154" i="4"/>
  <c r="V154" i="4"/>
  <c r="U154" i="4"/>
  <c r="T154" i="4"/>
  <c r="S154" i="4"/>
  <c r="R154" i="4"/>
  <c r="Q154" i="4"/>
  <c r="P154" i="4"/>
  <c r="O154" i="4"/>
  <c r="N154" i="4"/>
  <c r="M154" i="4"/>
  <c r="L154" i="4"/>
  <c r="K154" i="4"/>
  <c r="G154" i="4"/>
  <c r="Y153" i="4"/>
  <c r="U153" i="4"/>
  <c r="R153" i="4"/>
  <c r="O153" i="4"/>
  <c r="J153" i="4" s="1"/>
  <c r="L153" i="4"/>
  <c r="G153" i="4"/>
  <c r="Y152" i="4"/>
  <c r="J152" i="4"/>
  <c r="G152" i="4"/>
  <c r="Y151" i="4"/>
  <c r="J151" i="4"/>
  <c r="G151" i="4"/>
  <c r="Y150" i="4"/>
  <c r="J150" i="4"/>
  <c r="G150" i="4"/>
  <c r="Y149" i="4"/>
  <c r="J149" i="4"/>
  <c r="J148" i="4" s="1"/>
  <c r="G149" i="4"/>
  <c r="X148" i="4"/>
  <c r="Y148" i="4" s="1"/>
  <c r="W148" i="4"/>
  <c r="V148" i="4"/>
  <c r="U148" i="4"/>
  <c r="T148" i="4"/>
  <c r="S148" i="4"/>
  <c r="R148" i="4"/>
  <c r="Q148" i="4"/>
  <c r="Q142" i="4" s="1"/>
  <c r="Q163" i="4" s="1"/>
  <c r="P148" i="4"/>
  <c r="O148" i="4"/>
  <c r="N148" i="4"/>
  <c r="M148" i="4"/>
  <c r="L148" i="4"/>
  <c r="K148" i="4"/>
  <c r="G148" i="4"/>
  <c r="Y147" i="4"/>
  <c r="J147" i="4"/>
  <c r="G147" i="4"/>
  <c r="Y146" i="4"/>
  <c r="L146" i="4"/>
  <c r="J146" i="4"/>
  <c r="G146" i="4"/>
  <c r="Y145" i="4"/>
  <c r="J145" i="4"/>
  <c r="G145" i="4"/>
  <c r="X144" i="4"/>
  <c r="Y144" i="4" s="1"/>
  <c r="W144" i="4"/>
  <c r="V144" i="4"/>
  <c r="V143" i="4" s="1"/>
  <c r="V142" i="4" s="1"/>
  <c r="V163" i="4" s="1"/>
  <c r="U144" i="4"/>
  <c r="U143" i="4" s="1"/>
  <c r="U142" i="4" s="1"/>
  <c r="U163" i="4" s="1"/>
  <c r="T144" i="4"/>
  <c r="S144" i="4"/>
  <c r="S143" i="4" s="1"/>
  <c r="S142" i="4" s="1"/>
  <c r="S163" i="4" s="1"/>
  <c r="R144" i="4"/>
  <c r="R143" i="4" s="1"/>
  <c r="R142" i="4" s="1"/>
  <c r="R163" i="4" s="1"/>
  <c r="Q144" i="4"/>
  <c r="P144" i="4"/>
  <c r="O144" i="4"/>
  <c r="N144" i="4"/>
  <c r="N143" i="4" s="1"/>
  <c r="N142" i="4" s="1"/>
  <c r="N163" i="4" s="1"/>
  <c r="M144" i="4"/>
  <c r="M143" i="4" s="1"/>
  <c r="M142" i="4" s="1"/>
  <c r="M163" i="4" s="1"/>
  <c r="L144" i="4"/>
  <c r="K144" i="4"/>
  <c r="K143" i="4" s="1"/>
  <c r="K142" i="4" s="1"/>
  <c r="K163" i="4" s="1"/>
  <c r="G144" i="4"/>
  <c r="X143" i="4"/>
  <c r="Y143" i="4" s="1"/>
  <c r="W143" i="4"/>
  <c r="W142" i="4" s="1"/>
  <c r="W163" i="4" s="1"/>
  <c r="T143" i="4"/>
  <c r="T142" i="4" s="1"/>
  <c r="T163" i="4" s="1"/>
  <c r="Q143" i="4"/>
  <c r="P143" i="4"/>
  <c r="O143" i="4"/>
  <c r="O142" i="4" s="1"/>
  <c r="O163" i="4" s="1"/>
  <c r="L143" i="4"/>
  <c r="L142" i="4" s="1"/>
  <c r="L163" i="4" s="1"/>
  <c r="G143" i="4"/>
  <c r="X142" i="4"/>
  <c r="X163" i="4" s="1"/>
  <c r="P142" i="4"/>
  <c r="P163" i="4" s="1"/>
  <c r="G142" i="4"/>
  <c r="Y141" i="4"/>
  <c r="X141" i="4"/>
  <c r="W141" i="4"/>
  <c r="V141" i="4"/>
  <c r="U141" i="4"/>
  <c r="T141" i="4"/>
  <c r="S141" i="4"/>
  <c r="R141" i="4"/>
  <c r="Q141" i="4"/>
  <c r="P141" i="4"/>
  <c r="O141" i="4"/>
  <c r="N141" i="4"/>
  <c r="M141" i="4"/>
  <c r="L141" i="4"/>
  <c r="K141" i="4"/>
  <c r="G141" i="4"/>
  <c r="Y140" i="4"/>
  <c r="X140" i="4"/>
  <c r="W140" i="4"/>
  <c r="V140" i="4"/>
  <c r="U140" i="4"/>
  <c r="T140" i="4"/>
  <c r="S140" i="4"/>
  <c r="R140" i="4"/>
  <c r="Q140" i="4"/>
  <c r="P140" i="4"/>
  <c r="O140" i="4"/>
  <c r="N140" i="4"/>
  <c r="M140" i="4"/>
  <c r="L140" i="4"/>
  <c r="K140" i="4"/>
  <c r="G140" i="4"/>
  <c r="Y139" i="4"/>
  <c r="X139" i="4"/>
  <c r="W139" i="4"/>
  <c r="V139" i="4"/>
  <c r="J139" i="4" s="1"/>
  <c r="U139" i="4"/>
  <c r="T139" i="4"/>
  <c r="S139" i="4"/>
  <c r="R139" i="4"/>
  <c r="Q139" i="4"/>
  <c r="P139" i="4"/>
  <c r="O139" i="4"/>
  <c r="N139" i="4"/>
  <c r="M139" i="4"/>
  <c r="L139" i="4"/>
  <c r="K139" i="4"/>
  <c r="G139" i="4"/>
  <c r="Y138" i="4"/>
  <c r="J138" i="4"/>
  <c r="G138" i="4"/>
  <c r="Y137" i="4"/>
  <c r="J137" i="4"/>
  <c r="G137" i="4"/>
  <c r="Y136" i="4"/>
  <c r="J136" i="4"/>
  <c r="G136" i="4"/>
  <c r="Y135" i="4"/>
  <c r="J135" i="4"/>
  <c r="G135" i="4"/>
  <c r="X134" i="4"/>
  <c r="Y134" i="4" s="1"/>
  <c r="W134" i="4"/>
  <c r="V134" i="4"/>
  <c r="J134" i="4" s="1"/>
  <c r="U134" i="4"/>
  <c r="T134" i="4"/>
  <c r="S134" i="4"/>
  <c r="R134" i="4"/>
  <c r="Q134" i="4"/>
  <c r="P134" i="4"/>
  <c r="O134" i="4"/>
  <c r="N134" i="4"/>
  <c r="M134" i="4"/>
  <c r="L134" i="4"/>
  <c r="K134" i="4"/>
  <c r="G134" i="4"/>
  <c r="Y133" i="4"/>
  <c r="J133" i="4"/>
  <c r="G133" i="4"/>
  <c r="X132" i="4"/>
  <c r="W132" i="4"/>
  <c r="Y132" i="4" s="1"/>
  <c r="V132" i="4"/>
  <c r="U132" i="4"/>
  <c r="T132" i="4"/>
  <c r="S132" i="4"/>
  <c r="R132" i="4"/>
  <c r="Q132" i="4"/>
  <c r="P132" i="4"/>
  <c r="O132" i="4"/>
  <c r="N132" i="4"/>
  <c r="M132" i="4"/>
  <c r="L132" i="4"/>
  <c r="K132" i="4"/>
  <c r="G132" i="4"/>
  <c r="Z131" i="4"/>
  <c r="Y131" i="4"/>
  <c r="G131" i="4"/>
  <c r="Y130" i="4"/>
  <c r="J130" i="4"/>
  <c r="G130" i="4"/>
  <c r="Y129" i="4"/>
  <c r="P129" i="4"/>
  <c r="O129" i="4"/>
  <c r="N129" i="4"/>
  <c r="M129" i="4"/>
  <c r="J129" i="4" s="1"/>
  <c r="G129" i="4"/>
  <c r="Y128" i="4"/>
  <c r="G128" i="4"/>
  <c r="Y127" i="4"/>
  <c r="J127" i="4"/>
  <c r="G127" i="4"/>
  <c r="Y126" i="4"/>
  <c r="G126" i="4"/>
  <c r="Y125" i="4"/>
  <c r="G124" i="4"/>
  <c r="Y123" i="4"/>
  <c r="J123" i="4"/>
  <c r="G123" i="4"/>
  <c r="Y122" i="4"/>
  <c r="G122" i="4"/>
  <c r="Y121" i="4"/>
  <c r="J121" i="4"/>
  <c r="G121" i="4"/>
  <c r="Y120" i="4"/>
  <c r="J120" i="4"/>
  <c r="G120" i="4"/>
  <c r="Y119" i="4"/>
  <c r="J119" i="4"/>
  <c r="G119" i="4"/>
  <c r="Y118" i="4"/>
  <c r="J118" i="4"/>
  <c r="G118" i="4"/>
  <c r="Y117" i="4"/>
  <c r="J117" i="4"/>
  <c r="G117" i="4"/>
  <c r="Y116" i="4"/>
  <c r="J116" i="4"/>
  <c r="J115" i="4" s="1"/>
  <c r="G116" i="4"/>
  <c r="X115" i="4"/>
  <c r="Y115" i="4" s="1"/>
  <c r="W115" i="4"/>
  <c r="V115" i="4"/>
  <c r="U115" i="4"/>
  <c r="T115" i="4"/>
  <c r="S115" i="4"/>
  <c r="R115" i="4"/>
  <c r="Q115" i="4"/>
  <c r="P115" i="4"/>
  <c r="O115" i="4"/>
  <c r="N115" i="4"/>
  <c r="M115" i="4"/>
  <c r="L115" i="4"/>
  <c r="K115" i="4"/>
  <c r="G115" i="4"/>
  <c r="Y114" i="4"/>
  <c r="U114" i="4"/>
  <c r="J114" i="4" s="1"/>
  <c r="R114" i="4"/>
  <c r="O114" i="4"/>
  <c r="G114" i="4"/>
  <c r="Y113" i="4"/>
  <c r="J113" i="4"/>
  <c r="G113" i="4"/>
  <c r="Y112" i="4"/>
  <c r="J112" i="4"/>
  <c r="G112" i="4"/>
  <c r="Y111" i="4"/>
  <c r="J111" i="4"/>
  <c r="G111" i="4"/>
  <c r="Y110" i="4"/>
  <c r="J110" i="4"/>
  <c r="G110" i="4"/>
  <c r="X109" i="4"/>
  <c r="W109" i="4"/>
  <c r="W103" i="4" s="1"/>
  <c r="W124" i="4" s="1"/>
  <c r="V109" i="4"/>
  <c r="U109" i="4"/>
  <c r="T109" i="4"/>
  <c r="S109" i="4"/>
  <c r="R109" i="4"/>
  <c r="Q109" i="4"/>
  <c r="P109" i="4"/>
  <c r="O109" i="4"/>
  <c r="O103" i="4" s="1"/>
  <c r="O124" i="4" s="1"/>
  <c r="N109" i="4"/>
  <c r="M109" i="4"/>
  <c r="L109" i="4"/>
  <c r="K109" i="4"/>
  <c r="J109" i="4"/>
  <c r="G109" i="4"/>
  <c r="Y108" i="4"/>
  <c r="J108" i="4"/>
  <c r="G108" i="4"/>
  <c r="Y107" i="4"/>
  <c r="L107" i="4"/>
  <c r="G107" i="4"/>
  <c r="Y106" i="4"/>
  <c r="J106" i="4"/>
  <c r="G106" i="4"/>
  <c r="Y105" i="4"/>
  <c r="X105" i="4"/>
  <c r="X104" i="4" s="1"/>
  <c r="W105" i="4"/>
  <c r="V105" i="4"/>
  <c r="U105" i="4"/>
  <c r="T105" i="4"/>
  <c r="T104" i="4" s="1"/>
  <c r="T103" i="4" s="1"/>
  <c r="T124" i="4" s="1"/>
  <c r="S105" i="4"/>
  <c r="S104" i="4" s="1"/>
  <c r="S103" i="4" s="1"/>
  <c r="S124" i="4" s="1"/>
  <c r="R105" i="4"/>
  <c r="Q105" i="4"/>
  <c r="J105" i="4" s="1"/>
  <c r="J104" i="4" s="1"/>
  <c r="J103" i="4" s="1"/>
  <c r="J124" i="4" s="1"/>
  <c r="P105" i="4"/>
  <c r="P104" i="4" s="1"/>
  <c r="P103" i="4" s="1"/>
  <c r="P124" i="4" s="1"/>
  <c r="O105" i="4"/>
  <c r="N105" i="4"/>
  <c r="M105" i="4"/>
  <c r="L105" i="4"/>
  <c r="L104" i="4" s="1"/>
  <c r="L103" i="4" s="1"/>
  <c r="L124" i="4" s="1"/>
  <c r="K105" i="4"/>
  <c r="K104" i="4" s="1"/>
  <c r="K103" i="4" s="1"/>
  <c r="K124" i="4" s="1"/>
  <c r="G105" i="4"/>
  <c r="W104" i="4"/>
  <c r="V104" i="4"/>
  <c r="U104" i="4"/>
  <c r="U103" i="4" s="1"/>
  <c r="U124" i="4" s="1"/>
  <c r="R104" i="4"/>
  <c r="R103" i="4" s="1"/>
  <c r="R124" i="4" s="1"/>
  <c r="O104" i="4"/>
  <c r="N104" i="4"/>
  <c r="M104" i="4"/>
  <c r="M103" i="4" s="1"/>
  <c r="M124" i="4" s="1"/>
  <c r="G104" i="4"/>
  <c r="V103" i="4"/>
  <c r="V124" i="4" s="1"/>
  <c r="N103" i="4"/>
  <c r="N124" i="4" s="1"/>
  <c r="G103" i="4"/>
  <c r="X102" i="4"/>
  <c r="Y102" i="4" s="1"/>
  <c r="W102" i="4"/>
  <c r="V102" i="4"/>
  <c r="U102" i="4"/>
  <c r="T102" i="4"/>
  <c r="S102" i="4"/>
  <c r="R102" i="4"/>
  <c r="Q102" i="4"/>
  <c r="P102" i="4"/>
  <c r="O102" i="4"/>
  <c r="N102" i="4"/>
  <c r="M102" i="4"/>
  <c r="L102" i="4"/>
  <c r="K102" i="4"/>
  <c r="G102" i="4"/>
  <c r="X101" i="4"/>
  <c r="Y101" i="4" s="1"/>
  <c r="W101" i="4"/>
  <c r="V101" i="4"/>
  <c r="U101" i="4"/>
  <c r="T101" i="4"/>
  <c r="S101" i="4"/>
  <c r="R101" i="4"/>
  <c r="Q101" i="4"/>
  <c r="P101" i="4"/>
  <c r="O101" i="4"/>
  <c r="N101" i="4"/>
  <c r="M101" i="4"/>
  <c r="L101" i="4"/>
  <c r="K101" i="4"/>
  <c r="G101" i="4"/>
  <c r="X100" i="4"/>
  <c r="Y100" i="4" s="1"/>
  <c r="W100" i="4"/>
  <c r="V100" i="4"/>
  <c r="U100" i="4"/>
  <c r="T100" i="4"/>
  <c r="S100" i="4"/>
  <c r="R100" i="4"/>
  <c r="Q100" i="4"/>
  <c r="P100" i="4"/>
  <c r="O100" i="4"/>
  <c r="N100" i="4"/>
  <c r="M100" i="4"/>
  <c r="L100" i="4"/>
  <c r="K100" i="4"/>
  <c r="G100" i="4"/>
  <c r="Y99" i="4"/>
  <c r="G99" i="4"/>
  <c r="Y98" i="4"/>
  <c r="G98" i="4"/>
  <c r="Y97" i="4"/>
  <c r="G97" i="4"/>
  <c r="Y96" i="4"/>
  <c r="G96" i="4"/>
  <c r="X95" i="4"/>
  <c r="Y95" i="4" s="1"/>
  <c r="W95" i="4"/>
  <c r="V95" i="4"/>
  <c r="U95" i="4"/>
  <c r="T95" i="4"/>
  <c r="S95" i="4"/>
  <c r="R95" i="4"/>
  <c r="Q95" i="4"/>
  <c r="P95" i="4"/>
  <c r="O95" i="4"/>
  <c r="N95" i="4"/>
  <c r="M95" i="4"/>
  <c r="L95" i="4"/>
  <c r="K95" i="4"/>
  <c r="G95" i="4"/>
  <c r="Y94" i="4"/>
  <c r="J94" i="4"/>
  <c r="G94" i="4"/>
  <c r="X93" i="4"/>
  <c r="W93" i="4"/>
  <c r="Y93" i="4" s="1"/>
  <c r="V93" i="4"/>
  <c r="U93" i="4"/>
  <c r="T93" i="4"/>
  <c r="S93" i="4"/>
  <c r="R93" i="4"/>
  <c r="Q93" i="4"/>
  <c r="P93" i="4"/>
  <c r="O93" i="4"/>
  <c r="N93" i="4"/>
  <c r="M93" i="4"/>
  <c r="L93" i="4"/>
  <c r="K93" i="4"/>
  <c r="G93" i="4"/>
  <c r="Y92" i="4"/>
  <c r="G92" i="4"/>
  <c r="Y91" i="4"/>
  <c r="J91" i="4"/>
  <c r="G91" i="4"/>
  <c r="Y90" i="4"/>
  <c r="Q90" i="4"/>
  <c r="P90" i="4"/>
  <c r="O90" i="4"/>
  <c r="N90" i="4"/>
  <c r="M90" i="4"/>
  <c r="G90" i="4"/>
  <c r="Y89" i="4"/>
  <c r="G89" i="4"/>
  <c r="Y88" i="4"/>
  <c r="G88" i="4"/>
  <c r="Y87" i="4"/>
  <c r="G87" i="4"/>
  <c r="Y86" i="4"/>
  <c r="G85" i="4"/>
  <c r="Y84" i="4"/>
  <c r="J84" i="4"/>
  <c r="G84" i="4"/>
  <c r="Y83" i="4"/>
  <c r="Y82" i="4"/>
  <c r="J82" i="4"/>
  <c r="G82" i="4"/>
  <c r="Y81" i="4"/>
  <c r="J81" i="4"/>
  <c r="G81" i="4"/>
  <c r="Y80" i="4"/>
  <c r="J80" i="4"/>
  <c r="G80" i="4"/>
  <c r="Y79" i="4"/>
  <c r="J79" i="4"/>
  <c r="G79" i="4"/>
  <c r="Y78" i="4"/>
  <c r="R78" i="4"/>
  <c r="Q78" i="4"/>
  <c r="P78" i="4"/>
  <c r="P76" i="4" s="1"/>
  <c r="O78" i="4"/>
  <c r="O76" i="4" s="1"/>
  <c r="M78" i="4"/>
  <c r="J78" i="4" s="1"/>
  <c r="L78" i="4"/>
  <c r="L76" i="4" s="1"/>
  <c r="K78" i="4"/>
  <c r="G78" i="4"/>
  <c r="Y77" i="4"/>
  <c r="J77" i="4"/>
  <c r="J76" i="4" s="1"/>
  <c r="G77" i="4"/>
  <c r="Y76" i="4"/>
  <c r="X76" i="4"/>
  <c r="W76" i="4"/>
  <c r="V76" i="4"/>
  <c r="U76" i="4"/>
  <c r="T76" i="4"/>
  <c r="S76" i="4"/>
  <c r="R76" i="4"/>
  <c r="Q76" i="4"/>
  <c r="N76" i="4"/>
  <c r="K76" i="4"/>
  <c r="G76" i="4"/>
  <c r="Y75" i="4"/>
  <c r="U75" i="4"/>
  <c r="R75" i="4"/>
  <c r="O75" i="4"/>
  <c r="J75" i="4"/>
  <c r="G75" i="4"/>
  <c r="Y74" i="4"/>
  <c r="J74" i="4"/>
  <c r="G74" i="4"/>
  <c r="Y73" i="4"/>
  <c r="J73" i="4"/>
  <c r="G73" i="4"/>
  <c r="Y72" i="4"/>
  <c r="J72" i="4"/>
  <c r="G72" i="4"/>
  <c r="Y71" i="4"/>
  <c r="J71" i="4"/>
  <c r="J70" i="4" s="1"/>
  <c r="G71" i="4"/>
  <c r="X70" i="4"/>
  <c r="W70" i="4"/>
  <c r="Y70" i="4" s="1"/>
  <c r="V70" i="4"/>
  <c r="U70" i="4"/>
  <c r="T70" i="4"/>
  <c r="S70" i="4"/>
  <c r="R70" i="4"/>
  <c r="Q70" i="4"/>
  <c r="P70" i="4"/>
  <c r="O70" i="4"/>
  <c r="N70" i="4"/>
  <c r="M70" i="4"/>
  <c r="L70" i="4"/>
  <c r="K70" i="4"/>
  <c r="G70" i="4"/>
  <c r="Y69" i="4"/>
  <c r="J69" i="4"/>
  <c r="G69" i="4"/>
  <c r="Y68" i="4"/>
  <c r="L68" i="4"/>
  <c r="L66" i="4" s="1"/>
  <c r="L65" i="4" s="1"/>
  <c r="L64" i="4" s="1"/>
  <c r="L85" i="4" s="1"/>
  <c r="G68" i="4"/>
  <c r="Y67" i="4"/>
  <c r="J67" i="4"/>
  <c r="G67" i="4"/>
  <c r="X66" i="4"/>
  <c r="Y66" i="4" s="1"/>
  <c r="W66" i="4"/>
  <c r="V66" i="4"/>
  <c r="U66" i="4"/>
  <c r="U65" i="4" s="1"/>
  <c r="U64" i="4" s="1"/>
  <c r="U85" i="4" s="1"/>
  <c r="T66" i="4"/>
  <c r="S66" i="4"/>
  <c r="S65" i="4" s="1"/>
  <c r="S64" i="4" s="1"/>
  <c r="S85" i="4" s="1"/>
  <c r="R66" i="4"/>
  <c r="Q66" i="4"/>
  <c r="P66" i="4"/>
  <c r="P65" i="4" s="1"/>
  <c r="P64" i="4" s="1"/>
  <c r="O66" i="4"/>
  <c r="N66" i="4"/>
  <c r="M66" i="4"/>
  <c r="J66" i="4" s="1"/>
  <c r="J65" i="4" s="1"/>
  <c r="K66" i="4"/>
  <c r="K65" i="4" s="1"/>
  <c r="K64" i="4" s="1"/>
  <c r="K85" i="4" s="1"/>
  <c r="G66" i="4"/>
  <c r="W65" i="4"/>
  <c r="V65" i="4"/>
  <c r="V64" i="4" s="1"/>
  <c r="V85" i="4" s="1"/>
  <c r="T65" i="4"/>
  <c r="T64" i="4" s="1"/>
  <c r="T85" i="4" s="1"/>
  <c r="R65" i="4"/>
  <c r="Q65" i="4"/>
  <c r="Q64" i="4" s="1"/>
  <c r="Q85" i="4" s="1"/>
  <c r="O65" i="4"/>
  <c r="N65" i="4"/>
  <c r="N64" i="4" s="1"/>
  <c r="N85" i="4" s="1"/>
  <c r="G65" i="4"/>
  <c r="W64" i="4"/>
  <c r="W85" i="4" s="1"/>
  <c r="R64" i="4"/>
  <c r="R85" i="4" s="1"/>
  <c r="O64" i="4"/>
  <c r="G64" i="4"/>
  <c r="X63" i="4"/>
  <c r="Y63" i="4" s="1"/>
  <c r="W63" i="4"/>
  <c r="V63" i="4"/>
  <c r="U63" i="4"/>
  <c r="T63" i="4"/>
  <c r="S63" i="4"/>
  <c r="R63" i="4"/>
  <c r="Q63" i="4"/>
  <c r="P63" i="4"/>
  <c r="O63" i="4"/>
  <c r="N63" i="4"/>
  <c r="M63" i="4"/>
  <c r="L63" i="4"/>
  <c r="K63" i="4"/>
  <c r="G63" i="4"/>
  <c r="X62" i="4"/>
  <c r="Y62" i="4" s="1"/>
  <c r="W62" i="4"/>
  <c r="V62" i="4"/>
  <c r="U62" i="4"/>
  <c r="T62" i="4"/>
  <c r="S62" i="4"/>
  <c r="R62" i="4"/>
  <c r="Q62" i="4"/>
  <c r="P62" i="4"/>
  <c r="O62" i="4"/>
  <c r="N62" i="4"/>
  <c r="M62" i="4"/>
  <c r="L62" i="4"/>
  <c r="K62" i="4"/>
  <c r="G62" i="4"/>
  <c r="X61" i="4"/>
  <c r="Y61" i="4" s="1"/>
  <c r="W61" i="4"/>
  <c r="V61" i="4"/>
  <c r="U61" i="4"/>
  <c r="T61" i="4"/>
  <c r="S61" i="4"/>
  <c r="R61" i="4"/>
  <c r="Q61" i="4"/>
  <c r="P61" i="4"/>
  <c r="O61" i="4"/>
  <c r="N61" i="4"/>
  <c r="M61" i="4"/>
  <c r="L61" i="4"/>
  <c r="K61" i="4"/>
  <c r="G61" i="4"/>
  <c r="Y60" i="4"/>
  <c r="G60" i="4"/>
  <c r="Y59" i="4"/>
  <c r="G59" i="4"/>
  <c r="Y58" i="4"/>
  <c r="G58" i="4"/>
  <c r="Y57" i="4"/>
  <c r="J57" i="4"/>
  <c r="G57" i="4"/>
  <c r="Y56" i="4"/>
  <c r="X56" i="4"/>
  <c r="W56" i="4"/>
  <c r="V56" i="4"/>
  <c r="U56" i="4"/>
  <c r="T56" i="4"/>
  <c r="S56" i="4"/>
  <c r="R56" i="4"/>
  <c r="Q56" i="4"/>
  <c r="P56" i="4"/>
  <c r="O56" i="4"/>
  <c r="N56" i="4"/>
  <c r="M56" i="4"/>
  <c r="L56" i="4"/>
  <c r="K56" i="4"/>
  <c r="J56" i="4"/>
  <c r="G56" i="4"/>
  <c r="Y55" i="4"/>
  <c r="J55" i="4"/>
  <c r="G55" i="4"/>
  <c r="X54" i="4"/>
  <c r="Y54" i="4" s="1"/>
  <c r="W54" i="4"/>
  <c r="V54" i="4"/>
  <c r="U54" i="4"/>
  <c r="T54" i="4"/>
  <c r="S54" i="4"/>
  <c r="R54" i="4"/>
  <c r="Q54" i="4"/>
  <c r="P54" i="4"/>
  <c r="O54" i="4"/>
  <c r="N54" i="4"/>
  <c r="K54" i="4"/>
  <c r="G54" i="4"/>
  <c r="AC53" i="4"/>
  <c r="AB53" i="4"/>
  <c r="AA53" i="4"/>
  <c r="Z53" i="4"/>
  <c r="Y53" i="4"/>
  <c r="J53" i="4"/>
  <c r="G53" i="4"/>
  <c r="Y52" i="4"/>
  <c r="M52" i="4"/>
  <c r="J52" i="4" s="1"/>
  <c r="L52" i="4"/>
  <c r="L54" i="4" s="1"/>
  <c r="G52" i="4"/>
  <c r="Y51" i="4"/>
  <c r="P51" i="4"/>
  <c r="O51" i="4"/>
  <c r="N51" i="4"/>
  <c r="M51" i="4"/>
  <c r="J51" i="4"/>
  <c r="G51" i="4"/>
  <c r="Y50" i="4"/>
  <c r="G50" i="4"/>
  <c r="Y49" i="4"/>
  <c r="G49" i="4"/>
  <c r="Y48" i="4"/>
  <c r="G48" i="4"/>
  <c r="Y47" i="4"/>
  <c r="G45" i="4"/>
  <c r="Y44" i="4"/>
  <c r="J44" i="4"/>
  <c r="G44" i="4"/>
  <c r="Y43" i="4"/>
  <c r="J43" i="4"/>
  <c r="G43" i="4"/>
  <c r="W42" i="4"/>
  <c r="W40" i="4" s="1"/>
  <c r="Y40" i="4" s="1"/>
  <c r="V42" i="4"/>
  <c r="V40" i="4" s="1"/>
  <c r="U42" i="4"/>
  <c r="S42" i="4"/>
  <c r="J42" i="4" s="1"/>
  <c r="J40" i="4" s="1"/>
  <c r="G42" i="4"/>
  <c r="Y41" i="4"/>
  <c r="J41" i="4"/>
  <c r="G41" i="4"/>
  <c r="X40" i="4"/>
  <c r="U40" i="4"/>
  <c r="T40" i="4"/>
  <c r="S40" i="4"/>
  <c r="R40" i="4"/>
  <c r="Q40" i="4"/>
  <c r="P40" i="4"/>
  <c r="O40" i="4"/>
  <c r="N40" i="4"/>
  <c r="M40" i="4"/>
  <c r="L40" i="4"/>
  <c r="K40" i="4"/>
  <c r="G40" i="4"/>
  <c r="X39" i="4"/>
  <c r="Y39" i="4" s="1"/>
  <c r="W39" i="4"/>
  <c r="V39" i="4"/>
  <c r="U39" i="4"/>
  <c r="T39" i="4"/>
  <c r="S39" i="4"/>
  <c r="R39" i="4"/>
  <c r="Q39" i="4"/>
  <c r="P39" i="4"/>
  <c r="O39" i="4"/>
  <c r="N39" i="4"/>
  <c r="M39" i="4"/>
  <c r="J39" i="4" s="1"/>
  <c r="L39" i="4"/>
  <c r="K39" i="4"/>
  <c r="G39" i="4"/>
  <c r="X38" i="4"/>
  <c r="Y38" i="4" s="1"/>
  <c r="W38" i="4"/>
  <c r="V38" i="4"/>
  <c r="U38" i="4"/>
  <c r="T38" i="4"/>
  <c r="S38" i="4"/>
  <c r="R38" i="4"/>
  <c r="Q38" i="4"/>
  <c r="P38" i="4"/>
  <c r="O38" i="4"/>
  <c r="N38" i="4"/>
  <c r="M38" i="4"/>
  <c r="L38" i="4"/>
  <c r="K38" i="4"/>
  <c r="G38" i="4"/>
  <c r="X37" i="4"/>
  <c r="Y37" i="4" s="1"/>
  <c r="W37" i="4"/>
  <c r="V37" i="4"/>
  <c r="U37" i="4"/>
  <c r="T37" i="4"/>
  <c r="S37" i="4"/>
  <c r="R37" i="4"/>
  <c r="Q37" i="4"/>
  <c r="P37" i="4"/>
  <c r="O37" i="4"/>
  <c r="N37" i="4"/>
  <c r="M37" i="4"/>
  <c r="J37" i="4" s="1"/>
  <c r="L37" i="4"/>
  <c r="K37" i="4"/>
  <c r="G37" i="4"/>
  <c r="Y36" i="4"/>
  <c r="X36" i="4"/>
  <c r="W36" i="4"/>
  <c r="V36" i="4"/>
  <c r="U36" i="4"/>
  <c r="T36" i="4"/>
  <c r="S36" i="4"/>
  <c r="R36" i="4"/>
  <c r="Q36" i="4"/>
  <c r="P36" i="4"/>
  <c r="O36" i="4"/>
  <c r="N36" i="4"/>
  <c r="M36" i="4"/>
  <c r="J36" i="4" s="1"/>
  <c r="L36" i="4"/>
  <c r="K36" i="4"/>
  <c r="G36" i="4"/>
  <c r="X35" i="4"/>
  <c r="Y35" i="4" s="1"/>
  <c r="W35" i="4"/>
  <c r="V35" i="4"/>
  <c r="U35" i="4"/>
  <c r="T35" i="4"/>
  <c r="S35" i="4"/>
  <c r="R35" i="4"/>
  <c r="Q35" i="4"/>
  <c r="P35" i="4"/>
  <c r="O35" i="4"/>
  <c r="N35" i="4"/>
  <c r="J35" i="4" s="1"/>
  <c r="M35" i="4"/>
  <c r="L35" i="4"/>
  <c r="K35" i="4"/>
  <c r="G35" i="4"/>
  <c r="X34" i="4"/>
  <c r="Y34" i="4" s="1"/>
  <c r="W34" i="4"/>
  <c r="V34" i="4"/>
  <c r="U34" i="4"/>
  <c r="T34" i="4"/>
  <c r="S34" i="4"/>
  <c r="R34" i="4"/>
  <c r="Q34" i="4"/>
  <c r="P34" i="4"/>
  <c r="J34" i="4" s="1"/>
  <c r="O34" i="4"/>
  <c r="N34" i="4"/>
  <c r="M34" i="4"/>
  <c r="L34" i="4"/>
  <c r="K34" i="4"/>
  <c r="G34" i="4"/>
  <c r="Y33" i="4"/>
  <c r="X33" i="4"/>
  <c r="W33" i="4"/>
  <c r="V33" i="4"/>
  <c r="U33" i="4"/>
  <c r="T33" i="4"/>
  <c r="S33" i="4"/>
  <c r="R33" i="4"/>
  <c r="R31" i="4" s="1"/>
  <c r="Q33" i="4"/>
  <c r="P33" i="4"/>
  <c r="O33" i="4"/>
  <c r="N33" i="4"/>
  <c r="M33" i="4"/>
  <c r="L33" i="4"/>
  <c r="K33" i="4"/>
  <c r="G33" i="4"/>
  <c r="X32" i="4"/>
  <c r="Y32" i="4" s="1"/>
  <c r="W32" i="4"/>
  <c r="V32" i="4"/>
  <c r="U32" i="4"/>
  <c r="U31" i="4" s="1"/>
  <c r="T32" i="4"/>
  <c r="S32" i="4"/>
  <c r="S31" i="4" s="1"/>
  <c r="R32" i="4"/>
  <c r="Q32" i="4"/>
  <c r="P32" i="4"/>
  <c r="O32" i="4"/>
  <c r="N32" i="4"/>
  <c r="M32" i="4"/>
  <c r="M31" i="4" s="1"/>
  <c r="L32" i="4"/>
  <c r="K32" i="4"/>
  <c r="K31" i="4" s="1"/>
  <c r="G32" i="4"/>
  <c r="W31" i="4"/>
  <c r="V31" i="4"/>
  <c r="T31" i="4"/>
  <c r="O31" i="4"/>
  <c r="L31" i="4"/>
  <c r="G31" i="4"/>
  <c r="Y30" i="4"/>
  <c r="X30" i="4"/>
  <c r="W30" i="4"/>
  <c r="V30" i="4"/>
  <c r="U30" i="4"/>
  <c r="T30" i="4"/>
  <c r="S30" i="4"/>
  <c r="R30" i="4"/>
  <c r="Q30" i="4"/>
  <c r="J30" i="4" s="1"/>
  <c r="P30" i="4"/>
  <c r="O30" i="4"/>
  <c r="N30" i="4"/>
  <c r="M30" i="4"/>
  <c r="L30" i="4"/>
  <c r="K30" i="4"/>
  <c r="G30" i="4"/>
  <c r="X29" i="4"/>
  <c r="Y29" i="4" s="1"/>
  <c r="W29" i="4"/>
  <c r="V29" i="4"/>
  <c r="U29" i="4"/>
  <c r="T29" i="4"/>
  <c r="S29" i="4"/>
  <c r="R29" i="4"/>
  <c r="Q29" i="4"/>
  <c r="P29" i="4"/>
  <c r="O29" i="4"/>
  <c r="N29" i="4"/>
  <c r="M29" i="4"/>
  <c r="L29" i="4"/>
  <c r="K29" i="4"/>
  <c r="J29" i="4"/>
  <c r="G29" i="4"/>
  <c r="X28" i="4"/>
  <c r="Y28" i="4" s="1"/>
  <c r="W28" i="4"/>
  <c r="V28" i="4"/>
  <c r="U28" i="4"/>
  <c r="T28" i="4"/>
  <c r="S28" i="4"/>
  <c r="S25" i="4" s="1"/>
  <c r="R28" i="4"/>
  <c r="Q28" i="4"/>
  <c r="P28" i="4"/>
  <c r="O28" i="4"/>
  <c r="N28" i="4"/>
  <c r="M28" i="4"/>
  <c r="J28" i="4" s="1"/>
  <c r="L28" i="4"/>
  <c r="K28" i="4"/>
  <c r="K25" i="4" s="1"/>
  <c r="G28" i="4"/>
  <c r="X27" i="4"/>
  <c r="W27" i="4"/>
  <c r="Y27" i="4" s="1"/>
  <c r="V27" i="4"/>
  <c r="U27" i="4"/>
  <c r="T27" i="4"/>
  <c r="T25" i="4" s="1"/>
  <c r="S27" i="4"/>
  <c r="R27" i="4"/>
  <c r="Q27" i="4"/>
  <c r="P27" i="4"/>
  <c r="O27" i="4"/>
  <c r="N27" i="4"/>
  <c r="M27" i="4"/>
  <c r="L27" i="4"/>
  <c r="L25" i="4" s="1"/>
  <c r="K27" i="4"/>
  <c r="G27" i="4"/>
  <c r="X26" i="4"/>
  <c r="W26" i="4"/>
  <c r="V26" i="4"/>
  <c r="U26" i="4"/>
  <c r="U25" i="4" s="1"/>
  <c r="T26" i="4"/>
  <c r="S26" i="4"/>
  <c r="R26" i="4"/>
  <c r="Q26" i="4"/>
  <c r="P26" i="4"/>
  <c r="P25" i="4" s="1"/>
  <c r="O26" i="4"/>
  <c r="N26" i="4"/>
  <c r="M26" i="4"/>
  <c r="L26" i="4"/>
  <c r="K26" i="4"/>
  <c r="G26" i="4"/>
  <c r="AA25" i="4"/>
  <c r="R25" i="4"/>
  <c r="Q25" i="4"/>
  <c r="O25" i="4"/>
  <c r="G25" i="4"/>
  <c r="X24" i="4"/>
  <c r="W24" i="4"/>
  <c r="V24" i="4"/>
  <c r="U24" i="4"/>
  <c r="T24" i="4"/>
  <c r="S24" i="4"/>
  <c r="R24" i="4"/>
  <c r="Q24" i="4"/>
  <c r="P24" i="4"/>
  <c r="P20" i="4" s="1"/>
  <c r="P19" i="4" s="1"/>
  <c r="O24" i="4"/>
  <c r="N24" i="4"/>
  <c r="M24" i="4"/>
  <c r="L24" i="4"/>
  <c r="K24" i="4"/>
  <c r="K20" i="4" s="1"/>
  <c r="K19" i="4" s="1"/>
  <c r="J24" i="4"/>
  <c r="G24" i="4"/>
  <c r="Y23" i="4"/>
  <c r="X23" i="4"/>
  <c r="W23" i="4"/>
  <c r="V23" i="4"/>
  <c r="U23" i="4"/>
  <c r="T23" i="4"/>
  <c r="S23" i="4"/>
  <c r="R23" i="4"/>
  <c r="Q23" i="4"/>
  <c r="Q21" i="4" s="1"/>
  <c r="Q20" i="4" s="1"/>
  <c r="P23" i="4"/>
  <c r="O23" i="4"/>
  <c r="N23" i="4"/>
  <c r="M23" i="4"/>
  <c r="L23" i="4"/>
  <c r="K23" i="4"/>
  <c r="G23" i="4"/>
  <c r="AA22" i="4"/>
  <c r="X22" i="4"/>
  <c r="Y22" i="4" s="1"/>
  <c r="W22" i="4"/>
  <c r="W21" i="4" s="1"/>
  <c r="W20" i="4" s="1"/>
  <c r="V22" i="4"/>
  <c r="U22" i="4"/>
  <c r="U21" i="4" s="1"/>
  <c r="U20" i="4" s="1"/>
  <c r="U19" i="4" s="1"/>
  <c r="U45" i="4" s="1"/>
  <c r="U46" i="4" s="1"/>
  <c r="T22" i="4"/>
  <c r="S22" i="4"/>
  <c r="R22" i="4"/>
  <c r="R21" i="4" s="1"/>
  <c r="R20" i="4" s="1"/>
  <c r="R19" i="4" s="1"/>
  <c r="Q22" i="4"/>
  <c r="P22" i="4"/>
  <c r="O22" i="4"/>
  <c r="O21" i="4" s="1"/>
  <c r="O20" i="4" s="1"/>
  <c r="N22" i="4"/>
  <c r="M22" i="4"/>
  <c r="J22" i="4" s="1"/>
  <c r="L22" i="4"/>
  <c r="K22" i="4"/>
  <c r="G22" i="4"/>
  <c r="X21" i="4"/>
  <c r="V21" i="4"/>
  <c r="S21" i="4"/>
  <c r="S20" i="4" s="1"/>
  <c r="S19" i="4" s="1"/>
  <c r="P21" i="4"/>
  <c r="N21" i="4"/>
  <c r="G21" i="4"/>
  <c r="V20" i="4"/>
  <c r="N20" i="4"/>
  <c r="G20" i="4"/>
  <c r="O19" i="4"/>
  <c r="G19" i="4"/>
  <c r="G18" i="4"/>
  <c r="G17" i="4"/>
  <c r="X16" i="4"/>
  <c r="Y16" i="4" s="1"/>
  <c r="W16" i="4"/>
  <c r="U16" i="4"/>
  <c r="T16" i="4"/>
  <c r="S16" i="4"/>
  <c r="R16" i="4"/>
  <c r="Q16" i="4"/>
  <c r="P16" i="4"/>
  <c r="O16" i="4"/>
  <c r="N16" i="4"/>
  <c r="M16" i="4"/>
  <c r="L16" i="4"/>
  <c r="K16" i="4"/>
  <c r="G16" i="4"/>
  <c r="X15" i="4"/>
  <c r="W15" i="4"/>
  <c r="W18" i="4" s="1"/>
  <c r="V15" i="4"/>
  <c r="V18" i="4" s="1"/>
  <c r="U15" i="4"/>
  <c r="U18" i="4" s="1"/>
  <c r="T15" i="4"/>
  <c r="S15" i="4"/>
  <c r="R15" i="4"/>
  <c r="Q15" i="4"/>
  <c r="P15" i="4"/>
  <c r="P18" i="4" s="1"/>
  <c r="O15" i="4"/>
  <c r="O18" i="4" s="1"/>
  <c r="N15" i="4"/>
  <c r="N18" i="4" s="1"/>
  <c r="M15" i="4"/>
  <c r="M18" i="4" s="1"/>
  <c r="L15" i="4"/>
  <c r="K15" i="4"/>
  <c r="G15" i="4"/>
  <c r="X14" i="4"/>
  <c r="W14" i="4"/>
  <c r="V14" i="4"/>
  <c r="U14" i="4"/>
  <c r="T14" i="4"/>
  <c r="S14" i="4"/>
  <c r="R14" i="4"/>
  <c r="Q14" i="4"/>
  <c r="P14" i="4"/>
  <c r="O14" i="4"/>
  <c r="N14" i="4"/>
  <c r="M14" i="4"/>
  <c r="L14" i="4"/>
  <c r="K14" i="4"/>
  <c r="G14" i="4"/>
  <c r="X13" i="4"/>
  <c r="X17" i="4" s="1"/>
  <c r="W13" i="4"/>
  <c r="W17" i="4" s="1"/>
  <c r="V13" i="4"/>
  <c r="V17" i="4" s="1"/>
  <c r="U13" i="4"/>
  <c r="U17" i="4" s="1"/>
  <c r="T13" i="4"/>
  <c r="S13" i="4"/>
  <c r="R13" i="4"/>
  <c r="Q13" i="4"/>
  <c r="P13" i="4"/>
  <c r="P17" i="4" s="1"/>
  <c r="O13" i="4"/>
  <c r="O17" i="4" s="1"/>
  <c r="N13" i="4"/>
  <c r="N17" i="4" s="1"/>
  <c r="M13" i="4"/>
  <c r="M17" i="4" s="1"/>
  <c r="L13" i="4"/>
  <c r="K13" i="4"/>
  <c r="G13" i="4"/>
  <c r="X12" i="4"/>
  <c r="W12" i="4"/>
  <c r="V12" i="4"/>
  <c r="U12" i="4"/>
  <c r="T12" i="4"/>
  <c r="S12" i="4"/>
  <c r="R12" i="4"/>
  <c r="Q12" i="4"/>
  <c r="P12" i="4"/>
  <c r="O12" i="4"/>
  <c r="N12" i="4"/>
  <c r="M12" i="4"/>
  <c r="L12" i="4"/>
  <c r="K12" i="4"/>
  <c r="G12" i="4"/>
  <c r="X11" i="4"/>
  <c r="W11" i="4"/>
  <c r="Y11" i="4" s="1"/>
  <c r="V11" i="4"/>
  <c r="U11" i="4"/>
  <c r="T11" i="4"/>
  <c r="S11" i="4"/>
  <c r="R11" i="4"/>
  <c r="Q11" i="4"/>
  <c r="P11" i="4"/>
  <c r="O11" i="4"/>
  <c r="N11" i="4"/>
  <c r="M11" i="4"/>
  <c r="L11" i="4"/>
  <c r="K11" i="4"/>
  <c r="G11" i="4"/>
  <c r="X10" i="4"/>
  <c r="W10" i="4"/>
  <c r="Y10" i="4" s="1"/>
  <c r="V10" i="4"/>
  <c r="U10" i="4"/>
  <c r="T10" i="4"/>
  <c r="S10" i="4"/>
  <c r="R10" i="4"/>
  <c r="Q10" i="4"/>
  <c r="P10" i="4"/>
  <c r="O10" i="4"/>
  <c r="N10" i="4"/>
  <c r="M10" i="4"/>
  <c r="L10" i="4"/>
  <c r="K10" i="4"/>
  <c r="J10" i="4"/>
  <c r="G10" i="4"/>
  <c r="X9" i="4"/>
  <c r="Y9" i="4" s="1"/>
  <c r="W9" i="4"/>
  <c r="V9" i="4"/>
  <c r="U9" i="4"/>
  <c r="T9" i="4"/>
  <c r="S9" i="4"/>
  <c r="R9" i="4"/>
  <c r="Q9" i="4"/>
  <c r="P9" i="4"/>
  <c r="O9" i="4"/>
  <c r="N9" i="4"/>
  <c r="L9" i="4"/>
  <c r="K9" i="4"/>
  <c r="G9" i="4"/>
  <c r="X8" i="4"/>
  <c r="Y8" i="4" s="1"/>
  <c r="W8" i="4"/>
  <c r="V8" i="4"/>
  <c r="U8" i="4"/>
  <c r="T8" i="4"/>
  <c r="S8" i="4"/>
  <c r="R8" i="4"/>
  <c r="Q8" i="4"/>
  <c r="P8" i="4"/>
  <c r="O8" i="4"/>
  <c r="N8" i="4"/>
  <c r="M8" i="4"/>
  <c r="L8" i="4"/>
  <c r="K8" i="4"/>
  <c r="G8" i="4"/>
  <c r="X7" i="4"/>
  <c r="Y7" i="4" s="1"/>
  <c r="W7" i="4"/>
  <c r="V7" i="4"/>
  <c r="U7" i="4"/>
  <c r="T7" i="4"/>
  <c r="S7" i="4"/>
  <c r="R7" i="4"/>
  <c r="Q7" i="4"/>
  <c r="P7" i="4"/>
  <c r="O7" i="4"/>
  <c r="N7" i="4"/>
  <c r="M7" i="4"/>
  <c r="J7" i="4" s="1"/>
  <c r="L7" i="4"/>
  <c r="K7" i="4"/>
  <c r="G7" i="4"/>
  <c r="X6" i="4"/>
  <c r="Y6" i="4" s="1"/>
  <c r="W6" i="4"/>
  <c r="N146" i="3" s="1"/>
  <c r="V6" i="4"/>
  <c r="M146" i="3" s="1"/>
  <c r="U6" i="4"/>
  <c r="L146" i="3" s="1"/>
  <c r="T6" i="4"/>
  <c r="K146" i="3" s="1"/>
  <c r="S6" i="4"/>
  <c r="R6" i="4"/>
  <c r="Q6" i="4"/>
  <c r="P6" i="4"/>
  <c r="O6" i="4"/>
  <c r="F146" i="3" s="1"/>
  <c r="N6" i="4"/>
  <c r="E146" i="3" s="1"/>
  <c r="M6" i="4"/>
  <c r="D146" i="3" s="1"/>
  <c r="L6" i="4"/>
  <c r="K6" i="4"/>
  <c r="G6" i="4"/>
  <c r="X5" i="4"/>
  <c r="Y5" i="4" s="1"/>
  <c r="W5" i="4"/>
  <c r="V5" i="4"/>
  <c r="U5" i="4"/>
  <c r="T5" i="4"/>
  <c r="S5" i="4"/>
  <c r="R5" i="4"/>
  <c r="Q5" i="4"/>
  <c r="P5" i="4"/>
  <c r="O5" i="4"/>
  <c r="N5" i="4"/>
  <c r="M5" i="4"/>
  <c r="J5" i="4" s="1"/>
  <c r="L5" i="4"/>
  <c r="K5" i="4"/>
  <c r="G5" i="4"/>
  <c r="X4" i="4"/>
  <c r="Y4" i="4" s="1"/>
  <c r="W4" i="4"/>
  <c r="V4" i="4"/>
  <c r="U4" i="4"/>
  <c r="T4" i="4"/>
  <c r="S4" i="4"/>
  <c r="R4" i="4"/>
  <c r="Q4" i="4"/>
  <c r="P4" i="4"/>
  <c r="O4" i="4"/>
  <c r="N4" i="4"/>
  <c r="J4" i="4" s="1"/>
  <c r="M4" i="4"/>
  <c r="L4" i="4"/>
  <c r="K4" i="4"/>
  <c r="G4" i="4"/>
  <c r="D162" i="3"/>
  <c r="F18" i="7" s="1"/>
  <c r="N150" i="3"/>
  <c r="M150" i="3"/>
  <c r="L150" i="3"/>
  <c r="K150" i="3"/>
  <c r="J150" i="3"/>
  <c r="I150" i="3"/>
  <c r="H150" i="3"/>
  <c r="G150" i="3"/>
  <c r="F150" i="3"/>
  <c r="E150" i="3"/>
  <c r="D150" i="3"/>
  <c r="N149" i="3"/>
  <c r="M149" i="3"/>
  <c r="L149" i="3"/>
  <c r="K149" i="3"/>
  <c r="J149" i="3"/>
  <c r="I149" i="3"/>
  <c r="H149" i="3"/>
  <c r="G149" i="3"/>
  <c r="F149" i="3"/>
  <c r="E149" i="3"/>
  <c r="D149" i="3"/>
  <c r="N148" i="3"/>
  <c r="M148" i="3"/>
  <c r="L148" i="3"/>
  <c r="K148" i="3"/>
  <c r="J148" i="3"/>
  <c r="D154" i="3" s="1"/>
  <c r="E68" i="7" s="1"/>
  <c r="I148" i="3"/>
  <c r="H148" i="3"/>
  <c r="G148" i="3"/>
  <c r="F148" i="3"/>
  <c r="E148" i="3"/>
  <c r="D148" i="3"/>
  <c r="O147" i="3"/>
  <c r="N147" i="3"/>
  <c r="M147" i="3"/>
  <c r="L147" i="3"/>
  <c r="K147" i="3"/>
  <c r="J147" i="3"/>
  <c r="I147" i="3"/>
  <c r="H147" i="3"/>
  <c r="G147" i="3"/>
  <c r="F147" i="3"/>
  <c r="E147" i="3"/>
  <c r="D147" i="3"/>
  <c r="O146" i="3"/>
  <c r="J146" i="3"/>
  <c r="I146" i="3"/>
  <c r="H146" i="3"/>
  <c r="G146" i="3"/>
  <c r="E145" i="3"/>
  <c r="F145" i="3" s="1"/>
  <c r="G145" i="3" s="1"/>
  <c r="H145" i="3" s="1"/>
  <c r="I145" i="3" s="1"/>
  <c r="J145" i="3" s="1"/>
  <c r="K145" i="3" s="1"/>
  <c r="L145" i="3" s="1"/>
  <c r="M145" i="3" s="1"/>
  <c r="Q133" i="3"/>
  <c r="P133" i="3"/>
  <c r="O133" i="3"/>
  <c r="N133" i="3"/>
  <c r="M133" i="3"/>
  <c r="L133" i="3"/>
  <c r="K133" i="3"/>
  <c r="J133" i="3"/>
  <c r="I133" i="3"/>
  <c r="H133" i="3"/>
  <c r="G133" i="3"/>
  <c r="F133" i="3"/>
  <c r="E133" i="3"/>
  <c r="Q132" i="3"/>
  <c r="P132" i="3"/>
  <c r="O132" i="3"/>
  <c r="N132" i="3"/>
  <c r="M132" i="3"/>
  <c r="M113" i="3" s="1"/>
  <c r="L132" i="3"/>
  <c r="K132" i="3"/>
  <c r="K113" i="3" s="1"/>
  <c r="J132" i="3"/>
  <c r="I132" i="3"/>
  <c r="H132" i="3"/>
  <c r="G132" i="3"/>
  <c r="F132" i="3"/>
  <c r="E132" i="3"/>
  <c r="Q131" i="3"/>
  <c r="Q112" i="3" s="1"/>
  <c r="P131" i="3"/>
  <c r="P112" i="3" s="1"/>
  <c r="O131" i="3"/>
  <c r="N131" i="3"/>
  <c r="M131" i="3"/>
  <c r="L131" i="3"/>
  <c r="K131" i="3"/>
  <c r="J131" i="3"/>
  <c r="I131" i="3"/>
  <c r="I112" i="3" s="1"/>
  <c r="H131" i="3"/>
  <c r="I113" i="3" s="1"/>
  <c r="G131" i="3"/>
  <c r="F131" i="3"/>
  <c r="E131" i="3"/>
  <c r="Q130" i="3"/>
  <c r="P130" i="3"/>
  <c r="O130" i="3"/>
  <c r="O111" i="3" s="1"/>
  <c r="D111" i="3" s="1"/>
  <c r="N130" i="3"/>
  <c r="N111" i="3" s="1"/>
  <c r="M130" i="3"/>
  <c r="M111" i="3" s="1"/>
  <c r="L130" i="3"/>
  <c r="K130" i="3"/>
  <c r="J130" i="3"/>
  <c r="I130" i="3"/>
  <c r="H130" i="3"/>
  <c r="G130" i="3"/>
  <c r="F130" i="3"/>
  <c r="F111" i="3" s="1"/>
  <c r="E130" i="3"/>
  <c r="F112" i="3" s="1"/>
  <c r="Q129" i="3"/>
  <c r="P129" i="3"/>
  <c r="O129" i="3"/>
  <c r="N129" i="3"/>
  <c r="M129" i="3"/>
  <c r="L129" i="3"/>
  <c r="K129" i="3"/>
  <c r="L111" i="3" s="1"/>
  <c r="J129" i="3"/>
  <c r="K111" i="3" s="1"/>
  <c r="I129" i="3"/>
  <c r="H129" i="3"/>
  <c r="G129" i="3"/>
  <c r="F129" i="3"/>
  <c r="E129" i="3"/>
  <c r="Q128" i="3"/>
  <c r="P128" i="3"/>
  <c r="Q110" i="3" s="1"/>
  <c r="O128" i="3"/>
  <c r="P110" i="3" s="1"/>
  <c r="N128" i="3"/>
  <c r="M128" i="3"/>
  <c r="L128" i="3"/>
  <c r="K128" i="3"/>
  <c r="J128" i="3"/>
  <c r="I128" i="3"/>
  <c r="H128" i="3"/>
  <c r="I110" i="3" s="1"/>
  <c r="G128" i="3"/>
  <c r="H110" i="3" s="1"/>
  <c r="F128" i="3"/>
  <c r="E128" i="3"/>
  <c r="Q127" i="3"/>
  <c r="P127" i="3"/>
  <c r="O127" i="3"/>
  <c r="N127" i="3"/>
  <c r="M127" i="3"/>
  <c r="N109" i="3" s="1"/>
  <c r="L127" i="3"/>
  <c r="M109" i="3" s="1"/>
  <c r="K127" i="3"/>
  <c r="J127" i="3"/>
  <c r="I127" i="3"/>
  <c r="I108" i="3" s="1"/>
  <c r="H127" i="3"/>
  <c r="H108" i="3" s="1"/>
  <c r="G127" i="3"/>
  <c r="G108" i="3" s="1"/>
  <c r="F127" i="3"/>
  <c r="F108" i="3" s="1"/>
  <c r="E127" i="3"/>
  <c r="F109" i="3" s="1"/>
  <c r="Q126" i="3"/>
  <c r="P126" i="3"/>
  <c r="O126" i="3"/>
  <c r="N126" i="3"/>
  <c r="M126" i="3"/>
  <c r="L126" i="3"/>
  <c r="K126" i="3"/>
  <c r="J126" i="3"/>
  <c r="I126" i="3"/>
  <c r="J108" i="3" s="1"/>
  <c r="H126" i="3"/>
  <c r="G126" i="3"/>
  <c r="F126" i="3"/>
  <c r="E126" i="3"/>
  <c r="Q125" i="3"/>
  <c r="Q106" i="3" s="1"/>
  <c r="P125" i="3"/>
  <c r="P106" i="3" s="1"/>
  <c r="O125" i="3"/>
  <c r="P107" i="3" s="1"/>
  <c r="N125" i="3"/>
  <c r="N106" i="3" s="1"/>
  <c r="M125" i="3"/>
  <c r="L125" i="3"/>
  <c r="K125" i="3"/>
  <c r="K106" i="3" s="1"/>
  <c r="J125" i="3"/>
  <c r="J106" i="3" s="1"/>
  <c r="I125" i="3"/>
  <c r="I106" i="3" s="1"/>
  <c r="H125" i="3"/>
  <c r="H106" i="3" s="1"/>
  <c r="G125" i="3"/>
  <c r="G106" i="3" s="1"/>
  <c r="F125" i="3"/>
  <c r="F106" i="3" s="1"/>
  <c r="E125" i="3"/>
  <c r="Q124" i="3"/>
  <c r="P124" i="3"/>
  <c r="P105" i="3" s="1"/>
  <c r="O124" i="3"/>
  <c r="O105" i="3" s="1"/>
  <c r="D105" i="3" s="1"/>
  <c r="N124" i="3"/>
  <c r="N105" i="3" s="1"/>
  <c r="M124" i="3"/>
  <c r="M105" i="3" s="1"/>
  <c r="L124" i="3"/>
  <c r="L105" i="3" s="1"/>
  <c r="K124" i="3"/>
  <c r="K105" i="3" s="1"/>
  <c r="J124" i="3"/>
  <c r="I124" i="3"/>
  <c r="H124" i="3"/>
  <c r="H105" i="3" s="1"/>
  <c r="G124" i="3"/>
  <c r="G105" i="3" s="1"/>
  <c r="F124" i="3"/>
  <c r="F105" i="3" s="1"/>
  <c r="E124" i="3"/>
  <c r="Q123" i="3"/>
  <c r="P123" i="3"/>
  <c r="O123" i="3"/>
  <c r="N123" i="3"/>
  <c r="M123" i="3"/>
  <c r="L123" i="3"/>
  <c r="K123" i="3"/>
  <c r="J123" i="3"/>
  <c r="I123" i="3"/>
  <c r="H123" i="3"/>
  <c r="G123" i="3"/>
  <c r="F123" i="3"/>
  <c r="E123" i="3"/>
  <c r="G122" i="3"/>
  <c r="H122" i="3" s="1"/>
  <c r="I122" i="3" s="1"/>
  <c r="J122" i="3" s="1"/>
  <c r="K122" i="3" s="1"/>
  <c r="L122" i="3" s="1"/>
  <c r="M122" i="3" s="1"/>
  <c r="N122" i="3" s="1"/>
  <c r="O122" i="3" s="1"/>
  <c r="P113" i="3"/>
  <c r="O113" i="3"/>
  <c r="N113" i="3"/>
  <c r="H113" i="3"/>
  <c r="G113" i="3"/>
  <c r="F113" i="3"/>
  <c r="M112" i="3"/>
  <c r="K112" i="3"/>
  <c r="J112" i="3"/>
  <c r="Q111" i="3"/>
  <c r="P111" i="3"/>
  <c r="I111" i="3"/>
  <c r="H111" i="3"/>
  <c r="G111" i="3"/>
  <c r="N110" i="3"/>
  <c r="M110" i="3"/>
  <c r="K110" i="3"/>
  <c r="J110" i="3"/>
  <c r="G110" i="3"/>
  <c r="F110" i="3"/>
  <c r="Q109" i="3"/>
  <c r="P109" i="3"/>
  <c r="O109" i="3"/>
  <c r="D109" i="3" s="1"/>
  <c r="C109" i="3" s="1"/>
  <c r="D80" i="7" s="1"/>
  <c r="E80" i="7" s="1"/>
  <c r="F80" i="7" s="1"/>
  <c r="E108" i="8" s="1"/>
  <c r="L109" i="3"/>
  <c r="K109" i="3"/>
  <c r="J109" i="3"/>
  <c r="I109" i="3"/>
  <c r="H109" i="3"/>
  <c r="G109" i="3"/>
  <c r="Q108" i="3"/>
  <c r="P108" i="3"/>
  <c r="O108" i="3"/>
  <c r="N108" i="3"/>
  <c r="K108" i="3"/>
  <c r="D108" i="3"/>
  <c r="C108" i="3"/>
  <c r="D79" i="7" s="1"/>
  <c r="Q107" i="3"/>
  <c r="N107" i="3"/>
  <c r="M107" i="3"/>
  <c r="L107" i="3"/>
  <c r="K107" i="3"/>
  <c r="H107" i="3"/>
  <c r="M106" i="3"/>
  <c r="L106" i="3"/>
  <c r="Q105" i="3"/>
  <c r="J105" i="3"/>
  <c r="I105" i="3"/>
  <c r="G104" i="3"/>
  <c r="H104" i="3" s="1"/>
  <c r="I104" i="3" s="1"/>
  <c r="J104" i="3" s="1"/>
  <c r="K104" i="3" s="1"/>
  <c r="L104" i="3" s="1"/>
  <c r="M104" i="3" s="1"/>
  <c r="N104" i="3" s="1"/>
  <c r="O104" i="3" s="1"/>
  <c r="C99" i="3"/>
  <c r="E98" i="3"/>
  <c r="C98" i="3"/>
  <c r="C97" i="3"/>
  <c r="C96" i="3"/>
  <c r="E97" i="3" s="1"/>
  <c r="S87" i="3"/>
  <c r="L87" i="3"/>
  <c r="E87" i="3"/>
  <c r="S86" i="3"/>
  <c r="L86" i="3"/>
  <c r="E86" i="3"/>
  <c r="S85" i="3"/>
  <c r="L85" i="3"/>
  <c r="E85" i="3"/>
  <c r="S84" i="3"/>
  <c r="L84" i="3"/>
  <c r="E84" i="3"/>
  <c r="S83" i="3"/>
  <c r="L83" i="3"/>
  <c r="E83" i="3"/>
  <c r="S82" i="3"/>
  <c r="L82" i="3"/>
  <c r="E82" i="3"/>
  <c r="S81" i="3"/>
  <c r="L81" i="3"/>
  <c r="E81" i="3"/>
  <c r="L76" i="3"/>
  <c r="L75" i="3"/>
  <c r="D77" i="3" s="1"/>
  <c r="L74" i="3"/>
  <c r="L73" i="3"/>
  <c r="L72" i="3"/>
  <c r="O59" i="3"/>
  <c r="C68" i="3" s="1"/>
  <c r="E64" i="7" s="1"/>
  <c r="N59" i="3"/>
  <c r="M59" i="3"/>
  <c r="L59" i="3"/>
  <c r="K59" i="3"/>
  <c r="J59" i="3"/>
  <c r="I59" i="3"/>
  <c r="H59" i="3"/>
  <c r="G59" i="3"/>
  <c r="F59" i="3"/>
  <c r="E59" i="3"/>
  <c r="D59" i="3"/>
  <c r="O58" i="3"/>
  <c r="N58" i="3"/>
  <c r="M58" i="3"/>
  <c r="L58" i="3"/>
  <c r="K58" i="3"/>
  <c r="J58" i="3"/>
  <c r="I58" i="3"/>
  <c r="H58" i="3"/>
  <c r="G58" i="3"/>
  <c r="F58" i="3"/>
  <c r="E58" i="3"/>
  <c r="D58" i="3"/>
  <c r="O57" i="3"/>
  <c r="C67" i="3" s="1"/>
  <c r="E53" i="7" s="1"/>
  <c r="E82" i="8" s="1"/>
  <c r="O46" i="7" s="1"/>
  <c r="N46" i="7" s="1"/>
  <c r="N57" i="3"/>
  <c r="M57" i="3"/>
  <c r="L57" i="3"/>
  <c r="K57" i="3"/>
  <c r="J57" i="3"/>
  <c r="I57" i="3"/>
  <c r="H57" i="3"/>
  <c r="G57" i="3"/>
  <c r="F57" i="3"/>
  <c r="E57" i="3"/>
  <c r="D57" i="3"/>
  <c r="O56" i="3"/>
  <c r="N56" i="3"/>
  <c r="M56" i="3"/>
  <c r="L56" i="3"/>
  <c r="K56" i="3"/>
  <c r="J56" i="3"/>
  <c r="I56" i="3"/>
  <c r="H56" i="3"/>
  <c r="G56" i="3"/>
  <c r="F56" i="3"/>
  <c r="E56" i="3"/>
  <c r="D56" i="3"/>
  <c r="O55" i="3"/>
  <c r="C64" i="3" s="1"/>
  <c r="E49" i="7" s="1"/>
  <c r="E78" i="8" s="1"/>
  <c r="N55" i="3"/>
  <c r="M55" i="3"/>
  <c r="L55" i="3"/>
  <c r="K55" i="3"/>
  <c r="J55" i="3"/>
  <c r="I55" i="3"/>
  <c r="H55" i="3"/>
  <c r="G55" i="3"/>
  <c r="F55" i="3"/>
  <c r="E55" i="3"/>
  <c r="D55" i="3"/>
  <c r="O54" i="3"/>
  <c r="N54" i="3"/>
  <c r="M54" i="3"/>
  <c r="C65" i="3" s="1"/>
  <c r="E51" i="7" s="1"/>
  <c r="E81" i="8" s="1"/>
  <c r="L54" i="3"/>
  <c r="K54" i="3"/>
  <c r="J54" i="3"/>
  <c r="I54" i="3"/>
  <c r="H54" i="3"/>
  <c r="G54" i="3"/>
  <c r="F54" i="3"/>
  <c r="E54" i="3"/>
  <c r="D54" i="3"/>
  <c r="O52" i="3"/>
  <c r="N52" i="3"/>
  <c r="M52" i="3"/>
  <c r="L52" i="3"/>
  <c r="K52" i="3"/>
  <c r="J52" i="3"/>
  <c r="I52" i="3"/>
  <c r="H52" i="3"/>
  <c r="G52" i="3"/>
  <c r="F52" i="3"/>
  <c r="E52" i="3"/>
  <c r="D52" i="3"/>
  <c r="O51" i="3"/>
  <c r="N51" i="3"/>
  <c r="M51" i="3"/>
  <c r="L51" i="3"/>
  <c r="K51" i="3"/>
  <c r="J51" i="3"/>
  <c r="I51" i="3"/>
  <c r="H51" i="3"/>
  <c r="G51" i="3"/>
  <c r="F51" i="3"/>
  <c r="E51" i="3"/>
  <c r="D51" i="3"/>
  <c r="O50" i="3"/>
  <c r="N50" i="3"/>
  <c r="M50" i="3"/>
  <c r="L50" i="3"/>
  <c r="K50" i="3"/>
  <c r="J50" i="3"/>
  <c r="I50" i="3"/>
  <c r="H50" i="3"/>
  <c r="G50" i="3"/>
  <c r="F50" i="3"/>
  <c r="E50" i="3"/>
  <c r="D50" i="3"/>
  <c r="E49" i="3"/>
  <c r="F49" i="3" s="1"/>
  <c r="G49" i="3" s="1"/>
  <c r="H49" i="3" s="1"/>
  <c r="I49" i="3" s="1"/>
  <c r="J49" i="3" s="1"/>
  <c r="K49" i="3" s="1"/>
  <c r="L49" i="3" s="1"/>
  <c r="M49" i="3" s="1"/>
  <c r="D42" i="3"/>
  <c r="E39" i="3"/>
  <c r="F39" i="3" s="1"/>
  <c r="G39" i="3" s="1"/>
  <c r="H39" i="3" s="1"/>
  <c r="I39" i="3" s="1"/>
  <c r="J39" i="3" s="1"/>
  <c r="K39" i="3" s="1"/>
  <c r="L39" i="3" s="1"/>
  <c r="M39" i="3" s="1"/>
  <c r="K37" i="3"/>
  <c r="E23" i="7" s="1"/>
  <c r="I37" i="3"/>
  <c r="E18" i="7" s="1"/>
  <c r="H37" i="3"/>
  <c r="E12" i="7" s="1"/>
  <c r="G37" i="3"/>
  <c r="E10" i="7" s="1"/>
  <c r="F37" i="3"/>
  <c r="H35" i="3"/>
  <c r="L33" i="3"/>
  <c r="L32" i="3"/>
  <c r="L31" i="3"/>
  <c r="L30" i="3"/>
  <c r="L29" i="3"/>
  <c r="L28" i="3"/>
  <c r="L27" i="3"/>
  <c r="L26" i="3"/>
  <c r="L25" i="3"/>
  <c r="L24" i="3"/>
  <c r="L23" i="3"/>
  <c r="L22" i="3"/>
  <c r="E7" i="3"/>
  <c r="E55" i="7" s="1"/>
  <c r="E6" i="3"/>
  <c r="E54" i="7" s="1"/>
  <c r="S46" i="4" l="1"/>
  <c r="S45" i="4"/>
  <c r="Y17" i="4"/>
  <c r="E80" i="8"/>
  <c r="O45" i="7"/>
  <c r="E77" i="8"/>
  <c r="O43" i="7"/>
  <c r="N43" i="7" s="1"/>
  <c r="D110" i="3"/>
  <c r="D153" i="3"/>
  <c r="E67" i="7" s="1"/>
  <c r="U46" i="7"/>
  <c r="K46" i="4"/>
  <c r="K45" i="4"/>
  <c r="D155" i="3"/>
  <c r="E69" i="7" s="1"/>
  <c r="D156" i="3"/>
  <c r="E70" i="7" s="1"/>
  <c r="G18" i="7"/>
  <c r="E19" i="7"/>
  <c r="D11" i="8"/>
  <c r="K17" i="4"/>
  <c r="S17" i="4"/>
  <c r="Q19" i="4"/>
  <c r="AF30" i="4"/>
  <c r="X20" i="4"/>
  <c r="Y24" i="4"/>
  <c r="AE35" i="4"/>
  <c r="J64" i="4"/>
  <c r="J85" i="4" s="1"/>
  <c r="X376" i="4"/>
  <c r="Y377" i="4"/>
  <c r="Y494" i="4"/>
  <c r="E79" i="7"/>
  <c r="F79" i="7" s="1"/>
  <c r="E107" i="8" s="1"/>
  <c r="L17" i="4"/>
  <c r="T17" i="4"/>
  <c r="AE30" i="4"/>
  <c r="O46" i="4"/>
  <c r="O45" i="4"/>
  <c r="M21" i="4"/>
  <c r="R46" i="4"/>
  <c r="R45" i="4"/>
  <c r="X103" i="4"/>
  <c r="Y104" i="4"/>
  <c r="W592" i="4"/>
  <c r="Y592" i="4" s="1"/>
  <c r="Y571" i="4"/>
  <c r="W610" i="4"/>
  <c r="Y611" i="4"/>
  <c r="P31" i="4"/>
  <c r="P45" i="4" s="1"/>
  <c r="Q31" i="4"/>
  <c r="J33" i="4"/>
  <c r="AF32" i="4"/>
  <c r="Y15" i="4"/>
  <c r="L21" i="4"/>
  <c r="L20" i="4" s="1"/>
  <c r="L19" i="4" s="1"/>
  <c r="T21" i="4"/>
  <c r="T20" i="4" s="1"/>
  <c r="T19" i="4" s="1"/>
  <c r="T45" i="4" s="1"/>
  <c r="T46" i="4" s="1"/>
  <c r="J27" i="4"/>
  <c r="O85" i="4"/>
  <c r="P85" i="4"/>
  <c r="M182" i="4"/>
  <c r="M181" i="4" s="1"/>
  <c r="M202" i="4" s="1"/>
  <c r="J183" i="4"/>
  <c r="J182" i="4" s="1"/>
  <c r="J181" i="4" s="1"/>
  <c r="J202" i="4" s="1"/>
  <c r="M494" i="4"/>
  <c r="M493" i="4" s="1"/>
  <c r="M514" i="4" s="1"/>
  <c r="J495" i="4"/>
  <c r="J494" i="4" s="1"/>
  <c r="J493" i="4" s="1"/>
  <c r="J514" i="4" s="1"/>
  <c r="E76" i="7"/>
  <c r="F76" i="7" s="1"/>
  <c r="E104" i="8" s="1"/>
  <c r="E77" i="3"/>
  <c r="Q113" i="3"/>
  <c r="D113" i="3" s="1"/>
  <c r="C113" i="3" s="1"/>
  <c r="O112" i="3"/>
  <c r="D112" i="3" s="1"/>
  <c r="C112" i="3" s="1"/>
  <c r="Y14" i="4"/>
  <c r="Q18" i="4"/>
  <c r="X18" i="4"/>
  <c r="Y18" i="4" s="1"/>
  <c r="M25" i="4"/>
  <c r="J26" i="4"/>
  <c r="J25" i="4" s="1"/>
  <c r="Y182" i="4"/>
  <c r="X181" i="4"/>
  <c r="Y454" i="4"/>
  <c r="W475" i="4"/>
  <c r="Y475" i="4" s="1"/>
  <c r="W532" i="4"/>
  <c r="Y533" i="4"/>
  <c r="J649" i="4"/>
  <c r="J670" i="4" s="1"/>
  <c r="G98" i="3"/>
  <c r="I107" i="3"/>
  <c r="D12" i="8"/>
  <c r="F19" i="7"/>
  <c r="G96" i="3"/>
  <c r="O106" i="3"/>
  <c r="D106" i="3" s="1"/>
  <c r="N112" i="3"/>
  <c r="Y13" i="4"/>
  <c r="R18" i="4"/>
  <c r="N25" i="4"/>
  <c r="N19" i="4" s="1"/>
  <c r="V25" i="4"/>
  <c r="V19" i="4" s="1"/>
  <c r="V45" i="4" s="1"/>
  <c r="V46" i="4" s="1"/>
  <c r="G112" i="3"/>
  <c r="J113" i="3"/>
  <c r="BF53" i="10"/>
  <c r="AX53" i="10"/>
  <c r="AP53" i="10"/>
  <c r="AH53" i="10"/>
  <c r="Z53" i="10"/>
  <c r="R53" i="10"/>
  <c r="J53" i="10"/>
  <c r="B53" i="10"/>
  <c r="BE53" i="10"/>
  <c r="AW53" i="10"/>
  <c r="AO53" i="10"/>
  <c r="AG53" i="10"/>
  <c r="Y53" i="10"/>
  <c r="Q53" i="10"/>
  <c r="I53" i="10"/>
  <c r="BA53" i="10"/>
  <c r="AQ53" i="10"/>
  <c r="AE53" i="10"/>
  <c r="U53" i="10"/>
  <c r="K53" i="10"/>
  <c r="AZ53" i="10"/>
  <c r="AN53" i="10"/>
  <c r="AD53" i="10"/>
  <c r="T53" i="10"/>
  <c r="H53" i="10"/>
  <c r="AM85" i="10" s="1"/>
  <c r="BI53" i="10"/>
  <c r="AY53" i="10"/>
  <c r="AM53" i="10"/>
  <c r="AC53" i="10"/>
  <c r="S53" i="10"/>
  <c r="G53" i="10"/>
  <c r="BH53" i="10"/>
  <c r="AV53" i="10"/>
  <c r="AL53" i="10"/>
  <c r="AB53" i="10"/>
  <c r="P53" i="10"/>
  <c r="F53" i="10"/>
  <c r="BD53" i="10"/>
  <c r="AT53" i="10"/>
  <c r="AJ53" i="10"/>
  <c r="X53" i="10"/>
  <c r="N53" i="10"/>
  <c r="D53" i="10"/>
  <c r="BC53" i="10"/>
  <c r="AS53" i="10"/>
  <c r="AI53" i="10"/>
  <c r="W53" i="10"/>
  <c r="M53" i="10"/>
  <c r="C53" i="10"/>
  <c r="BB53" i="10"/>
  <c r="AR53" i="10"/>
  <c r="AF53" i="10"/>
  <c r="V53" i="10"/>
  <c r="L53" i="10"/>
  <c r="AU53" i="10"/>
  <c r="AK53" i="10"/>
  <c r="AK54" i="10" s="1"/>
  <c r="O53" i="10"/>
  <c r="AL77" i="10" s="1"/>
  <c r="E53" i="10"/>
  <c r="BG53" i="10"/>
  <c r="AA53" i="10"/>
  <c r="E61" i="8"/>
  <c r="O36" i="7" s="1"/>
  <c r="N36" i="7" s="1"/>
  <c r="E60" i="8"/>
  <c r="D25" i="8"/>
  <c r="E68" i="8"/>
  <c r="D16" i="8"/>
  <c r="G97" i="3"/>
  <c r="O107" i="3"/>
  <c r="D107" i="3" s="1"/>
  <c r="C107" i="3" s="1"/>
  <c r="D78" i="7" s="1"/>
  <c r="E78" i="7" s="1"/>
  <c r="F78" i="7" s="1"/>
  <c r="E106" i="8" s="1"/>
  <c r="H112" i="3"/>
  <c r="J6" i="4"/>
  <c r="Y12" i="4"/>
  <c r="Q17" i="4"/>
  <c r="K18" i="4"/>
  <c r="S18" i="4"/>
  <c r="W25" i="4"/>
  <c r="W19" i="4" s="1"/>
  <c r="W45" i="4" s="1"/>
  <c r="W46" i="4" s="1"/>
  <c r="J337" i="4"/>
  <c r="J358" i="4" s="1"/>
  <c r="J522" i="4"/>
  <c r="E96" i="3"/>
  <c r="H6" i="8"/>
  <c r="G6" i="8"/>
  <c r="F6" i="8"/>
  <c r="E14" i="7"/>
  <c r="D19" i="7" s="1"/>
  <c r="F22" i="8"/>
  <c r="D7" i="8"/>
  <c r="E6" i="8"/>
  <c r="D6" i="8"/>
  <c r="F18" i="8" s="1"/>
  <c r="F13" i="8"/>
  <c r="E13" i="8"/>
  <c r="R17" i="4"/>
  <c r="L18" i="4"/>
  <c r="T18" i="4"/>
  <c r="Y21" i="4"/>
  <c r="Y26" i="4"/>
  <c r="X25" i="4"/>
  <c r="Y163" i="4"/>
  <c r="U397" i="4"/>
  <c r="J32" i="4"/>
  <c r="J31" i="4" s="1"/>
  <c r="M65" i="4"/>
  <c r="M64" i="4" s="1"/>
  <c r="Q104" i="4"/>
  <c r="Q103" i="4" s="1"/>
  <c r="Q124" i="4" s="1"/>
  <c r="J144" i="4"/>
  <c r="J143" i="4" s="1"/>
  <c r="J142" i="4" s="1"/>
  <c r="J163" i="4" s="1"/>
  <c r="M221" i="4"/>
  <c r="M220" i="4" s="1"/>
  <c r="M241" i="4" s="1"/>
  <c r="M260" i="4"/>
  <c r="M259" i="4" s="1"/>
  <c r="M280" i="4" s="1"/>
  <c r="U388" i="4"/>
  <c r="Q533" i="4"/>
  <c r="Q532" i="4" s="1"/>
  <c r="Q553" i="4" s="1"/>
  <c r="P611" i="4"/>
  <c r="P610" i="4" s="1"/>
  <c r="P631" i="4" s="1"/>
  <c r="G99" i="8"/>
  <c r="G97" i="8"/>
  <c r="G98" i="8"/>
  <c r="G92" i="8"/>
  <c r="G91" i="8" s="1"/>
  <c r="G96" i="8"/>
  <c r="G25" i="8"/>
  <c r="G142" i="8" s="1"/>
  <c r="G16" i="8"/>
  <c r="G13" i="8"/>
  <c r="G63" i="8" a="1"/>
  <c r="G63" i="8" s="1"/>
  <c r="G22" i="8"/>
  <c r="G18" i="8"/>
  <c r="M54" i="4"/>
  <c r="J273" i="4"/>
  <c r="J271" i="4" s="1"/>
  <c r="J280" i="4" s="1"/>
  <c r="M299" i="4"/>
  <c r="J312" i="4"/>
  <c r="J310" i="4" s="1"/>
  <c r="M338" i="4"/>
  <c r="M337" i="4" s="1"/>
  <c r="M358" i="4" s="1"/>
  <c r="X416" i="4"/>
  <c r="J521" i="4"/>
  <c r="V529" i="4"/>
  <c r="J560" i="4"/>
  <c r="J582" i="4"/>
  <c r="J592" i="4" s="1"/>
  <c r="H98" i="8"/>
  <c r="H92" i="8"/>
  <c r="H91" i="8" s="1"/>
  <c r="H96" i="8"/>
  <c r="H142" i="8"/>
  <c r="H99" i="8"/>
  <c r="H16" i="8"/>
  <c r="H13" i="8"/>
  <c r="H63" i="8" a="1"/>
  <c r="H63" i="8" s="1"/>
  <c r="H11" i="8"/>
  <c r="I17" i="8" s="1"/>
  <c r="H97" i="8"/>
  <c r="H22" i="8"/>
  <c r="H25" i="8"/>
  <c r="H18" i="8"/>
  <c r="J378" i="4"/>
  <c r="J377" i="4" s="1"/>
  <c r="J376" i="4" s="1"/>
  <c r="J397" i="4" s="1"/>
  <c r="J456" i="4"/>
  <c r="J455" i="4" s="1"/>
  <c r="J454" i="4" s="1"/>
  <c r="J475" i="4" s="1"/>
  <c r="L495" i="4"/>
  <c r="L494" i="4" s="1"/>
  <c r="L493" i="4" s="1"/>
  <c r="L514" i="4" s="1"/>
  <c r="Y527" i="4"/>
  <c r="J537" i="4"/>
  <c r="J533" i="4" s="1"/>
  <c r="J532" i="4" s="1"/>
  <c r="J553" i="4" s="1"/>
  <c r="J615" i="4"/>
  <c r="J611" i="4" s="1"/>
  <c r="J610" i="4" s="1"/>
  <c r="J631" i="4" s="1"/>
  <c r="J684" i="4"/>
  <c r="Y684" i="4"/>
  <c r="I5" i="8"/>
  <c r="N31" i="4"/>
  <c r="Y42" i="4"/>
  <c r="X65" i="4"/>
  <c r="Y109" i="4"/>
  <c r="X221" i="4"/>
  <c r="X260" i="4"/>
  <c r="X298" i="4"/>
  <c r="X337" i="4"/>
  <c r="W493" i="4"/>
  <c r="V531" i="4"/>
  <c r="Y531" i="4" s="1"/>
  <c r="Y661" i="4"/>
  <c r="AH30" i="4"/>
  <c r="X31" i="4"/>
  <c r="Y31" i="4" s="1"/>
  <c r="Y142" i="4"/>
  <c r="Y537" i="4"/>
  <c r="M76" i="4"/>
  <c r="L183" i="4"/>
  <c r="L182" i="4" s="1"/>
  <c r="L181" i="4" s="1"/>
  <c r="L202" i="4" s="1"/>
  <c r="U349" i="4"/>
  <c r="U358" i="4" s="1"/>
  <c r="U670" i="4"/>
  <c r="N49" i="7"/>
  <c r="G11" i="8"/>
  <c r="H17" i="8" s="1"/>
  <c r="H19" i="8" s="1"/>
  <c r="F142" i="8"/>
  <c r="F98" i="8"/>
  <c r="F92" i="8"/>
  <c r="F91" i="8" s="1"/>
  <c r="F99" i="8"/>
  <c r="E88" i="8"/>
  <c r="F63" i="8" a="1"/>
  <c r="F63" i="8" s="1"/>
  <c r="F97" i="8"/>
  <c r="F16" i="8"/>
  <c r="F96" i="8"/>
  <c r="F95" i="8" s="1"/>
  <c r="W688" i="4"/>
  <c r="E77" i="7"/>
  <c r="F77" i="7" s="1"/>
  <c r="E105" i="8" s="1"/>
  <c r="F25" i="8"/>
  <c r="E189" i="8"/>
  <c r="F185" i="8" s="1"/>
  <c r="E154" i="8"/>
  <c r="E171" i="8"/>
  <c r="E97" i="8"/>
  <c r="E63" i="8" a="1"/>
  <c r="E63" i="8" s="1"/>
  <c r="E25" i="8"/>
  <c r="E99" i="8"/>
  <c r="E37" i="8"/>
  <c r="E35" i="8"/>
  <c r="E31" i="8"/>
  <c r="E98" i="8"/>
  <c r="E148" i="8"/>
  <c r="E96" i="8"/>
  <c r="E12" i="8"/>
  <c r="E15" i="8"/>
  <c r="F15" i="8" s="1"/>
  <c r="G15" i="8" s="1"/>
  <c r="E214" i="8"/>
  <c r="H10" i="9"/>
  <c r="AL112" i="10"/>
  <c r="AL113" i="10"/>
  <c r="AL108" i="10"/>
  <c r="AL100" i="10"/>
  <c r="AL92" i="10"/>
  <c r="AL105" i="10"/>
  <c r="AL97" i="10"/>
  <c r="AL87" i="10"/>
  <c r="AL85" i="10"/>
  <c r="AL83" i="10"/>
  <c r="AL81" i="10"/>
  <c r="AL79" i="10"/>
  <c r="AL110" i="10"/>
  <c r="AL102" i="10"/>
  <c r="AL94" i="10"/>
  <c r="AL107" i="10"/>
  <c r="AL104" i="10"/>
  <c r="AL109" i="10"/>
  <c r="AL106" i="10"/>
  <c r="AL78" i="10"/>
  <c r="AL111" i="10"/>
  <c r="AL103" i="10"/>
  <c r="AL95" i="10"/>
  <c r="AL86" i="10"/>
  <c r="AL84" i="10"/>
  <c r="AL99" i="10"/>
  <c r="AL96" i="10"/>
  <c r="AL90" i="10"/>
  <c r="AL82" i="10"/>
  <c r="AL80" i="10"/>
  <c r="AL91" i="10"/>
  <c r="AL93" i="10"/>
  <c r="AL58" i="10"/>
  <c r="AL56" i="10"/>
  <c r="AL54" i="10"/>
  <c r="AL88" i="10"/>
  <c r="AL72" i="10"/>
  <c r="AL73" i="10"/>
  <c r="AL71" i="10"/>
  <c r="AL70" i="10"/>
  <c r="AL101" i="10"/>
  <c r="AL98" i="10"/>
  <c r="AL76" i="10"/>
  <c r="AL74" i="10"/>
  <c r="AL65" i="10"/>
  <c r="AL60" i="10"/>
  <c r="AL55" i="10"/>
  <c r="AL69" i="10"/>
  <c r="AL64" i="10"/>
  <c r="AL63" i="10"/>
  <c r="AL61" i="10"/>
  <c r="AL59" i="10"/>
  <c r="AL62" i="10"/>
  <c r="AL67" i="10"/>
  <c r="AL57" i="10"/>
  <c r="AL75" i="10"/>
  <c r="AL66" i="10"/>
  <c r="AL68" i="10"/>
  <c r="AM113" i="10"/>
  <c r="AM111" i="10"/>
  <c r="AM109" i="10"/>
  <c r="AM107" i="10"/>
  <c r="AM105" i="10"/>
  <c r="AM103" i="10"/>
  <c r="AM101" i="10"/>
  <c r="AM99" i="10"/>
  <c r="AM97" i="10"/>
  <c r="AM95" i="10"/>
  <c r="AM93" i="10"/>
  <c r="AM91" i="10"/>
  <c r="AM89" i="10"/>
  <c r="AM87" i="10"/>
  <c r="AM83" i="10"/>
  <c r="AM81" i="10"/>
  <c r="AM110" i="10"/>
  <c r="AM102" i="10"/>
  <c r="AM94" i="10"/>
  <c r="AM104" i="10"/>
  <c r="AM112" i="10"/>
  <c r="AM106" i="10"/>
  <c r="AM100" i="10"/>
  <c r="AM98" i="10"/>
  <c r="AM88" i="10"/>
  <c r="AM77" i="10"/>
  <c r="AM75" i="10"/>
  <c r="AM73" i="10"/>
  <c r="AM71" i="10"/>
  <c r="AM67" i="10"/>
  <c r="AM65" i="10"/>
  <c r="AM63" i="10"/>
  <c r="AM61" i="10"/>
  <c r="AM84" i="10"/>
  <c r="AM108" i="10"/>
  <c r="AM96" i="10"/>
  <c r="AM82" i="10"/>
  <c r="AM92" i="10"/>
  <c r="AM78" i="10"/>
  <c r="AM86" i="10"/>
  <c r="AM72" i="10"/>
  <c r="AM76" i="10"/>
  <c r="AM80" i="10"/>
  <c r="AM74" i="10"/>
  <c r="AM64" i="10"/>
  <c r="AM59" i="10"/>
  <c r="AM62" i="10"/>
  <c r="AM56" i="10"/>
  <c r="AM66" i="10"/>
  <c r="AM68" i="10"/>
  <c r="AM54" i="10"/>
  <c r="AM70" i="10"/>
  <c r="AM60" i="10"/>
  <c r="AM58" i="10"/>
  <c r="AM55" i="10"/>
  <c r="AM57" i="10"/>
  <c r="AN5" i="10"/>
  <c r="C4" i="10"/>
  <c r="F4" i="9"/>
  <c r="N46" i="4" l="1"/>
  <c r="N45" i="4"/>
  <c r="E95" i="8"/>
  <c r="G4" i="9"/>
  <c r="D4" i="10"/>
  <c r="D3" i="10" s="1"/>
  <c r="F5" i="9"/>
  <c r="E32" i="8"/>
  <c r="E29" i="8"/>
  <c r="E164" i="8"/>
  <c r="F122" i="8"/>
  <c r="F162" i="8"/>
  <c r="U49" i="7"/>
  <c r="Y221" i="4"/>
  <c r="X220" i="4"/>
  <c r="U36" i="7"/>
  <c r="AJ68" i="10"/>
  <c r="AB60" i="10"/>
  <c r="AE63" i="10"/>
  <c r="AH66" i="10"/>
  <c r="V54" i="10"/>
  <c r="AI67" i="10"/>
  <c r="Y57" i="10"/>
  <c r="Z58" i="10"/>
  <c r="AK69" i="10"/>
  <c r="AG65" i="10"/>
  <c r="AF64" i="10"/>
  <c r="AA59" i="10"/>
  <c r="W55" i="10"/>
  <c r="AD62" i="10"/>
  <c r="AC61" i="10"/>
  <c r="X56" i="10"/>
  <c r="AE79" i="10"/>
  <c r="AH82" i="10"/>
  <c r="AB76" i="10"/>
  <c r="T68" i="10"/>
  <c r="L60" i="10"/>
  <c r="AF80" i="10"/>
  <c r="W71" i="10"/>
  <c r="O63" i="10"/>
  <c r="AI83" i="10"/>
  <c r="AK85" i="10"/>
  <c r="AD78" i="10"/>
  <c r="Y73" i="10"/>
  <c r="V70" i="10"/>
  <c r="F54" i="10"/>
  <c r="AG81" i="10"/>
  <c r="X72" i="10"/>
  <c r="U69" i="10"/>
  <c r="I57" i="10"/>
  <c r="AC77" i="10"/>
  <c r="Z74" i="10"/>
  <c r="Q65" i="10"/>
  <c r="N62" i="10"/>
  <c r="AA75" i="10"/>
  <c r="H56" i="10"/>
  <c r="P64" i="10"/>
  <c r="R66" i="10"/>
  <c r="M61" i="10"/>
  <c r="K59" i="10"/>
  <c r="AJ84" i="10"/>
  <c r="G55" i="10"/>
  <c r="J58" i="10"/>
  <c r="S67" i="10"/>
  <c r="AI60" i="10"/>
  <c r="AH59" i="10"/>
  <c r="AC54" i="10"/>
  <c r="AF57" i="10"/>
  <c r="AE56" i="10"/>
  <c r="AK62" i="10"/>
  <c r="AJ61" i="10"/>
  <c r="AG58" i="10"/>
  <c r="AD55" i="10"/>
  <c r="AF61" i="10"/>
  <c r="AI64" i="10"/>
  <c r="AJ65" i="10"/>
  <c r="AG62" i="10"/>
  <c r="Z55" i="10"/>
  <c r="AH63" i="10"/>
  <c r="AC58" i="10"/>
  <c r="AK66" i="10"/>
  <c r="Y54" i="10"/>
  <c r="AA56" i="10"/>
  <c r="AB57" i="10"/>
  <c r="AD59" i="10"/>
  <c r="AE60" i="10"/>
  <c r="AJ64" i="10"/>
  <c r="AI63" i="10"/>
  <c r="AG61" i="10"/>
  <c r="AD58" i="10"/>
  <c r="AK65" i="10"/>
  <c r="AH62" i="10"/>
  <c r="AA55" i="10"/>
  <c r="AB56" i="10"/>
  <c r="AF60" i="10"/>
  <c r="AE59" i="10"/>
  <c r="Z54" i="10"/>
  <c r="AC57" i="10"/>
  <c r="P46" i="4"/>
  <c r="C3" i="10"/>
  <c r="I10" i="9"/>
  <c r="W687" i="4"/>
  <c r="Y688" i="4"/>
  <c r="J54" i="4"/>
  <c r="M9" i="4"/>
  <c r="G95" i="8"/>
  <c r="AI62" i="10"/>
  <c r="AC56" i="10"/>
  <c r="AK64" i="10"/>
  <c r="AJ63" i="10"/>
  <c r="AH61" i="10"/>
  <c r="AB55" i="10"/>
  <c r="AG60" i="10"/>
  <c r="AD57" i="10"/>
  <c r="AF59" i="10"/>
  <c r="AE58" i="10"/>
  <c r="AA54" i="10"/>
  <c r="AG55" i="10"/>
  <c r="AJ58" i="10"/>
  <c r="AI57" i="10"/>
  <c r="AK59" i="10"/>
  <c r="AF54" i="10"/>
  <c r="AH56" i="10"/>
  <c r="AJ74" i="10"/>
  <c r="AB66" i="10"/>
  <c r="AE69" i="10"/>
  <c r="W61" i="10"/>
  <c r="AG71" i="10"/>
  <c r="AF70" i="10"/>
  <c r="Y63" i="10"/>
  <c r="Q55" i="10"/>
  <c r="AI73" i="10"/>
  <c r="AA65" i="10"/>
  <c r="X62" i="10"/>
  <c r="AH72" i="10"/>
  <c r="AD68" i="10"/>
  <c r="V60" i="10"/>
  <c r="R56" i="10"/>
  <c r="Z64" i="10"/>
  <c r="U59" i="10"/>
  <c r="AK75" i="10"/>
  <c r="AC67" i="10"/>
  <c r="P54" i="10"/>
  <c r="T58" i="10"/>
  <c r="S57" i="10"/>
  <c r="AI78" i="10"/>
  <c r="AF75" i="10"/>
  <c r="X67" i="10"/>
  <c r="AA70" i="10"/>
  <c r="S62" i="10"/>
  <c r="AC72" i="10"/>
  <c r="Q60" i="10"/>
  <c r="AD73" i="10"/>
  <c r="W66" i="10"/>
  <c r="M56" i="10"/>
  <c r="AK80" i="10"/>
  <c r="AJ79" i="10"/>
  <c r="AG76" i="10"/>
  <c r="Y68" i="10"/>
  <c r="Z69" i="10"/>
  <c r="U64" i="10"/>
  <c r="T63" i="10"/>
  <c r="P59" i="10"/>
  <c r="O58" i="10"/>
  <c r="K54" i="10"/>
  <c r="AB71" i="10"/>
  <c r="R61" i="10"/>
  <c r="V65" i="10"/>
  <c r="AH77" i="10"/>
  <c r="N57" i="10"/>
  <c r="AE74" i="10"/>
  <c r="L55" i="10"/>
  <c r="AH55" i="10"/>
  <c r="AK58" i="10"/>
  <c r="AG54" i="10"/>
  <c r="AI56" i="10"/>
  <c r="AJ57" i="10"/>
  <c r="AH54" i="10"/>
  <c r="AI55" i="10"/>
  <c r="AK57" i="10"/>
  <c r="AJ56" i="10"/>
  <c r="M20" i="4"/>
  <c r="M19" i="4" s="1"/>
  <c r="J21" i="4"/>
  <c r="J20" i="4" s="1"/>
  <c r="J19" i="4" s="1"/>
  <c r="U43" i="7"/>
  <c r="AN112" i="10"/>
  <c r="AN110" i="10"/>
  <c r="AN108" i="10"/>
  <c r="AN106" i="10"/>
  <c r="AN104" i="10"/>
  <c r="AN102" i="10"/>
  <c r="AN100" i="10"/>
  <c r="AN98" i="10"/>
  <c r="AN96" i="10"/>
  <c r="AN94" i="10"/>
  <c r="AN92" i="10"/>
  <c r="AN90" i="10"/>
  <c r="AN88" i="10"/>
  <c r="AN86" i="10"/>
  <c r="AN113" i="10"/>
  <c r="AN105" i="10"/>
  <c r="AN97" i="10"/>
  <c r="AN89" i="10"/>
  <c r="AN87" i="10"/>
  <c r="AN107" i="10"/>
  <c r="AN99" i="10"/>
  <c r="AN109" i="10"/>
  <c r="AN111" i="10"/>
  <c r="AN103" i="10"/>
  <c r="AN83" i="10"/>
  <c r="AN77" i="10"/>
  <c r="AN75" i="10"/>
  <c r="AN73" i="10"/>
  <c r="AN71" i="10"/>
  <c r="AN69" i="10"/>
  <c r="AN67" i="10"/>
  <c r="AN65" i="10"/>
  <c r="AN63" i="10"/>
  <c r="AN61" i="10"/>
  <c r="AN101" i="10"/>
  <c r="AN81" i="10"/>
  <c r="AN79" i="10"/>
  <c r="AN82" i="10"/>
  <c r="AN91" i="10"/>
  <c r="AN93" i="10"/>
  <c r="AN84" i="10"/>
  <c r="AN78" i="10"/>
  <c r="AN80" i="10"/>
  <c r="AN95" i="10"/>
  <c r="AN85" i="10"/>
  <c r="AN74" i="10"/>
  <c r="AN72" i="10"/>
  <c r="AN62" i="10"/>
  <c r="AN56" i="10"/>
  <c r="AN76" i="10"/>
  <c r="AN57" i="10"/>
  <c r="AN68" i="10"/>
  <c r="AN54" i="10"/>
  <c r="AN70" i="10"/>
  <c r="AN60" i="10"/>
  <c r="AN58" i="10"/>
  <c r="AN55" i="10"/>
  <c r="AN64" i="10"/>
  <c r="AN59" i="10"/>
  <c r="AN66" i="10"/>
  <c r="AO5" i="10"/>
  <c r="E18" i="8"/>
  <c r="E33" i="8"/>
  <c r="E27" i="8"/>
  <c r="E149" i="8"/>
  <c r="E87" i="8"/>
  <c r="F85" i="8"/>
  <c r="Y65" i="4"/>
  <c r="X64" i="4"/>
  <c r="H122" i="8"/>
  <c r="Z529" i="4"/>
  <c r="V16" i="4"/>
  <c r="G26" i="8"/>
  <c r="G122" i="8"/>
  <c r="M85" i="4"/>
  <c r="AJ86" i="10"/>
  <c r="AE81" i="10"/>
  <c r="AH84" i="10"/>
  <c r="AC79" i="10"/>
  <c r="T70" i="10"/>
  <c r="L62" i="10"/>
  <c r="AI85" i="10"/>
  <c r="AF82" i="10"/>
  <c r="AB78" i="10"/>
  <c r="W73" i="10"/>
  <c r="O65" i="10"/>
  <c r="AK87" i="10"/>
  <c r="AG83" i="10"/>
  <c r="Y75" i="10"/>
  <c r="AD80" i="10"/>
  <c r="N64" i="10"/>
  <c r="M63" i="10"/>
  <c r="K61" i="10"/>
  <c r="F56" i="10"/>
  <c r="I59" i="10"/>
  <c r="AA77" i="10"/>
  <c r="X74" i="10"/>
  <c r="U71" i="10"/>
  <c r="Q67" i="10"/>
  <c r="P66" i="10"/>
  <c r="E55" i="10"/>
  <c r="S69" i="10"/>
  <c r="J60" i="10"/>
  <c r="Z76" i="10"/>
  <c r="V72" i="10"/>
  <c r="H58" i="10"/>
  <c r="R68" i="10"/>
  <c r="D54" i="10"/>
  <c r="G57" i="10"/>
  <c r="AJ62" i="10"/>
  <c r="AD56" i="10"/>
  <c r="AH60" i="10"/>
  <c r="AG59" i="10"/>
  <c r="AK63" i="10"/>
  <c r="AE57" i="10"/>
  <c r="AB54" i="10"/>
  <c r="AC55" i="10"/>
  <c r="AF58" i="10"/>
  <c r="AI61" i="10"/>
  <c r="AF65" i="10"/>
  <c r="AI68" i="10"/>
  <c r="Z59" i="10"/>
  <c r="AG66" i="10"/>
  <c r="U54" i="10"/>
  <c r="AK70" i="10"/>
  <c r="Y58" i="10"/>
  <c r="AJ69" i="10"/>
  <c r="AE64" i="10"/>
  <c r="AC62" i="10"/>
  <c r="AB61" i="10"/>
  <c r="AA60" i="10"/>
  <c r="X57" i="10"/>
  <c r="W56" i="10"/>
  <c r="AH67" i="10"/>
  <c r="AD63" i="10"/>
  <c r="V55" i="10"/>
  <c r="X202" i="4"/>
  <c r="Y202" i="4" s="1"/>
  <c r="Y181" i="4"/>
  <c r="W631" i="4"/>
  <c r="Y631" i="4" s="1"/>
  <c r="Y610" i="4"/>
  <c r="Y376" i="4"/>
  <c r="X397" i="4"/>
  <c r="Y397" i="4" s="1"/>
  <c r="Q46" i="4"/>
  <c r="Q45" i="4"/>
  <c r="E142" i="8"/>
  <c r="E128" i="8"/>
  <c r="F36" i="8"/>
  <c r="F153" i="8" s="1"/>
  <c r="F32" i="8"/>
  <c r="H49" i="8"/>
  <c r="H56" i="8" s="1"/>
  <c r="AI84" i="10"/>
  <c r="AD79" i="10"/>
  <c r="AJ85" i="10"/>
  <c r="AG82" i="10"/>
  <c r="AC78" i="10"/>
  <c r="X73" i="10"/>
  <c r="P65" i="10"/>
  <c r="AA76" i="10"/>
  <c r="S68" i="10"/>
  <c r="AK86" i="10"/>
  <c r="AH83" i="10"/>
  <c r="AF81" i="10"/>
  <c r="M62" i="10"/>
  <c r="J59" i="10"/>
  <c r="U70" i="10"/>
  <c r="E54" i="10"/>
  <c r="AB77" i="10"/>
  <c r="Y74" i="10"/>
  <c r="AE80" i="10"/>
  <c r="O64" i="10"/>
  <c r="N63" i="10"/>
  <c r="F55" i="10"/>
  <c r="Z75" i="10"/>
  <c r="T69" i="10"/>
  <c r="K60" i="10"/>
  <c r="H57" i="10"/>
  <c r="G56" i="10"/>
  <c r="W72" i="10"/>
  <c r="V71" i="10"/>
  <c r="R67" i="10"/>
  <c r="I58" i="10"/>
  <c r="Q66" i="10"/>
  <c r="L61" i="10"/>
  <c r="AJ76" i="10"/>
  <c r="AB68" i="10"/>
  <c r="T60" i="10"/>
  <c r="AE71" i="10"/>
  <c r="W63" i="10"/>
  <c r="AG73" i="10"/>
  <c r="AH74" i="10"/>
  <c r="X64" i="10"/>
  <c r="U61" i="10"/>
  <c r="N54" i="10"/>
  <c r="Y65" i="10"/>
  <c r="V62" i="10"/>
  <c r="Q57" i="10"/>
  <c r="AF72" i="10"/>
  <c r="AI75" i="10"/>
  <c r="AK77" i="10"/>
  <c r="AA67" i="10"/>
  <c r="S59" i="10"/>
  <c r="O55" i="10"/>
  <c r="AD70" i="10"/>
  <c r="Z66" i="10"/>
  <c r="AC69" i="10"/>
  <c r="R58" i="10"/>
  <c r="P56" i="10"/>
  <c r="AH57" i="10"/>
  <c r="AK60" i="10"/>
  <c r="AI58" i="10"/>
  <c r="AJ59" i="10"/>
  <c r="AG56" i="10"/>
  <c r="AE54" i="10"/>
  <c r="AF55" i="10"/>
  <c r="N45" i="7"/>
  <c r="O44" i="7"/>
  <c r="E122" i="8"/>
  <c r="E168" i="8"/>
  <c r="Y493" i="4"/>
  <c r="W514" i="4"/>
  <c r="Y514" i="4" s="1"/>
  <c r="Y416" i="4"/>
  <c r="X415" i="4"/>
  <c r="D43" i="8" a="1"/>
  <c r="D43" i="8" s="1"/>
  <c r="F38" i="8"/>
  <c r="F135" i="8" s="1"/>
  <c r="E36" i="8"/>
  <c r="E28" i="8"/>
  <c r="E38" i="8"/>
  <c r="F26" i="8"/>
  <c r="F34" i="8"/>
  <c r="F131" i="8" s="1"/>
  <c r="E26" i="8"/>
  <c r="E163" i="8" s="1"/>
  <c r="E34" i="8"/>
  <c r="F11" i="8"/>
  <c r="G17" i="8" s="1"/>
  <c r="G19" i="8" s="1"/>
  <c r="E11" i="8"/>
  <c r="G12" i="8"/>
  <c r="AF71" i="10"/>
  <c r="X63" i="10"/>
  <c r="AI74" i="10"/>
  <c r="AA66" i="10"/>
  <c r="AK76" i="10"/>
  <c r="AH73" i="10"/>
  <c r="Z65" i="10"/>
  <c r="W62" i="10"/>
  <c r="R57" i="10"/>
  <c r="AE70" i="10"/>
  <c r="AJ75" i="10"/>
  <c r="Y64" i="10"/>
  <c r="V61" i="10"/>
  <c r="AB67" i="10"/>
  <c r="P55" i="10"/>
  <c r="O54" i="10"/>
  <c r="AG72" i="10"/>
  <c r="AC68" i="10"/>
  <c r="U60" i="10"/>
  <c r="Q56" i="10"/>
  <c r="S58" i="10"/>
  <c r="T59" i="10"/>
  <c r="AD69" i="10"/>
  <c r="AJ87" i="10"/>
  <c r="AI86" i="10"/>
  <c r="AA78" i="10"/>
  <c r="AD81" i="10"/>
  <c r="X75" i="10"/>
  <c r="P67" i="10"/>
  <c r="AB79" i="10"/>
  <c r="S70" i="10"/>
  <c r="K62" i="10"/>
  <c r="AK88" i="10"/>
  <c r="AG84" i="10"/>
  <c r="U72" i="10"/>
  <c r="W74" i="10"/>
  <c r="T71" i="10"/>
  <c r="N65" i="10"/>
  <c r="AE82" i="10"/>
  <c r="AC80" i="10"/>
  <c r="M64" i="10"/>
  <c r="L63" i="10"/>
  <c r="J61" i="10"/>
  <c r="E56" i="10"/>
  <c r="Y76" i="10"/>
  <c r="AH85" i="10"/>
  <c r="AF83" i="10"/>
  <c r="V73" i="10"/>
  <c r="Z77" i="10"/>
  <c r="O66" i="10"/>
  <c r="Q68" i="10"/>
  <c r="C54" i="10"/>
  <c r="D55" i="10"/>
  <c r="R69" i="10"/>
  <c r="I60" i="10"/>
  <c r="F57" i="10"/>
  <c r="H59" i="10"/>
  <c r="G58" i="10"/>
  <c r="AJ66" i="10"/>
  <c r="AE61" i="10"/>
  <c r="AH64" i="10"/>
  <c r="AI65" i="10"/>
  <c r="AF62" i="10"/>
  <c r="Y55" i="10"/>
  <c r="AK67" i="10"/>
  <c r="AC59" i="10"/>
  <c r="X54" i="10"/>
  <c r="AG63" i="10"/>
  <c r="AD60" i="10"/>
  <c r="AB58" i="10"/>
  <c r="AA57" i="10"/>
  <c r="Z56" i="10"/>
  <c r="AH80" i="10"/>
  <c r="AB74" i="10"/>
  <c r="T66" i="10"/>
  <c r="AK83" i="10"/>
  <c r="AE77" i="10"/>
  <c r="W69" i="10"/>
  <c r="O61" i="10"/>
  <c r="AJ82" i="10"/>
  <c r="Y71" i="10"/>
  <c r="AI81" i="10"/>
  <c r="AC75" i="10"/>
  <c r="I55" i="10"/>
  <c r="AA73" i="10"/>
  <c r="AF78" i="10"/>
  <c r="Z72" i="10"/>
  <c r="J56" i="10"/>
  <c r="S65" i="10"/>
  <c r="R64" i="10"/>
  <c r="U67" i="10"/>
  <c r="L58" i="10"/>
  <c r="K57" i="10"/>
  <c r="X70" i="10"/>
  <c r="V68" i="10"/>
  <c r="H54" i="10"/>
  <c r="N60" i="10"/>
  <c r="AG79" i="10"/>
  <c r="AD76" i="10"/>
  <c r="P62" i="10"/>
  <c r="M59" i="10"/>
  <c r="Q63" i="10"/>
  <c r="AL23" i="10" a="1"/>
  <c r="AL23" i="10" s="1"/>
  <c r="AL24" i="10" a="1"/>
  <c r="AL24" i="10" s="1"/>
  <c r="AL22" i="10" a="1"/>
  <c r="AL22" i="10" s="1"/>
  <c r="AL20" i="10" a="1"/>
  <c r="AL20" i="10" s="1"/>
  <c r="AL16" i="10" a="1"/>
  <c r="AL16" i="10" s="1"/>
  <c r="AL26" i="10" a="1"/>
  <c r="AL26" i="10" s="1"/>
  <c r="AL25" i="10" a="1"/>
  <c r="AL25" i="10" s="1"/>
  <c r="AL15" i="10" a="1"/>
  <c r="AL15" i="10" s="1"/>
  <c r="AL14" i="10" a="1"/>
  <c r="AL14" i="10" s="1"/>
  <c r="AM79" i="10"/>
  <c r="AL89" i="10"/>
  <c r="E215" i="8"/>
  <c r="F213" i="8"/>
  <c r="E124" i="8"/>
  <c r="E39" i="8"/>
  <c r="E136" i="8" s="1"/>
  <c r="E129" i="8"/>
  <c r="E152" i="8"/>
  <c r="E151" i="8"/>
  <c r="E130" i="8"/>
  <c r="F187" i="8"/>
  <c r="F188" i="8"/>
  <c r="F133" i="8"/>
  <c r="F33" i="8"/>
  <c r="G34" i="8" s="1"/>
  <c r="G131" i="8" s="1"/>
  <c r="F189" i="8"/>
  <c r="G185" i="8" s="1"/>
  <c r="H12" i="8"/>
  <c r="Y337" i="4"/>
  <c r="X358" i="4"/>
  <c r="Y358" i="4" s="1"/>
  <c r="I96" i="8"/>
  <c r="I163" i="8"/>
  <c r="I126" i="8"/>
  <c r="I98" i="8"/>
  <c r="I92" i="8"/>
  <c r="I91" i="8" s="1"/>
  <c r="I85" i="8"/>
  <c r="I26" i="8"/>
  <c r="I63" i="8" a="1"/>
  <c r="I63" i="8" s="1"/>
  <c r="I123" i="8"/>
  <c r="I99" i="8"/>
  <c r="I143" i="8"/>
  <c r="I13" i="8"/>
  <c r="I11" i="8"/>
  <c r="I97" i="8"/>
  <c r="I29" i="8"/>
  <c r="I146" i="8" s="1"/>
  <c r="I25" i="8"/>
  <c r="I162" i="8" s="1"/>
  <c r="I16" i="8"/>
  <c r="I12" i="8"/>
  <c r="I22" i="8"/>
  <c r="J5" i="8"/>
  <c r="I18" i="8"/>
  <c r="I19" i="8" s="1"/>
  <c r="I15" i="8"/>
  <c r="H26" i="8"/>
  <c r="H143" i="8" s="1"/>
  <c r="H85" i="8"/>
  <c r="H162" i="8"/>
  <c r="G27" i="8"/>
  <c r="H28" i="8" s="1"/>
  <c r="G170" i="8"/>
  <c r="I6" i="8"/>
  <c r="O41" i="7"/>
  <c r="AK15" i="10" a="1"/>
  <c r="AK15" i="10" s="1"/>
  <c r="AF73" i="10"/>
  <c r="X65" i="10"/>
  <c r="AK78" i="10"/>
  <c r="AI76" i="10"/>
  <c r="AA68" i="10"/>
  <c r="AJ77" i="10"/>
  <c r="Z67" i="10"/>
  <c r="R59" i="10"/>
  <c r="AG74" i="10"/>
  <c r="AD71" i="10"/>
  <c r="W64" i="10"/>
  <c r="V63" i="10"/>
  <c r="T61" i="10"/>
  <c r="M54" i="10"/>
  <c r="AH75" i="10"/>
  <c r="Y66" i="10"/>
  <c r="U62" i="10"/>
  <c r="N55" i="10"/>
  <c r="AE72" i="10"/>
  <c r="AC70" i="10"/>
  <c r="P57" i="10"/>
  <c r="O56" i="10"/>
  <c r="AB69" i="10"/>
  <c r="Q58" i="10"/>
  <c r="S60" i="10"/>
  <c r="AK55" i="10"/>
  <c r="AK24" i="10" s="1" a="1"/>
  <c r="AK24" i="10" s="1"/>
  <c r="AJ54" i="10"/>
  <c r="AJ70" i="10"/>
  <c r="AB62" i="10"/>
  <c r="AE65" i="10"/>
  <c r="AH68" i="10"/>
  <c r="Z60" i="10"/>
  <c r="V56" i="10"/>
  <c r="Y59" i="10"/>
  <c r="AI69" i="10"/>
  <c r="AK71" i="10"/>
  <c r="W57" i="10"/>
  <c r="X58" i="10"/>
  <c r="T54" i="10"/>
  <c r="AG67" i="10"/>
  <c r="AC63" i="10"/>
  <c r="U55" i="10"/>
  <c r="AF66" i="10"/>
  <c r="AA61" i="10"/>
  <c r="AD64" i="10"/>
  <c r="AK89" i="10"/>
  <c r="AE83" i="10"/>
  <c r="AH86" i="10"/>
  <c r="AF84" i="10"/>
  <c r="AC81" i="10"/>
  <c r="T72" i="10"/>
  <c r="L64" i="10"/>
  <c r="W75" i="10"/>
  <c r="O67" i="10"/>
  <c r="AG85" i="10"/>
  <c r="AD82" i="10"/>
  <c r="AJ88" i="10"/>
  <c r="AI87" i="10"/>
  <c r="AB80" i="10"/>
  <c r="Y77" i="10"/>
  <c r="N66" i="10"/>
  <c r="H60" i="10"/>
  <c r="F58" i="10"/>
  <c r="V74" i="10"/>
  <c r="S71" i="10"/>
  <c r="M65" i="10"/>
  <c r="J62" i="10"/>
  <c r="X76" i="10"/>
  <c r="Z78" i="10"/>
  <c r="U73" i="10"/>
  <c r="I61" i="10"/>
  <c r="G59" i="10"/>
  <c r="P68" i="10"/>
  <c r="B54" i="10"/>
  <c r="C55" i="10"/>
  <c r="AA79" i="10"/>
  <c r="K63" i="10"/>
  <c r="R70" i="10"/>
  <c r="E57" i="10"/>
  <c r="D56" i="10"/>
  <c r="Q69" i="10"/>
  <c r="Y529" i="4"/>
  <c r="AA529" i="4" s="1"/>
  <c r="E17" i="8"/>
  <c r="E19" i="8" s="1"/>
  <c r="E92" i="8"/>
  <c r="E91" i="8" s="1"/>
  <c r="X319" i="4"/>
  <c r="Y319" i="4" s="1"/>
  <c r="Y298" i="4"/>
  <c r="H95" i="8"/>
  <c r="G33" i="8"/>
  <c r="G37" i="8"/>
  <c r="H38" i="8" s="1"/>
  <c r="G123" i="8"/>
  <c r="G162" i="8"/>
  <c r="Y25" i="4"/>
  <c r="E194" i="8"/>
  <c r="D42" i="8"/>
  <c r="D44" i="8" s="1"/>
  <c r="E49" i="8"/>
  <c r="E56" i="8" s="1"/>
  <c r="AF63" i="10"/>
  <c r="AI66" i="10"/>
  <c r="AJ67" i="10"/>
  <c r="Z57" i="10"/>
  <c r="AG64" i="10"/>
  <c r="AD61" i="10"/>
  <c r="AK68" i="10"/>
  <c r="AH65" i="10"/>
  <c r="AB59" i="10"/>
  <c r="X55" i="10"/>
  <c r="W54" i="10"/>
  <c r="Y56" i="10"/>
  <c r="AC60" i="10"/>
  <c r="AA58" i="10"/>
  <c r="AE62" i="10"/>
  <c r="AI82" i="10"/>
  <c r="AG80" i="10"/>
  <c r="X71" i="10"/>
  <c r="P63" i="10"/>
  <c r="AA74" i="10"/>
  <c r="S66" i="10"/>
  <c r="AK84" i="10"/>
  <c r="AH81" i="10"/>
  <c r="AF79" i="10"/>
  <c r="AC76" i="10"/>
  <c r="Y72" i="10"/>
  <c r="V69" i="10"/>
  <c r="J57" i="10"/>
  <c r="AB75" i="10"/>
  <c r="AJ83" i="10"/>
  <c r="Z73" i="10"/>
  <c r="AE78" i="10"/>
  <c r="W70" i="10"/>
  <c r="AD77" i="10"/>
  <c r="M60" i="10"/>
  <c r="I56" i="10"/>
  <c r="R65" i="10"/>
  <c r="Q64" i="10"/>
  <c r="T67" i="10"/>
  <c r="K58" i="10"/>
  <c r="O62" i="10"/>
  <c r="N61" i="10"/>
  <c r="L59" i="10"/>
  <c r="U68" i="10"/>
  <c r="H55" i="10"/>
  <c r="G54" i="10"/>
  <c r="AJ60" i="10"/>
  <c r="AD54" i="10"/>
  <c r="AG57" i="10"/>
  <c r="AF56" i="10"/>
  <c r="AK61" i="10"/>
  <c r="AK26" i="10" s="1" a="1"/>
  <c r="AK26" i="10" s="1"/>
  <c r="AH58" i="10"/>
  <c r="AE55" i="10"/>
  <c r="AI59" i="10"/>
  <c r="AI80" i="10"/>
  <c r="AF77" i="10"/>
  <c r="X69" i="10"/>
  <c r="P61" i="10"/>
  <c r="AA72" i="10"/>
  <c r="S64" i="10"/>
  <c r="AC74" i="10"/>
  <c r="AK82" i="10"/>
  <c r="J55" i="10"/>
  <c r="AH79" i="10"/>
  <c r="AE76" i="10"/>
  <c r="W68" i="10"/>
  <c r="M58" i="10"/>
  <c r="AG78" i="10"/>
  <c r="AJ81" i="10"/>
  <c r="AD75" i="10"/>
  <c r="T65" i="10"/>
  <c r="V67" i="10"/>
  <c r="L57" i="10"/>
  <c r="R63" i="10"/>
  <c r="Q62" i="10"/>
  <c r="N59" i="10"/>
  <c r="U66" i="10"/>
  <c r="AB73" i="10"/>
  <c r="O60" i="10"/>
  <c r="K56" i="10"/>
  <c r="Y70" i="10"/>
  <c r="Z71" i="10"/>
  <c r="I54" i="10"/>
  <c r="AB72" i="10"/>
  <c r="T64" i="10"/>
  <c r="AE75" i="10"/>
  <c r="W67" i="10"/>
  <c r="AJ80" i="10"/>
  <c r="AG77" i="10"/>
  <c r="AI79" i="10"/>
  <c r="AF76" i="10"/>
  <c r="X68" i="10"/>
  <c r="N58" i="10"/>
  <c r="P60" i="10"/>
  <c r="AD74" i="10"/>
  <c r="AA71" i="10"/>
  <c r="Z70" i="10"/>
  <c r="AK81" i="10"/>
  <c r="Y69" i="10"/>
  <c r="M57" i="10"/>
  <c r="AH78" i="10"/>
  <c r="S63" i="10"/>
  <c r="R62" i="10"/>
  <c r="O59" i="10"/>
  <c r="J54" i="10"/>
  <c r="AC73" i="10"/>
  <c r="K55" i="10"/>
  <c r="L56" i="10"/>
  <c r="U65" i="10"/>
  <c r="Q61" i="10"/>
  <c r="V66" i="10"/>
  <c r="AG30" i="4"/>
  <c r="Y103" i="4"/>
  <c r="X124" i="4"/>
  <c r="Y124" i="4" s="1"/>
  <c r="Y20" i="4"/>
  <c r="X19" i="4"/>
  <c r="G19" i="7"/>
  <c r="E162" i="8"/>
  <c r="E132" i="8"/>
  <c r="AM90" i="10"/>
  <c r="AM69" i="10"/>
  <c r="E43" i="8" a="1"/>
  <c r="E43" i="8" s="1"/>
  <c r="E126" i="8"/>
  <c r="E146" i="8"/>
  <c r="E169" i="8"/>
  <c r="E155" i="8"/>
  <c r="E170" i="8"/>
  <c r="F171" i="8" s="1"/>
  <c r="E134" i="8"/>
  <c r="G49" i="8"/>
  <c r="G56" i="8" s="1"/>
  <c r="F12" i="8"/>
  <c r="F37" i="8"/>
  <c r="F163" i="8"/>
  <c r="E30" i="8"/>
  <c r="E127" i="8" s="1"/>
  <c r="Y260" i="4"/>
  <c r="X259" i="4"/>
  <c r="H15" i="8"/>
  <c r="H145" i="8"/>
  <c r="J299" i="4"/>
  <c r="J298" i="4" s="1"/>
  <c r="J319" i="4" s="1"/>
  <c r="M298" i="4"/>
  <c r="M319" i="4" s="1"/>
  <c r="G144" i="8"/>
  <c r="G85" i="8"/>
  <c r="E59" i="8"/>
  <c r="O35" i="7"/>
  <c r="N35" i="7" s="1"/>
  <c r="AB70" i="10"/>
  <c r="T62" i="10"/>
  <c r="AE73" i="10"/>
  <c r="W65" i="10"/>
  <c r="AG75" i="10"/>
  <c r="X66" i="10"/>
  <c r="N56" i="10"/>
  <c r="AI77" i="10"/>
  <c r="Y67" i="10"/>
  <c r="Q59" i="10"/>
  <c r="AK79" i="10"/>
  <c r="AH76" i="10"/>
  <c r="U63" i="10"/>
  <c r="P58" i="10"/>
  <c r="AJ78" i="10"/>
  <c r="L54" i="10"/>
  <c r="AC71" i="10"/>
  <c r="S61" i="10"/>
  <c r="AF74" i="10"/>
  <c r="M55" i="10"/>
  <c r="R60" i="10"/>
  <c r="O57" i="10"/>
  <c r="AA69" i="10"/>
  <c r="V64" i="10"/>
  <c r="Z68" i="10"/>
  <c r="AD72" i="10"/>
  <c r="AK56" i="10"/>
  <c r="AI54" i="10"/>
  <c r="AJ55" i="10"/>
  <c r="AF67" i="10"/>
  <c r="AI70" i="10"/>
  <c r="AA62" i="10"/>
  <c r="AK72" i="10"/>
  <c r="AH69" i="10"/>
  <c r="AG68" i="10"/>
  <c r="Y60" i="10"/>
  <c r="U56" i="10"/>
  <c r="AE66" i="10"/>
  <c r="Z61" i="10"/>
  <c r="AJ71" i="10"/>
  <c r="V57" i="10"/>
  <c r="AD65" i="10"/>
  <c r="X59" i="10"/>
  <c r="W58" i="10"/>
  <c r="AC64" i="10"/>
  <c r="AB63" i="10"/>
  <c r="T55" i="10"/>
  <c r="S54" i="10"/>
  <c r="AF69" i="10"/>
  <c r="X61" i="10"/>
  <c r="AI72" i="10"/>
  <c r="AA64" i="10"/>
  <c r="AK74" i="10"/>
  <c r="AH71" i="10"/>
  <c r="R55" i="10"/>
  <c r="U58" i="10"/>
  <c r="AJ73" i="10"/>
  <c r="AG70" i="10"/>
  <c r="Z63" i="10"/>
  <c r="Y62" i="10"/>
  <c r="AE68" i="10"/>
  <c r="W60" i="10"/>
  <c r="S56" i="10"/>
  <c r="AC66" i="10"/>
  <c r="T57" i="10"/>
  <c r="AB65" i="10"/>
  <c r="V59" i="10"/>
  <c r="AD67" i="10"/>
  <c r="Q54" i="10"/>
  <c r="AJ72" i="10"/>
  <c r="AB64" i="10"/>
  <c r="AE67" i="10"/>
  <c r="V58" i="10"/>
  <c r="AG69" i="10"/>
  <c r="AK73" i="10"/>
  <c r="AI71" i="10"/>
  <c r="AF68" i="10"/>
  <c r="X60" i="10"/>
  <c r="T56" i="10"/>
  <c r="AH70" i="10"/>
  <c r="AD66" i="10"/>
  <c r="Y61" i="10"/>
  <c r="U57" i="10"/>
  <c r="R54" i="10"/>
  <c r="AA63" i="10"/>
  <c r="Z62" i="10"/>
  <c r="S55" i="10"/>
  <c r="W59" i="10"/>
  <c r="AC65" i="10"/>
  <c r="Y532" i="4"/>
  <c r="W553" i="4"/>
  <c r="Y553" i="4" s="1"/>
  <c r="L46" i="4"/>
  <c r="L45" i="4"/>
  <c r="AF14" i="10" l="1" a="1"/>
  <c r="AF14" i="10" s="1"/>
  <c r="W14" i="10" a="1"/>
  <c r="W14" i="10" s="1"/>
  <c r="R14" i="10" a="1"/>
  <c r="R14" i="10" s="1"/>
  <c r="I14" i="10" a="1"/>
  <c r="I14" i="10" s="1"/>
  <c r="AJ14" i="10" a="1"/>
  <c r="AJ14" i="10" s="1"/>
  <c r="AA14" i="10" a="1"/>
  <c r="AA14" i="10" s="1"/>
  <c r="V14" i="10" a="1"/>
  <c r="V14" i="10" s="1"/>
  <c r="M14" i="10" a="1"/>
  <c r="M14" i="10" s="1"/>
  <c r="D14" i="10" a="1"/>
  <c r="D14" i="10" s="1"/>
  <c r="AH14" i="10" a="1"/>
  <c r="AH14" i="10" s="1"/>
  <c r="Y14" i="10" a="1"/>
  <c r="Y14" i="10" s="1"/>
  <c r="P14" i="10" a="1"/>
  <c r="P14" i="10" s="1"/>
  <c r="G14" i="10" a="1"/>
  <c r="G14" i="10" s="1"/>
  <c r="B14" i="10" a="1"/>
  <c r="B14" i="10" s="1"/>
  <c r="AK14" i="10" a="1"/>
  <c r="AK14" i="10" s="1"/>
  <c r="AB14" i="10" a="1"/>
  <c r="AB14" i="10" s="1"/>
  <c r="S14" i="10" a="1"/>
  <c r="S14" i="10" s="1"/>
  <c r="N14" i="10" a="1"/>
  <c r="N14" i="10" s="1"/>
  <c r="E14" i="10" a="1"/>
  <c r="E14" i="10" s="1"/>
  <c r="F14" i="10" a="1"/>
  <c r="F14" i="10" s="1"/>
  <c r="AE14" i="10" a="1"/>
  <c r="AE14" i="10" s="1"/>
  <c r="AD14" i="10" a="1"/>
  <c r="AD14" i="10" s="1"/>
  <c r="U14" i="10" a="1"/>
  <c r="U14" i="10" s="1"/>
  <c r="L14" i="10" a="1"/>
  <c r="L14" i="10" s="1"/>
  <c r="C14" i="10" a="1"/>
  <c r="C14" i="10" s="1"/>
  <c r="AC14" i="10" a="1"/>
  <c r="AC14" i="10" s="1"/>
  <c r="T14" i="10" a="1"/>
  <c r="T14" i="10" s="1"/>
  <c r="K14" i="10" a="1"/>
  <c r="K14" i="10" s="1"/>
  <c r="J14" i="10" a="1"/>
  <c r="J14" i="10" s="1"/>
  <c r="Z14" i="10" a="1"/>
  <c r="Z14" i="10" s="1"/>
  <c r="Q14" i="10" a="1"/>
  <c r="Q14" i="10" s="1"/>
  <c r="H14" i="10" a="1"/>
  <c r="H14" i="10" s="1"/>
  <c r="AI14" i="10" a="1"/>
  <c r="AI14" i="10" s="1"/>
  <c r="AG14" i="10" a="1"/>
  <c r="AG14" i="10" s="1"/>
  <c r="X14" i="10" a="1"/>
  <c r="X14" i="10" s="1"/>
  <c r="O14" i="10" a="1"/>
  <c r="O14" i="10" s="1"/>
  <c r="E72" i="8"/>
  <c r="O34" i="7"/>
  <c r="G20" i="10" a="1"/>
  <c r="G20" i="10" s="1"/>
  <c r="G16" i="10" a="1"/>
  <c r="G16" i="10" s="1"/>
  <c r="G24" i="10" a="1"/>
  <c r="G24" i="10" s="1"/>
  <c r="G23" i="10" a="1"/>
  <c r="G23" i="10" s="1"/>
  <c r="G26" i="10" a="1"/>
  <c r="G26" i="10" s="1"/>
  <c r="G22" i="10" a="1"/>
  <c r="G22" i="10" s="1"/>
  <c r="G25" i="10" a="1"/>
  <c r="G25" i="10" s="1"/>
  <c r="G15" i="10" a="1"/>
  <c r="G15" i="10" s="1"/>
  <c r="E16" i="8"/>
  <c r="E22" i="8"/>
  <c r="AJ26" i="10" a="1"/>
  <c r="AJ26" i="10" s="1"/>
  <c r="AJ24" i="10" a="1"/>
  <c r="AJ24" i="10" s="1"/>
  <c r="AJ23" i="10" a="1"/>
  <c r="AJ23" i="10" s="1"/>
  <c r="AJ22" i="10" a="1"/>
  <c r="AJ22" i="10" s="1"/>
  <c r="AJ20" i="10" a="1"/>
  <c r="AJ20" i="10" s="1"/>
  <c r="AJ25" i="10" a="1"/>
  <c r="AJ25" i="10" s="1"/>
  <c r="AJ15" i="10" a="1"/>
  <c r="AJ15" i="10" s="1"/>
  <c r="AJ16" i="10" a="1"/>
  <c r="AJ16" i="10" s="1"/>
  <c r="AK22" i="10" a="1"/>
  <c r="AK22" i="10" s="1"/>
  <c r="Q23" i="10" a="1"/>
  <c r="Q23" i="10" s="1"/>
  <c r="Q22" i="10" a="1"/>
  <c r="Q22" i="10" s="1"/>
  <c r="Q26" i="10" a="1"/>
  <c r="Q26" i="10" s="1"/>
  <c r="Q25" i="10" a="1"/>
  <c r="Q25" i="10" s="1"/>
  <c r="Q24" i="10" a="1"/>
  <c r="Q24" i="10" s="1"/>
  <c r="Q20" i="10" a="1"/>
  <c r="Q20" i="10" s="1"/>
  <c r="Q16" i="10" a="1"/>
  <c r="Q16" i="10" s="1"/>
  <c r="Q15" i="10" a="1"/>
  <c r="Q15" i="10" s="1"/>
  <c r="Y19" i="4"/>
  <c r="X45" i="4"/>
  <c r="G130" i="8"/>
  <c r="H34" i="8"/>
  <c r="AK25" i="10" a="1"/>
  <c r="AK25" i="10" s="1"/>
  <c r="I27" i="8"/>
  <c r="H24" i="10" a="1"/>
  <c r="H24" i="10" s="1"/>
  <c r="H23" i="10" a="1"/>
  <c r="H23" i="10" s="1"/>
  <c r="H22" i="10" a="1"/>
  <c r="H22" i="10" s="1"/>
  <c r="H26" i="10" a="1"/>
  <c r="H26" i="10" s="1"/>
  <c r="H25" i="10" a="1"/>
  <c r="H25" i="10" s="1"/>
  <c r="H15" i="10" a="1"/>
  <c r="H15" i="10" s="1"/>
  <c r="H20" i="10" a="1"/>
  <c r="H20" i="10" s="1"/>
  <c r="H16" i="10" a="1"/>
  <c r="H16" i="10" s="1"/>
  <c r="O23" i="10" a="1"/>
  <c r="O23" i="10" s="1"/>
  <c r="O22" i="10" a="1"/>
  <c r="O22" i="10" s="1"/>
  <c r="O24" i="10" a="1"/>
  <c r="O24" i="10" s="1"/>
  <c r="O20" i="10" a="1"/>
  <c r="O20" i="10" s="1"/>
  <c r="O16" i="10" a="1"/>
  <c r="O16" i="10" s="1"/>
  <c r="O26" i="10" a="1"/>
  <c r="O26" i="10" s="1"/>
  <c r="O25" i="10" a="1"/>
  <c r="O25" i="10" s="1"/>
  <c r="O15" i="10" a="1"/>
  <c r="O15" i="10" s="1"/>
  <c r="N44" i="7"/>
  <c r="O19" i="7"/>
  <c r="G124" i="8"/>
  <c r="E167" i="8"/>
  <c r="Y687" i="4"/>
  <c r="W708" i="4"/>
  <c r="Y708" i="4" s="1"/>
  <c r="Z26" i="10" a="1"/>
  <c r="Z26" i="10" s="1"/>
  <c r="Z25" i="10" a="1"/>
  <c r="Z25" i="10" s="1"/>
  <c r="Z20" i="10" a="1"/>
  <c r="Z20" i="10" s="1"/>
  <c r="Z16" i="10" a="1"/>
  <c r="Z16" i="10" s="1"/>
  <c r="Z24" i="10" a="1"/>
  <c r="Z24" i="10" s="1"/>
  <c r="Z23" i="10" a="1"/>
  <c r="Z23" i="10" s="1"/>
  <c r="Z22" i="10" a="1"/>
  <c r="Z22" i="10" s="1"/>
  <c r="Z15" i="10" a="1"/>
  <c r="Z15" i="10" s="1"/>
  <c r="AM24" i="10" a="1"/>
  <c r="AM24" i="10" s="1"/>
  <c r="E4" i="10"/>
  <c r="G5" i="9"/>
  <c r="H4" i="9"/>
  <c r="G134" i="8"/>
  <c r="H35" i="8"/>
  <c r="E131" i="8"/>
  <c r="F49" i="8"/>
  <c r="F56" i="8" s="1"/>
  <c r="AM25" i="10" a="1"/>
  <c r="AM25" i="10" s="1"/>
  <c r="AM20" i="10" a="1"/>
  <c r="AM20" i="10" s="1"/>
  <c r="AI25" i="10" a="1"/>
  <c r="AI25" i="10" s="1"/>
  <c r="AI20" i="10" a="1"/>
  <c r="AI20" i="10" s="1"/>
  <c r="AI16" i="10" a="1"/>
  <c r="AI16" i="10" s="1"/>
  <c r="AI15" i="10" a="1"/>
  <c r="AI15" i="10" s="1"/>
  <c r="AI24" i="10" a="1"/>
  <c r="AI24" i="10" s="1"/>
  <c r="AI23" i="10" a="1"/>
  <c r="AI23" i="10" s="1"/>
  <c r="AI22" i="10" a="1"/>
  <c r="AI22" i="10" s="1"/>
  <c r="AI26" i="10" a="1"/>
  <c r="AI26" i="10" s="1"/>
  <c r="E145" i="8"/>
  <c r="F29" i="8"/>
  <c r="E125" i="8"/>
  <c r="U45" i="7"/>
  <c r="T23" i="10" a="1"/>
  <c r="T23" i="10" s="1"/>
  <c r="T24" i="10" a="1"/>
  <c r="T24" i="10" s="1"/>
  <c r="T22" i="10" a="1"/>
  <c r="T22" i="10" s="1"/>
  <c r="T26" i="10" a="1"/>
  <c r="T26" i="10" s="1"/>
  <c r="T25" i="10" a="1"/>
  <c r="T25" i="10" s="1"/>
  <c r="T20" i="10" a="1"/>
  <c r="T20" i="10" s="1"/>
  <c r="T15" i="10" a="1"/>
  <c r="T15" i="10" s="1"/>
  <c r="T16" i="10" a="1"/>
  <c r="T16" i="10" s="1"/>
  <c r="AK20" i="10" a="1"/>
  <c r="AK20" i="10" s="1"/>
  <c r="N41" i="7"/>
  <c r="J164" i="8"/>
  <c r="J147" i="8"/>
  <c r="J167" i="8"/>
  <c r="J122" i="8"/>
  <c r="J127" i="8"/>
  <c r="J99" i="8"/>
  <c r="J96" i="8"/>
  <c r="J30" i="8"/>
  <c r="J22" i="8"/>
  <c r="J18" i="8"/>
  <c r="J98" i="8"/>
  <c r="J92" i="8"/>
  <c r="J91" i="8" s="1"/>
  <c r="J85" i="8"/>
  <c r="J97" i="8"/>
  <c r="J123" i="8"/>
  <c r="J63" i="8" a="1"/>
  <c r="J63" i="8" s="1"/>
  <c r="J11" i="8"/>
  <c r="J26" i="8"/>
  <c r="K5" i="8"/>
  <c r="J27" i="8"/>
  <c r="J144" i="8" s="1"/>
  <c r="J25" i="8"/>
  <c r="J13" i="8"/>
  <c r="J12" i="8"/>
  <c r="J15" i="8"/>
  <c r="J16" i="8"/>
  <c r="J6" i="8"/>
  <c r="I166" i="8"/>
  <c r="F155" i="8"/>
  <c r="E153" i="8"/>
  <c r="E133" i="8"/>
  <c r="E25" i="10" a="1"/>
  <c r="E25" i="10" s="1"/>
  <c r="E24" i="10" a="1"/>
  <c r="E24" i="10" s="1"/>
  <c r="E22" i="10" a="1"/>
  <c r="E22" i="10" s="1"/>
  <c r="E26" i="10" a="1"/>
  <c r="E26" i="10" s="1"/>
  <c r="E23" i="10" a="1"/>
  <c r="E23" i="10" s="1"/>
  <c r="E16" i="10" a="1"/>
  <c r="E16" i="10" s="1"/>
  <c r="E20" i="10" a="1"/>
  <c r="E20" i="10" s="1"/>
  <c r="E15" i="10" a="1"/>
  <c r="E15" i="10" s="1"/>
  <c r="H70" i="8"/>
  <c r="X85" i="4"/>
  <c r="Y85" i="4" s="1"/>
  <c r="Y64" i="4"/>
  <c r="F130" i="8"/>
  <c r="F28" i="8"/>
  <c r="E144" i="8"/>
  <c r="AH23" i="10" a="1"/>
  <c r="AH23" i="10" s="1"/>
  <c r="AH26" i="10" a="1"/>
  <c r="AH26" i="10" s="1"/>
  <c r="AH25" i="10" a="1"/>
  <c r="AH25" i="10" s="1"/>
  <c r="AH20" i="10" a="1"/>
  <c r="AH20" i="10" s="1"/>
  <c r="AH16" i="10" a="1"/>
  <c r="AH16" i="10" s="1"/>
  <c r="AH24" i="10" a="1"/>
  <c r="AH24" i="10" s="1"/>
  <c r="AH22" i="10" a="1"/>
  <c r="AH22" i="10" s="1"/>
  <c r="AH15" i="10" a="1"/>
  <c r="AH15" i="10" s="1"/>
  <c r="AF26" i="10" a="1"/>
  <c r="AF26" i="10" s="1"/>
  <c r="AF25" i="10" a="1"/>
  <c r="AF25" i="10" s="1"/>
  <c r="AF24" i="10" a="1"/>
  <c r="AF24" i="10" s="1"/>
  <c r="AF23" i="10" a="1"/>
  <c r="AF23" i="10" s="1"/>
  <c r="AF22" i="10" a="1"/>
  <c r="AF22" i="10" s="1"/>
  <c r="AF20" i="10" a="1"/>
  <c r="AF20" i="10" s="1"/>
  <c r="AF16" i="10" a="1"/>
  <c r="AF16" i="10" s="1"/>
  <c r="AF15" i="10" a="1"/>
  <c r="AF15" i="10" s="1"/>
  <c r="G154" i="8"/>
  <c r="E42" i="8"/>
  <c r="I49" i="8"/>
  <c r="I56" i="8" s="1"/>
  <c r="E165" i="8"/>
  <c r="AM23" i="10" a="1"/>
  <c r="AM23" i="10" s="1"/>
  <c r="F17" i="8"/>
  <c r="F19" i="8" s="1"/>
  <c r="Y259" i="4"/>
  <c r="X280" i="4"/>
  <c r="Y280" i="4" s="1"/>
  <c r="F154" i="8"/>
  <c r="F134" i="8"/>
  <c r="J24" i="10" a="1"/>
  <c r="J24" i="10" s="1"/>
  <c r="J22" i="10" a="1"/>
  <c r="J22" i="10" s="1"/>
  <c r="J23" i="10" a="1"/>
  <c r="J23" i="10" s="1"/>
  <c r="J25" i="10" a="1"/>
  <c r="J25" i="10" s="1"/>
  <c r="J20" i="10" a="1"/>
  <c r="J20" i="10" s="1"/>
  <c r="J16" i="10" a="1"/>
  <c r="J16" i="10" s="1"/>
  <c r="J26" i="10" a="1"/>
  <c r="J26" i="10" s="1"/>
  <c r="J15" i="10" a="1"/>
  <c r="J15" i="10" s="1"/>
  <c r="M26" i="10" a="1"/>
  <c r="M26" i="10" s="1"/>
  <c r="M25" i="10" a="1"/>
  <c r="M25" i="10" s="1"/>
  <c r="M24" i="10" a="1"/>
  <c r="M24" i="10" s="1"/>
  <c r="M23" i="10" a="1"/>
  <c r="M23" i="10" s="1"/>
  <c r="M22" i="10" a="1"/>
  <c r="M22" i="10" s="1"/>
  <c r="M15" i="10" a="1"/>
  <c r="M15" i="10" s="1"/>
  <c r="M20" i="10" a="1"/>
  <c r="M20" i="10" s="1"/>
  <c r="M16" i="10" a="1"/>
  <c r="M16" i="10" s="1"/>
  <c r="AK16" i="10" a="1"/>
  <c r="AK16" i="10" s="1"/>
  <c r="I122" i="8"/>
  <c r="F35" i="8"/>
  <c r="AE26" i="10" a="1"/>
  <c r="AE26" i="10" s="1"/>
  <c r="AE23" i="10" a="1"/>
  <c r="AE23" i="10" s="1"/>
  <c r="AE20" i="10" a="1"/>
  <c r="AE20" i="10" s="1"/>
  <c r="AE16" i="10" a="1"/>
  <c r="AE16" i="10" s="1"/>
  <c r="AE15" i="10" a="1"/>
  <c r="AE15" i="10" s="1"/>
  <c r="AE22" i="10" a="1"/>
  <c r="AE22" i="10" s="1"/>
  <c r="AE25" i="10" a="1"/>
  <c r="AE25" i="10" s="1"/>
  <c r="AE24" i="10" a="1"/>
  <c r="AE24" i="10" s="1"/>
  <c r="E150" i="8"/>
  <c r="G151" i="8"/>
  <c r="F23" i="10" a="1"/>
  <c r="F23" i="10" s="1"/>
  <c r="F24" i="10" a="1"/>
  <c r="F24" i="10" s="1"/>
  <c r="F25" i="10" a="1"/>
  <c r="F25" i="10" s="1"/>
  <c r="F20" i="10" a="1"/>
  <c r="F20" i="10" s="1"/>
  <c r="F22" i="10" a="1"/>
  <c r="F22" i="10" s="1"/>
  <c r="F15" i="10" a="1"/>
  <c r="F15" i="10" s="1"/>
  <c r="F26" i="10" a="1"/>
  <c r="F26" i="10" s="1"/>
  <c r="F16" i="10" a="1"/>
  <c r="F16" i="10" s="1"/>
  <c r="H123" i="8"/>
  <c r="G164" i="8"/>
  <c r="R26" i="10" a="1"/>
  <c r="R26" i="10" s="1"/>
  <c r="R25" i="10" a="1"/>
  <c r="R25" i="10" s="1"/>
  <c r="R20" i="10" a="1"/>
  <c r="R20" i="10" s="1"/>
  <c r="R16" i="10" a="1"/>
  <c r="R16" i="10" s="1"/>
  <c r="R24" i="10" a="1"/>
  <c r="R24" i="10" s="1"/>
  <c r="R23" i="10" a="1"/>
  <c r="R23" i="10" s="1"/>
  <c r="R22" i="10" a="1"/>
  <c r="R22" i="10" s="1"/>
  <c r="R15" i="10" a="1"/>
  <c r="R15" i="10" s="1"/>
  <c r="I26" i="10" a="1"/>
  <c r="I26" i="10" s="1"/>
  <c r="I25" i="10" a="1"/>
  <c r="I25" i="10" s="1"/>
  <c r="I23" i="10" a="1"/>
  <c r="I23" i="10" s="1"/>
  <c r="I22" i="10" a="1"/>
  <c r="I22" i="10" s="1"/>
  <c r="I24" i="10" a="1"/>
  <c r="I24" i="10" s="1"/>
  <c r="I16" i="10" a="1"/>
  <c r="I16" i="10" s="1"/>
  <c r="I15" i="10" a="1"/>
  <c r="I15" i="10" s="1"/>
  <c r="I20" i="10" a="1"/>
  <c r="I20" i="10" s="1"/>
  <c r="W25" i="10" a="1"/>
  <c r="W25" i="10" s="1"/>
  <c r="W24" i="10" a="1"/>
  <c r="W24" i="10" s="1"/>
  <c r="W26" i="10" a="1"/>
  <c r="W26" i="10" s="1"/>
  <c r="W23" i="10" a="1"/>
  <c r="W23" i="10" s="1"/>
  <c r="W20" i="10" a="1"/>
  <c r="W20" i="10" s="1"/>
  <c r="W16" i="10" a="1"/>
  <c r="W16" i="10" s="1"/>
  <c r="W15" i="10" a="1"/>
  <c r="W15" i="10" s="1"/>
  <c r="W22" i="10" a="1"/>
  <c r="W22" i="10" s="1"/>
  <c r="AD24" i="10" a="1"/>
  <c r="AD24" i="10" s="1"/>
  <c r="AD23" i="10" a="1"/>
  <c r="AD23" i="10" s="1"/>
  <c r="AD22" i="10" a="1"/>
  <c r="AD22" i="10" s="1"/>
  <c r="AD20" i="10" a="1"/>
  <c r="AD20" i="10" s="1"/>
  <c r="AD16" i="10" a="1"/>
  <c r="AD16" i="10" s="1"/>
  <c r="AD26" i="10" a="1"/>
  <c r="AD26" i="10" s="1"/>
  <c r="AD25" i="10" a="1"/>
  <c r="AD25" i="10" s="1"/>
  <c r="AD15" i="10" a="1"/>
  <c r="AD15" i="10" s="1"/>
  <c r="E70" i="8"/>
  <c r="AK23" i="10" a="1"/>
  <c r="AK23" i="10" s="1"/>
  <c r="G35" i="8"/>
  <c r="C20" i="10" a="1"/>
  <c r="C20" i="10" s="1"/>
  <c r="C16" i="10" a="1"/>
  <c r="C16" i="10" s="1"/>
  <c r="C26" i="10" a="1"/>
  <c r="C26" i="10" s="1"/>
  <c r="C22" i="10" a="1"/>
  <c r="C22" i="10" s="1"/>
  <c r="C25" i="10" a="1"/>
  <c r="C25" i="10" s="1"/>
  <c r="C24" i="10" a="1"/>
  <c r="C24" i="10" s="1"/>
  <c r="C23" i="10" a="1"/>
  <c r="C23" i="10" s="1"/>
  <c r="C15" i="10" a="1"/>
  <c r="C15" i="10" s="1"/>
  <c r="D45" i="8"/>
  <c r="E48" i="8"/>
  <c r="F149" i="8"/>
  <c r="F74" i="8"/>
  <c r="F129" i="8"/>
  <c r="F169" i="8"/>
  <c r="V26" i="10" a="1"/>
  <c r="V26" i="10" s="1"/>
  <c r="V24" i="10" a="1"/>
  <c r="V24" i="10" s="1"/>
  <c r="V23" i="10" a="1"/>
  <c r="V23" i="10" s="1"/>
  <c r="V22" i="10" a="1"/>
  <c r="V22" i="10" s="1"/>
  <c r="V20" i="10" a="1"/>
  <c r="V20" i="10" s="1"/>
  <c r="V16" i="10" a="1"/>
  <c r="V16" i="10" s="1"/>
  <c r="V25" i="10" a="1"/>
  <c r="V25" i="10" s="1"/>
  <c r="V15" i="10" a="1"/>
  <c r="V15" i="10" s="1"/>
  <c r="X241" i="4"/>
  <c r="Y241" i="4" s="1"/>
  <c r="Y220" i="4"/>
  <c r="F170" i="8"/>
  <c r="G171" i="8" s="1"/>
  <c r="H171" i="8" s="1"/>
  <c r="AM26" i="10" a="1"/>
  <c r="AM26" i="10" s="1"/>
  <c r="E45" i="8"/>
  <c r="S24" i="10" a="1"/>
  <c r="S24" i="10" s="1"/>
  <c r="S23" i="10" a="1"/>
  <c r="S23" i="10" s="1"/>
  <c r="S22" i="10" a="1"/>
  <c r="S22" i="10" s="1"/>
  <c r="S25" i="10" a="1"/>
  <c r="S25" i="10" s="1"/>
  <c r="S20" i="10" a="1"/>
  <c r="S20" i="10" s="1"/>
  <c r="S16" i="10" a="1"/>
  <c r="S16" i="10" s="1"/>
  <c r="S15" i="10" a="1"/>
  <c r="S15" i="10" s="1"/>
  <c r="S26" i="10" a="1"/>
  <c r="S26" i="10" s="1"/>
  <c r="L26" i="10" a="1"/>
  <c r="L26" i="10" s="1"/>
  <c r="L25" i="10" a="1"/>
  <c r="L25" i="10" s="1"/>
  <c r="L24" i="10" a="1"/>
  <c r="L24" i="10" s="1"/>
  <c r="L23" i="10" a="1"/>
  <c r="L23" i="10" s="1"/>
  <c r="L22" i="10" a="1"/>
  <c r="L22" i="10" s="1"/>
  <c r="L16" i="10" a="1"/>
  <c r="L16" i="10" s="1"/>
  <c r="L20" i="10" a="1"/>
  <c r="L20" i="10" s="1"/>
  <c r="L15" i="10" a="1"/>
  <c r="L15" i="10" s="1"/>
  <c r="U35" i="7"/>
  <c r="F31" i="8"/>
  <c r="H165" i="8"/>
  <c r="H125" i="8"/>
  <c r="E156" i="8"/>
  <c r="X24" i="10" a="1"/>
  <c r="X24" i="10" s="1"/>
  <c r="X22" i="10" a="1"/>
  <c r="X22" i="10" s="1"/>
  <c r="X23" i="10" a="1"/>
  <c r="X23" i="10" s="1"/>
  <c r="X25" i="10" a="1"/>
  <c r="X25" i="10" s="1"/>
  <c r="X26" i="10" a="1"/>
  <c r="X26" i="10" s="1"/>
  <c r="X20" i="10" a="1"/>
  <c r="X20" i="10" s="1"/>
  <c r="X16" i="10" a="1"/>
  <c r="X16" i="10" s="1"/>
  <c r="X15" i="10" a="1"/>
  <c r="X15" i="10" s="1"/>
  <c r="E123" i="8"/>
  <c r="E137" i="8" s="1"/>
  <c r="E138" i="8" s="1"/>
  <c r="E175" i="8" s="1" a="1"/>
  <c r="E175" i="8" s="1"/>
  <c r="F27" i="8"/>
  <c r="X436" i="4"/>
  <c r="Y436" i="4" s="1"/>
  <c r="Y415" i="4"/>
  <c r="U25" i="10" a="1"/>
  <c r="U25" i="10" s="1"/>
  <c r="U24" i="10" a="1"/>
  <c r="U24" i="10" s="1"/>
  <c r="U23" i="10" a="1"/>
  <c r="U23" i="10" s="1"/>
  <c r="U22" i="10" a="1"/>
  <c r="U22" i="10" s="1"/>
  <c r="U26" i="10" a="1"/>
  <c r="U26" i="10" s="1"/>
  <c r="U20" i="10" a="1"/>
  <c r="U20" i="10" s="1"/>
  <c r="U16" i="10" a="1"/>
  <c r="U16" i="10" s="1"/>
  <c r="U15" i="10" a="1"/>
  <c r="U15" i="10" s="1"/>
  <c r="AB25" i="10" a="1"/>
  <c r="AB25" i="10" s="1"/>
  <c r="AB24" i="10" a="1"/>
  <c r="AB24" i="10" s="1"/>
  <c r="AB22" i="10" a="1"/>
  <c r="AB22" i="10" s="1"/>
  <c r="AB26" i="10" a="1"/>
  <c r="AB26" i="10" s="1"/>
  <c r="AB23" i="10" a="1"/>
  <c r="AB23" i="10" s="1"/>
  <c r="AB15" i="10" a="1"/>
  <c r="AB15" i="10" s="1"/>
  <c r="AB20" i="10" a="1"/>
  <c r="AB20" i="10" s="1"/>
  <c r="AB16" i="10" a="1"/>
  <c r="AB16" i="10" s="1"/>
  <c r="D26" i="10" a="1"/>
  <c r="D26" i="10" s="1"/>
  <c r="D22" i="10" a="1"/>
  <c r="D22" i="10" s="1"/>
  <c r="D25" i="10" a="1"/>
  <c r="D25" i="10" s="1"/>
  <c r="D24" i="10" a="1"/>
  <c r="D24" i="10" s="1"/>
  <c r="D23" i="10" a="1"/>
  <c r="D23" i="10" s="1"/>
  <c r="D15" i="10" a="1"/>
  <c r="D15" i="10" s="1"/>
  <c r="D20" i="10" a="1"/>
  <c r="D20" i="10" s="1"/>
  <c r="D16" i="10" a="1"/>
  <c r="D16" i="10" s="1"/>
  <c r="F150" i="8"/>
  <c r="J46" i="4"/>
  <c r="J45" i="4"/>
  <c r="AG24" i="10" a="1"/>
  <c r="AG24" i="10" s="1"/>
  <c r="AG22" i="10" a="1"/>
  <c r="AG22" i="10" s="1"/>
  <c r="AG23" i="10" a="1"/>
  <c r="AG23" i="10" s="1"/>
  <c r="AG25" i="10" a="1"/>
  <c r="AG25" i="10" s="1"/>
  <c r="AG26" i="10" a="1"/>
  <c r="AG26" i="10" s="1"/>
  <c r="AG15" i="10" a="1"/>
  <c r="AG15" i="10" s="1"/>
  <c r="AG20" i="10" a="1"/>
  <c r="AG20" i="10" s="1"/>
  <c r="AG16" i="10" a="1"/>
  <c r="AG16" i="10" s="1"/>
  <c r="P23" i="10" a="1"/>
  <c r="P23" i="10" s="1"/>
  <c r="P24" i="10" a="1"/>
  <c r="P24" i="10" s="1"/>
  <c r="P22" i="10" a="1"/>
  <c r="P22" i="10" s="1"/>
  <c r="P26" i="10" a="1"/>
  <c r="P26" i="10" s="1"/>
  <c r="P25" i="10" a="1"/>
  <c r="P25" i="10" s="1"/>
  <c r="P16" i="10" a="1"/>
  <c r="P16" i="10" s="1"/>
  <c r="P20" i="10" a="1"/>
  <c r="P20" i="10" s="1"/>
  <c r="P15" i="10" a="1"/>
  <c r="P15" i="10" s="1"/>
  <c r="G150" i="8"/>
  <c r="H163" i="8"/>
  <c r="F39" i="8"/>
  <c r="E143" i="8"/>
  <c r="E157" i="8" s="1"/>
  <c r="E158" i="8" s="1"/>
  <c r="AM22" i="10" a="1"/>
  <c r="AM22" i="10" s="1"/>
  <c r="J49" i="8"/>
  <c r="J56" i="8" s="1"/>
  <c r="G143" i="8"/>
  <c r="G163" i="8"/>
  <c r="H27" i="8"/>
  <c r="E147" i="8"/>
  <c r="AO112" i="10"/>
  <c r="AO110" i="10"/>
  <c r="AO108" i="10"/>
  <c r="AO106" i="10"/>
  <c r="AO104" i="10"/>
  <c r="AO102" i="10"/>
  <c r="AO100" i="10"/>
  <c r="AO98" i="10"/>
  <c r="AO96" i="10"/>
  <c r="AO94" i="10"/>
  <c r="AO92" i="10"/>
  <c r="AO90" i="10"/>
  <c r="AO88" i="10"/>
  <c r="AO113" i="10"/>
  <c r="AO107" i="10"/>
  <c r="AO99" i="10"/>
  <c r="AO91" i="10"/>
  <c r="AO109" i="10"/>
  <c r="AO111" i="10"/>
  <c r="AO103" i="10"/>
  <c r="AO101" i="10"/>
  <c r="AO97" i="10"/>
  <c r="AO81" i="10"/>
  <c r="AO79" i="10"/>
  <c r="AO95" i="10"/>
  <c r="AO86" i="10"/>
  <c r="AO84" i="10"/>
  <c r="AO89" i="10"/>
  <c r="AO105" i="10"/>
  <c r="AO93" i="10"/>
  <c r="AO85" i="10"/>
  <c r="AO83" i="10"/>
  <c r="AO77" i="10"/>
  <c r="AO75" i="10"/>
  <c r="AO73" i="10"/>
  <c r="AO71" i="10"/>
  <c r="AO78" i="10"/>
  <c r="AO70" i="10"/>
  <c r="AO59" i="10"/>
  <c r="AO57" i="10"/>
  <c r="AO55" i="10"/>
  <c r="AO74" i="10"/>
  <c r="AO87" i="10"/>
  <c r="AO82" i="10"/>
  <c r="AO72" i="10"/>
  <c r="AO69" i="10"/>
  <c r="AO63" i="10"/>
  <c r="AO61" i="10"/>
  <c r="AO56" i="10"/>
  <c r="AO76" i="10"/>
  <c r="AO67" i="10"/>
  <c r="AO66" i="10"/>
  <c r="AO60" i="10"/>
  <c r="AO58" i="10"/>
  <c r="AO64" i="10"/>
  <c r="AO80" i="10"/>
  <c r="AO65" i="10"/>
  <c r="AO62" i="10"/>
  <c r="AO54" i="10"/>
  <c r="AO68" i="10"/>
  <c r="AP5" i="10"/>
  <c r="AN26" i="10" a="1"/>
  <c r="AN26" i="10" s="1"/>
  <c r="AN25" i="10" a="1"/>
  <c r="AN25" i="10" s="1"/>
  <c r="AN24" i="10" a="1"/>
  <c r="AN24" i="10" s="1"/>
  <c r="AN20" i="10" a="1"/>
  <c r="AN20" i="10" s="1"/>
  <c r="AN15" i="10" a="1"/>
  <c r="AN15" i="10" s="1"/>
  <c r="AN14" i="10" a="1"/>
  <c r="AN14" i="10" s="1"/>
  <c r="AN23" i="10" a="1"/>
  <c r="AN23" i="10" s="1"/>
  <c r="AN16" i="10" a="1"/>
  <c r="AN16" i="10" s="1"/>
  <c r="AN22" i="10" a="1"/>
  <c r="AN22" i="10" s="1"/>
  <c r="M46" i="4"/>
  <c r="M45" i="4"/>
  <c r="AE34" i="4"/>
  <c r="AC23" i="10" a="1"/>
  <c r="AC23" i="10" s="1"/>
  <c r="AC24" i="10" a="1"/>
  <c r="AC24" i="10" s="1"/>
  <c r="AC22" i="10" a="1"/>
  <c r="AC22" i="10" s="1"/>
  <c r="AC25" i="10" a="1"/>
  <c r="AC25" i="10" s="1"/>
  <c r="AC26" i="10" a="1"/>
  <c r="AC26" i="10" s="1"/>
  <c r="AC20" i="10" a="1"/>
  <c r="AC20" i="10" s="1"/>
  <c r="AC15" i="10" a="1"/>
  <c r="AC15" i="10" s="1"/>
  <c r="AC16" i="10" a="1"/>
  <c r="AC16" i="10" s="1"/>
  <c r="E166" i="8"/>
  <c r="E172" i="8" s="1"/>
  <c r="E173" i="8" s="1"/>
  <c r="E73" i="8"/>
  <c r="F30" i="8"/>
  <c r="AM15" i="10" a="1"/>
  <c r="AM15" i="10" s="1"/>
  <c r="G38" i="8"/>
  <c r="G70" i="8"/>
  <c r="H135" i="8"/>
  <c r="H155" i="8"/>
  <c r="B23" i="10" a="1"/>
  <c r="B23" i="10" s="1"/>
  <c r="B20" i="10" a="1"/>
  <c r="B20" i="10" s="1"/>
  <c r="B26" i="10" a="1"/>
  <c r="B26" i="10" s="1"/>
  <c r="B22" i="10" a="1"/>
  <c r="B22" i="10" s="1"/>
  <c r="B25" i="10" a="1"/>
  <c r="B25" i="10" s="1"/>
  <c r="B24" i="10" a="1"/>
  <c r="B24" i="10" s="1"/>
  <c r="B16" i="10" a="1"/>
  <c r="B16" i="10" s="1"/>
  <c r="B15" i="10" a="1"/>
  <c r="B15" i="10" s="1"/>
  <c r="J17" i="8"/>
  <c r="J19" i="8" s="1"/>
  <c r="I142" i="8"/>
  <c r="I95" i="8"/>
  <c r="G188" i="8"/>
  <c r="G187" i="8"/>
  <c r="G189" i="8"/>
  <c r="H185" i="8" s="1"/>
  <c r="E74" i="8"/>
  <c r="F123" i="8"/>
  <c r="F143" i="8"/>
  <c r="N25" i="10" a="1"/>
  <c r="N25" i="10" s="1"/>
  <c r="N24" i="10" a="1"/>
  <c r="N24" i="10" s="1"/>
  <c r="N22" i="10" a="1"/>
  <c r="N22" i="10" s="1"/>
  <c r="N26" i="10" a="1"/>
  <c r="N26" i="10" s="1"/>
  <c r="N23" i="10" a="1"/>
  <c r="N23" i="10" s="1"/>
  <c r="N20" i="10" a="1"/>
  <c r="N20" i="10" s="1"/>
  <c r="N16" i="10" a="1"/>
  <c r="N16" i="10" s="1"/>
  <c r="N15" i="10" a="1"/>
  <c r="N15" i="10" s="1"/>
  <c r="F151" i="8"/>
  <c r="K23" i="10" a="1"/>
  <c r="K23" i="10" s="1"/>
  <c r="K22" i="10" a="1"/>
  <c r="K22" i="10" s="1"/>
  <c r="K20" i="10" a="1"/>
  <c r="K20" i="10" s="1"/>
  <c r="K16" i="10" a="1"/>
  <c r="K16" i="10" s="1"/>
  <c r="K26" i="10" a="1"/>
  <c r="K26" i="10" s="1"/>
  <c r="K25" i="10" a="1"/>
  <c r="K25" i="10" s="1"/>
  <c r="K24" i="10" a="1"/>
  <c r="K24" i="10" s="1"/>
  <c r="K15" i="10" a="1"/>
  <c r="K15" i="10" s="1"/>
  <c r="AA26" i="10" a="1"/>
  <c r="AA26" i="10" s="1"/>
  <c r="AA25" i="10" a="1"/>
  <c r="AA25" i="10" s="1"/>
  <c r="AA20" i="10" a="1"/>
  <c r="AA20" i="10" s="1"/>
  <c r="AA16" i="10" a="1"/>
  <c r="AA16" i="10" s="1"/>
  <c r="AA15" i="10" a="1"/>
  <c r="AA15" i="10" s="1"/>
  <c r="AA24" i="10" a="1"/>
  <c r="AA24" i="10" s="1"/>
  <c r="AA23" i="10" a="1"/>
  <c r="AA23" i="10" s="1"/>
  <c r="AA22" i="10" a="1"/>
  <c r="AA22" i="10" s="1"/>
  <c r="J10" i="9"/>
  <c r="Y23" i="10" a="1"/>
  <c r="Y23" i="10" s="1"/>
  <c r="Y22" i="10" a="1"/>
  <c r="Y22" i="10" s="1"/>
  <c r="Y26" i="10" a="1"/>
  <c r="Y26" i="10" s="1"/>
  <c r="Y25" i="10" a="1"/>
  <c r="Y25" i="10" s="1"/>
  <c r="Y24" i="10" a="1"/>
  <c r="Y24" i="10" s="1"/>
  <c r="Y20" i="10" a="1"/>
  <c r="Y20" i="10" s="1"/>
  <c r="Y16" i="10" a="1"/>
  <c r="Y16" i="10" s="1"/>
  <c r="Y15" i="10" a="1"/>
  <c r="Y15" i="10" s="1"/>
  <c r="E135" i="8"/>
  <c r="AM14" i="10" a="1"/>
  <c r="AM14" i="10" s="1"/>
  <c r="AM16" i="10" a="1"/>
  <c r="AM16" i="10" s="1"/>
  <c r="J70" i="8" l="1"/>
  <c r="E44" i="8"/>
  <c r="F201" i="8" s="1"/>
  <c r="F205" i="8" s="1"/>
  <c r="J124" i="8"/>
  <c r="Y45" i="4"/>
  <c r="X46" i="4"/>
  <c r="Y46" i="4" s="1"/>
  <c r="N34" i="7"/>
  <c r="O14" i="7"/>
  <c r="G155" i="8"/>
  <c r="G135" i="8"/>
  <c r="G28" i="8"/>
  <c r="F164" i="8"/>
  <c r="F43" i="8" a="1"/>
  <c r="F43" i="8" s="1"/>
  <c r="F124" i="8"/>
  <c r="F42" i="8"/>
  <c r="F144" i="8"/>
  <c r="K49" i="8"/>
  <c r="K56" i="8" s="1"/>
  <c r="J163" i="8"/>
  <c r="J143" i="8"/>
  <c r="J162" i="8"/>
  <c r="U41" i="7"/>
  <c r="H152" i="8"/>
  <c r="H132" i="8"/>
  <c r="I36" i="8"/>
  <c r="H188" i="8"/>
  <c r="H187" i="8"/>
  <c r="H189" i="8"/>
  <c r="I185" i="8" s="1"/>
  <c r="K98" i="8"/>
  <c r="K96" i="8"/>
  <c r="K148" i="8"/>
  <c r="K164" i="8"/>
  <c r="K99" i="8"/>
  <c r="K125" i="8"/>
  <c r="K97" i="8"/>
  <c r="K168" i="8"/>
  <c r="K92" i="8"/>
  <c r="K91" i="8" s="1"/>
  <c r="K85" i="8"/>
  <c r="K43" i="8" a="1"/>
  <c r="K43" i="8" s="1"/>
  <c r="K31" i="8"/>
  <c r="K128" i="8" s="1"/>
  <c r="K26" i="8"/>
  <c r="L5" i="8"/>
  <c r="K22" i="8"/>
  <c r="K15" i="8"/>
  <c r="K12" i="8"/>
  <c r="K27" i="8"/>
  <c r="K25" i="8"/>
  <c r="K28" i="8"/>
  <c r="K145" i="8" s="1"/>
  <c r="K11" i="8"/>
  <c r="K13" i="8"/>
  <c r="K18" i="8"/>
  <c r="K16" i="8"/>
  <c r="K6" i="8"/>
  <c r="F4" i="10"/>
  <c r="H5" i="9"/>
  <c r="I4" i="9"/>
  <c r="I144" i="8"/>
  <c r="I164" i="8"/>
  <c r="I124" i="8"/>
  <c r="H144" i="8"/>
  <c r="I28" i="8"/>
  <c r="H164" i="8"/>
  <c r="H124" i="8"/>
  <c r="E57" i="8"/>
  <c r="AP113" i="10"/>
  <c r="AP112" i="10"/>
  <c r="AP110" i="10"/>
  <c r="AP107" i="10"/>
  <c r="AP102" i="10"/>
  <c r="AP99" i="10"/>
  <c r="AP94" i="10"/>
  <c r="AP91" i="10"/>
  <c r="AP88" i="10"/>
  <c r="AP84" i="10"/>
  <c r="AP82" i="10"/>
  <c r="AP80" i="10"/>
  <c r="AP109" i="10"/>
  <c r="AP104" i="10"/>
  <c r="AP101" i="10"/>
  <c r="AP96" i="10"/>
  <c r="AP111" i="10"/>
  <c r="AP106" i="10"/>
  <c r="AP103" i="10"/>
  <c r="AP108" i="10"/>
  <c r="AP105" i="10"/>
  <c r="AP98" i="10"/>
  <c r="AP95" i="10"/>
  <c r="AP86" i="10"/>
  <c r="AP87" i="10"/>
  <c r="AP90" i="10"/>
  <c r="AP89" i="10"/>
  <c r="AP93" i="10"/>
  <c r="AP85" i="10"/>
  <c r="AP92" i="10"/>
  <c r="AP100" i="10"/>
  <c r="AP97" i="10"/>
  <c r="AP81" i="10"/>
  <c r="AP79" i="10"/>
  <c r="AP70" i="10"/>
  <c r="AP59" i="10"/>
  <c r="AP57" i="10"/>
  <c r="AP55" i="10"/>
  <c r="AP76" i="10"/>
  <c r="AP75" i="10"/>
  <c r="AP62" i="10"/>
  <c r="AP61" i="10"/>
  <c r="AP83" i="10"/>
  <c r="AP77" i="10"/>
  <c r="AP78" i="10"/>
  <c r="AP56" i="10"/>
  <c r="AP67" i="10"/>
  <c r="AP74" i="10"/>
  <c r="AP66" i="10"/>
  <c r="AP68" i="10"/>
  <c r="AP54" i="10"/>
  <c r="AP64" i="10"/>
  <c r="AP65" i="10"/>
  <c r="AP72" i="10"/>
  <c r="AP71" i="10"/>
  <c r="AP69" i="10"/>
  <c r="AP63" i="10"/>
  <c r="AP58" i="10"/>
  <c r="AP73" i="10"/>
  <c r="AP60" i="10"/>
  <c r="AQ5" i="10"/>
  <c r="F145" i="8"/>
  <c r="F125" i="8"/>
  <c r="G29" i="8"/>
  <c r="F165" i="8"/>
  <c r="K17" i="8"/>
  <c r="E3" i="10"/>
  <c r="H131" i="8"/>
  <c r="H151" i="8"/>
  <c r="I35" i="8"/>
  <c r="K10" i="9"/>
  <c r="F136" i="8"/>
  <c r="F156" i="8"/>
  <c r="G39" i="8"/>
  <c r="H39" i="8" s="1"/>
  <c r="J28" i="8"/>
  <c r="U44" i="7"/>
  <c r="N19" i="7"/>
  <c r="F127" i="8"/>
  <c r="F147" i="8"/>
  <c r="F167" i="8"/>
  <c r="G31" i="8"/>
  <c r="F148" i="8"/>
  <c r="F157" i="8" s="1"/>
  <c r="F158" i="8" s="1"/>
  <c r="F128" i="8"/>
  <c r="F168" i="8"/>
  <c r="G32" i="8"/>
  <c r="AO26" i="10" a="1"/>
  <c r="AO26" i="10" s="1"/>
  <c r="AO25" i="10" a="1"/>
  <c r="AO25" i="10" s="1"/>
  <c r="AO24" i="10" a="1"/>
  <c r="AO24" i="10" s="1"/>
  <c r="AO23" i="10" a="1"/>
  <c r="AO23" i="10" s="1"/>
  <c r="AO22" i="10" a="1"/>
  <c r="AO22" i="10" s="1"/>
  <c r="AO14" i="10" a="1"/>
  <c r="AO14" i="10" s="1"/>
  <c r="AO16" i="10" a="1"/>
  <c r="AO16" i="10" s="1"/>
  <c r="AO15" i="10" a="1"/>
  <c r="AO15" i="10" s="1"/>
  <c r="AO20" i="10" a="1"/>
  <c r="AO20" i="10" s="1"/>
  <c r="G132" i="8"/>
  <c r="H36" i="8"/>
  <c r="G152" i="8"/>
  <c r="F152" i="8"/>
  <c r="G36" i="8"/>
  <c r="F132" i="8"/>
  <c r="I70" i="8"/>
  <c r="J95" i="8"/>
  <c r="J142" i="8"/>
  <c r="F126" i="8"/>
  <c r="F137" i="8" s="1"/>
  <c r="F138" i="8" s="1"/>
  <c r="F175" i="8" s="1" a="1"/>
  <c r="F175" i="8" s="1"/>
  <c r="G30" i="8"/>
  <c r="F166" i="8"/>
  <c r="F73" i="8"/>
  <c r="F146" i="8"/>
  <c r="F70" i="8"/>
  <c r="H156" i="8" l="1"/>
  <c r="H136" i="8"/>
  <c r="I39" i="8"/>
  <c r="F214" i="8"/>
  <c r="F206" i="8"/>
  <c r="J165" i="8"/>
  <c r="J145" i="8"/>
  <c r="J125" i="8"/>
  <c r="K19" i="8"/>
  <c r="K142" i="8"/>
  <c r="G147" i="8"/>
  <c r="G167" i="8"/>
  <c r="G127" i="8"/>
  <c r="H31" i="8"/>
  <c r="G133" i="8"/>
  <c r="H37" i="8"/>
  <c r="G153" i="8"/>
  <c r="U19" i="7"/>
  <c r="I132" i="8"/>
  <c r="I152" i="8"/>
  <c r="J36" i="8"/>
  <c r="I5" i="9"/>
  <c r="G4" i="10"/>
  <c r="J4" i="9"/>
  <c r="K143" i="8"/>
  <c r="K124" i="8"/>
  <c r="K163" i="8"/>
  <c r="G136" i="8"/>
  <c r="G156" i="8"/>
  <c r="AQ112" i="10"/>
  <c r="AQ110" i="10"/>
  <c r="AQ108" i="10"/>
  <c r="AQ106" i="10"/>
  <c r="AQ104" i="10"/>
  <c r="AQ102" i="10"/>
  <c r="AQ100" i="10"/>
  <c r="AQ98" i="10"/>
  <c r="AQ96" i="10"/>
  <c r="AQ94" i="10"/>
  <c r="AQ92" i="10"/>
  <c r="AQ90" i="10"/>
  <c r="AQ88" i="10"/>
  <c r="AQ86" i="10"/>
  <c r="AQ84" i="10"/>
  <c r="AQ82" i="10"/>
  <c r="AQ80" i="10"/>
  <c r="AQ78" i="10"/>
  <c r="AQ109" i="10"/>
  <c r="AQ101" i="10"/>
  <c r="AQ93" i="10"/>
  <c r="AQ113" i="10"/>
  <c r="AQ111" i="10"/>
  <c r="AQ105" i="10"/>
  <c r="AQ87" i="10"/>
  <c r="AQ76" i="10"/>
  <c r="AQ74" i="10"/>
  <c r="AQ72" i="10"/>
  <c r="AQ70" i="10"/>
  <c r="AQ68" i="10"/>
  <c r="AQ66" i="10"/>
  <c r="AQ64" i="10"/>
  <c r="AQ62" i="10"/>
  <c r="AQ85" i="10"/>
  <c r="AQ99" i="10"/>
  <c r="AQ91" i="10"/>
  <c r="AQ83" i="10"/>
  <c r="AQ97" i="10"/>
  <c r="AQ95" i="10"/>
  <c r="AQ107" i="10"/>
  <c r="AQ75" i="10"/>
  <c r="AQ61" i="10"/>
  <c r="AQ69" i="10"/>
  <c r="AQ60" i="10"/>
  <c r="AQ103" i="10"/>
  <c r="AQ89" i="10"/>
  <c r="AQ77" i="10"/>
  <c r="AQ81" i="10"/>
  <c r="AQ79" i="10"/>
  <c r="AQ67" i="10"/>
  <c r="AQ57" i="10"/>
  <c r="AQ54" i="10"/>
  <c r="AQ73" i="10"/>
  <c r="AQ58" i="10"/>
  <c r="AQ65" i="10"/>
  <c r="AQ55" i="10"/>
  <c r="AQ71" i="10"/>
  <c r="AQ63" i="10"/>
  <c r="AQ59" i="10"/>
  <c r="AQ56" i="10"/>
  <c r="AR5" i="10"/>
  <c r="E71" i="8"/>
  <c r="E55" i="8"/>
  <c r="K70" i="8"/>
  <c r="F45" i="8"/>
  <c r="G48" i="8"/>
  <c r="G57" i="8" s="1"/>
  <c r="F48" i="8"/>
  <c r="F3" i="10"/>
  <c r="L49" i="8"/>
  <c r="L56" i="8" s="1"/>
  <c r="F172" i="8"/>
  <c r="F173" i="8" s="1"/>
  <c r="H153" i="8"/>
  <c r="H133" i="8"/>
  <c r="I37" i="8"/>
  <c r="G148" i="8"/>
  <c r="H32" i="8"/>
  <c r="G128" i="8"/>
  <c r="G168" i="8"/>
  <c r="AP24" i="10" a="1"/>
  <c r="AP24" i="10" s="1"/>
  <c r="AP22" i="10" a="1"/>
  <c r="AP22" i="10" s="1"/>
  <c r="AP23" i="10" a="1"/>
  <c r="AP23" i="10" s="1"/>
  <c r="AP25" i="10" a="1"/>
  <c r="AP25" i="10" s="1"/>
  <c r="AP26" i="10" a="1"/>
  <c r="AP26" i="10" s="1"/>
  <c r="AP20" i="10" a="1"/>
  <c r="AP20" i="10" s="1"/>
  <c r="AP16" i="10" a="1"/>
  <c r="AP16" i="10" s="1"/>
  <c r="AP15" i="10" a="1"/>
  <c r="AP15" i="10" s="1"/>
  <c r="AP14" i="10" a="1"/>
  <c r="AP14" i="10" s="1"/>
  <c r="K29" i="8"/>
  <c r="K162" i="8"/>
  <c r="H29" i="8"/>
  <c r="G165" i="8"/>
  <c r="G125" i="8"/>
  <c r="G145" i="8"/>
  <c r="G43" i="8" a="1"/>
  <c r="G43" i="8" s="1"/>
  <c r="G42" i="8"/>
  <c r="K95" i="8"/>
  <c r="U34" i="7"/>
  <c r="N14" i="7"/>
  <c r="G149" i="8"/>
  <c r="G129" i="8"/>
  <c r="G169" i="8"/>
  <c r="G74" i="8"/>
  <c r="H33" i="8"/>
  <c r="G126" i="8"/>
  <c r="G146" i="8"/>
  <c r="G73" i="8"/>
  <c r="H30" i="8"/>
  <c r="G166" i="8"/>
  <c r="I165" i="8"/>
  <c r="I125" i="8"/>
  <c r="I145" i="8"/>
  <c r="J29" i="8"/>
  <c r="L17" i="8"/>
  <c r="L19" i="8" s="1"/>
  <c r="K123" i="8"/>
  <c r="K122" i="8"/>
  <c r="K165" i="8"/>
  <c r="L173" i="8"/>
  <c r="L172" i="8"/>
  <c r="L163" i="8"/>
  <c r="L153" i="8"/>
  <c r="L144" i="8"/>
  <c r="L170" i="8"/>
  <c r="L158" i="8"/>
  <c r="L151" i="8"/>
  <c r="L142" i="8"/>
  <c r="L136" i="8"/>
  <c r="L134" i="8"/>
  <c r="L132" i="8"/>
  <c r="L130" i="8"/>
  <c r="L128" i="8"/>
  <c r="L126" i="8"/>
  <c r="L124" i="8"/>
  <c r="L122" i="8"/>
  <c r="L168" i="8"/>
  <c r="L156" i="8"/>
  <c r="L165" i="8"/>
  <c r="L155" i="8"/>
  <c r="L146" i="8"/>
  <c r="L189" i="8"/>
  <c r="M185" i="8" s="1"/>
  <c r="L171" i="8"/>
  <c r="L164" i="8"/>
  <c r="L148" i="8"/>
  <c r="L147" i="8"/>
  <c r="L133" i="8"/>
  <c r="L127" i="8"/>
  <c r="L99" i="8"/>
  <c r="L138" i="8"/>
  <c r="L175" i="8" s="1" a="1"/>
  <c r="L175" i="8" s="1"/>
  <c r="L125" i="8"/>
  <c r="L97" i="8"/>
  <c r="L75" i="8"/>
  <c r="L73" i="8"/>
  <c r="L167" i="8"/>
  <c r="L157" i="8"/>
  <c r="L143" i="8"/>
  <c r="L131" i="8"/>
  <c r="L123" i="8"/>
  <c r="L166" i="8"/>
  <c r="L169" i="8"/>
  <c r="L162" i="8"/>
  <c r="L154" i="8"/>
  <c r="L137" i="8"/>
  <c r="L129" i="8"/>
  <c r="L98" i="8"/>
  <c r="L76" i="8"/>
  <c r="L27" i="8"/>
  <c r="L39" i="8"/>
  <c r="L37" i="8"/>
  <c r="L152" i="8"/>
  <c r="L150" i="8"/>
  <c r="L149" i="8"/>
  <c r="L135" i="8"/>
  <c r="L145" i="8"/>
  <c r="L92" i="8"/>
  <c r="L91" i="8" s="1"/>
  <c r="L85" i="8"/>
  <c r="M5" i="8"/>
  <c r="L96" i="8"/>
  <c r="L95" i="8" s="1"/>
  <c r="L74" i="8"/>
  <c r="L38" i="8"/>
  <c r="L29" i="8"/>
  <c r="L22" i="8"/>
  <c r="L15" i="8"/>
  <c r="L12" i="8"/>
  <c r="L48" i="8"/>
  <c r="L57" i="8" s="1"/>
  <c r="L71" i="8" s="1"/>
  <c r="L34" i="8"/>
  <c r="L18" i="8"/>
  <c r="L35" i="8"/>
  <c r="L32" i="8"/>
  <c r="L33" i="8"/>
  <c r="L30" i="8"/>
  <c r="L28" i="8"/>
  <c r="L63" i="8" a="1"/>
  <c r="L63" i="8" s="1"/>
  <c r="L36" i="8"/>
  <c r="L31" i="8"/>
  <c r="L26" i="8"/>
  <c r="L13" i="8"/>
  <c r="L25" i="8"/>
  <c r="L16" i="8"/>
  <c r="L11" i="8"/>
  <c r="L6" i="8"/>
  <c r="K144" i="8"/>
  <c r="I187" i="8"/>
  <c r="I188" i="8"/>
  <c r="I189" i="8"/>
  <c r="J185" i="8" s="1"/>
  <c r="I153" i="8"/>
  <c r="I133" i="8"/>
  <c r="J37" i="8"/>
  <c r="F44" i="8"/>
  <c r="G201" i="8" s="1"/>
  <c r="G205" i="8" s="1"/>
  <c r="F88" i="8"/>
  <c r="G206" i="8" l="1"/>
  <c r="G214" i="8"/>
  <c r="F87" i="8"/>
  <c r="M17" i="8"/>
  <c r="M173" i="8"/>
  <c r="M189" i="8"/>
  <c r="N185" i="8" s="1"/>
  <c r="M170" i="8"/>
  <c r="M158" i="8"/>
  <c r="M151" i="8"/>
  <c r="M142" i="8"/>
  <c r="M136" i="8"/>
  <c r="M134" i="8"/>
  <c r="M132" i="8"/>
  <c r="M130" i="8"/>
  <c r="M168" i="8"/>
  <c r="M156" i="8"/>
  <c r="M149" i="8"/>
  <c r="M137" i="8"/>
  <c r="M166" i="8"/>
  <c r="M154" i="8"/>
  <c r="M172" i="8"/>
  <c r="M163" i="8"/>
  <c r="M153" i="8"/>
  <c r="M138" i="8"/>
  <c r="M175" i="8" s="1" a="1"/>
  <c r="M175" i="8" s="1"/>
  <c r="M125" i="8"/>
  <c r="M97" i="8"/>
  <c r="M75" i="8"/>
  <c r="M73" i="8"/>
  <c r="M39" i="8"/>
  <c r="M167" i="8"/>
  <c r="M157" i="8"/>
  <c r="M146" i="8"/>
  <c r="M143" i="8"/>
  <c r="M131" i="8"/>
  <c r="M123" i="8"/>
  <c r="M145" i="8"/>
  <c r="M144" i="8"/>
  <c r="M169" i="8"/>
  <c r="M162" i="8"/>
  <c r="M165" i="8"/>
  <c r="M155" i="8"/>
  <c r="M171" i="8"/>
  <c r="M164" i="8"/>
  <c r="M148" i="8"/>
  <c r="M147" i="8"/>
  <c r="M133" i="8"/>
  <c r="M127" i="8"/>
  <c r="M99" i="8"/>
  <c r="M124" i="8"/>
  <c r="M27" i="8"/>
  <c r="M25" i="8"/>
  <c r="M37" i="8"/>
  <c r="M35" i="8"/>
  <c r="M33" i="8"/>
  <c r="M31" i="8"/>
  <c r="M29" i="8"/>
  <c r="M152" i="8"/>
  <c r="M63" i="8" a="1"/>
  <c r="M63" i="8" s="1"/>
  <c r="M48" i="8"/>
  <c r="M57" i="8" s="1"/>
  <c r="M71" i="8" s="1"/>
  <c r="M126" i="8"/>
  <c r="M150" i="8"/>
  <c r="M135" i="8"/>
  <c r="M129" i="8"/>
  <c r="M122" i="8"/>
  <c r="M128" i="8"/>
  <c r="M98" i="8"/>
  <c r="M76" i="8"/>
  <c r="M96" i="8"/>
  <c r="M74" i="8"/>
  <c r="M38" i="8"/>
  <c r="M22" i="8"/>
  <c r="M15" i="8"/>
  <c r="M12" i="8"/>
  <c r="M34" i="8"/>
  <c r="M18" i="8"/>
  <c r="M85" i="8"/>
  <c r="M32" i="8"/>
  <c r="M30" i="8"/>
  <c r="M28" i="8"/>
  <c r="M92" i="8"/>
  <c r="M91" i="8" s="1"/>
  <c r="M36" i="8"/>
  <c r="M26" i="8"/>
  <c r="N5" i="8"/>
  <c r="M13" i="8"/>
  <c r="M16" i="8"/>
  <c r="M11" i="8"/>
  <c r="N17" i="8" s="1"/>
  <c r="M6" i="8"/>
  <c r="J134" i="8"/>
  <c r="J154" i="8"/>
  <c r="K38" i="8"/>
  <c r="M187" i="8"/>
  <c r="M188" i="8"/>
  <c r="G44" i="8"/>
  <c r="H201" i="8" s="1"/>
  <c r="H205" i="8" s="1"/>
  <c r="G88" i="8"/>
  <c r="G87" i="8" s="1"/>
  <c r="G137" i="8"/>
  <c r="G138" i="8" s="1"/>
  <c r="G175" i="8" s="1" a="1"/>
  <c r="G175" i="8" s="1"/>
  <c r="H74" i="8"/>
  <c r="H129" i="8"/>
  <c r="H149" i="8"/>
  <c r="I33" i="8"/>
  <c r="H169" i="8"/>
  <c r="AQ23" i="10" a="1"/>
  <c r="AQ23" i="10" s="1"/>
  <c r="AQ22" i="10" a="1"/>
  <c r="AQ22" i="10" s="1"/>
  <c r="AQ25" i="10" a="1"/>
  <c r="AQ25" i="10" s="1"/>
  <c r="AQ16" i="10" a="1"/>
  <c r="AQ16" i="10" s="1"/>
  <c r="AQ15" i="10" a="1"/>
  <c r="AQ15" i="10" s="1"/>
  <c r="AQ20" i="10" a="1"/>
  <c r="AQ20" i="10" s="1"/>
  <c r="AQ24" i="10" a="1"/>
  <c r="AQ24" i="10" s="1"/>
  <c r="AQ26" i="10" a="1"/>
  <c r="AQ26" i="10" s="1"/>
  <c r="AQ14" i="10" a="1"/>
  <c r="AQ14" i="10" s="1"/>
  <c r="G172" i="8"/>
  <c r="G173" i="8" s="1"/>
  <c r="H146" i="8"/>
  <c r="H126" i="8"/>
  <c r="H166" i="8"/>
  <c r="H73" i="8"/>
  <c r="I30" i="8"/>
  <c r="H43" i="8" a="1"/>
  <c r="H43" i="8" s="1"/>
  <c r="H42" i="8"/>
  <c r="F57" i="8"/>
  <c r="I134" i="8"/>
  <c r="I154" i="8"/>
  <c r="J38" i="8"/>
  <c r="G71" i="8"/>
  <c r="G55" i="8"/>
  <c r="H154" i="8"/>
  <c r="H134" i="8"/>
  <c r="I38" i="8"/>
  <c r="J187" i="8"/>
  <c r="J188" i="8"/>
  <c r="J189" i="8"/>
  <c r="K185" i="8" s="1"/>
  <c r="I136" i="8"/>
  <c r="I156" i="8"/>
  <c r="H167" i="8"/>
  <c r="H147" i="8"/>
  <c r="H127" i="8"/>
  <c r="H137" i="8" s="1"/>
  <c r="H138" i="8" s="1"/>
  <c r="H175" i="8" s="1" a="1"/>
  <c r="H175" i="8" s="1"/>
  <c r="I31" i="8"/>
  <c r="E53" i="8"/>
  <c r="E75" i="8"/>
  <c r="E76" i="8"/>
  <c r="E69" i="8" s="1"/>
  <c r="L42" i="8"/>
  <c r="L88" i="8" s="1"/>
  <c r="L87" i="8" s="1"/>
  <c r="M49" i="8"/>
  <c r="M56" i="8" s="1"/>
  <c r="U14" i="7"/>
  <c r="K166" i="8"/>
  <c r="K146" i="8"/>
  <c r="K126" i="8"/>
  <c r="L43" i="8" a="1"/>
  <c r="L43" i="8" s="1"/>
  <c r="G45" i="8"/>
  <c r="H48" i="8"/>
  <c r="L55" i="8"/>
  <c r="L53" i="8" s="1"/>
  <c r="L70" i="8"/>
  <c r="L69" i="8" s="1"/>
  <c r="L67" i="8" s="1"/>
  <c r="K4" i="9"/>
  <c r="H4" i="10"/>
  <c r="J5" i="9"/>
  <c r="J153" i="8"/>
  <c r="J133" i="8"/>
  <c r="K37" i="8"/>
  <c r="H168" i="8"/>
  <c r="H128" i="8"/>
  <c r="H148" i="8"/>
  <c r="I32" i="8"/>
  <c r="G213" i="8"/>
  <c r="F215" i="8"/>
  <c r="H157" i="8"/>
  <c r="J166" i="8"/>
  <c r="J146" i="8"/>
  <c r="J126" i="8"/>
  <c r="K30" i="8"/>
  <c r="H130" i="8"/>
  <c r="H170" i="8"/>
  <c r="H150" i="8"/>
  <c r="I34" i="8"/>
  <c r="G157" i="8"/>
  <c r="G158" i="8" s="1"/>
  <c r="AR113" i="10"/>
  <c r="AR111" i="10"/>
  <c r="AR109" i="10"/>
  <c r="AR107" i="10"/>
  <c r="AR105" i="10"/>
  <c r="AR103" i="10"/>
  <c r="AR101" i="10"/>
  <c r="AR99" i="10"/>
  <c r="AR97" i="10"/>
  <c r="AR95" i="10"/>
  <c r="AR93" i="10"/>
  <c r="AR91" i="10"/>
  <c r="AR89" i="10"/>
  <c r="AR87" i="10"/>
  <c r="AR88" i="10"/>
  <c r="AR104" i="10"/>
  <c r="AR96" i="10"/>
  <c r="AR112" i="10"/>
  <c r="AR106" i="10"/>
  <c r="AR108" i="10"/>
  <c r="AR110" i="10"/>
  <c r="AR94" i="10"/>
  <c r="AR84" i="10"/>
  <c r="AR76" i="10"/>
  <c r="AR74" i="10"/>
  <c r="AR72" i="10"/>
  <c r="AR70" i="10"/>
  <c r="AR68" i="10"/>
  <c r="AR66" i="10"/>
  <c r="AR64" i="10"/>
  <c r="AR62" i="10"/>
  <c r="AR60" i="10"/>
  <c r="AR82" i="10"/>
  <c r="AR80" i="10"/>
  <c r="AR83" i="10"/>
  <c r="AR102" i="10"/>
  <c r="AR92" i="10"/>
  <c r="AR81" i="10"/>
  <c r="AR100" i="10"/>
  <c r="AR98" i="10"/>
  <c r="AR86" i="10"/>
  <c r="AR69" i="10"/>
  <c r="AR73" i="10"/>
  <c r="AR71" i="10"/>
  <c r="AR63" i="10"/>
  <c r="AR85" i="10"/>
  <c r="AR79" i="10"/>
  <c r="AR90" i="10"/>
  <c r="AR78" i="10"/>
  <c r="AR75" i="10"/>
  <c r="AR61" i="10"/>
  <c r="AR57" i="10"/>
  <c r="AR54" i="10"/>
  <c r="AR58" i="10"/>
  <c r="AR59" i="10"/>
  <c r="AR77" i="10"/>
  <c r="AR56" i="10"/>
  <c r="AR67" i="10"/>
  <c r="AR65" i="10"/>
  <c r="AR55" i="10"/>
  <c r="AS5" i="10"/>
  <c r="G3" i="10"/>
  <c r="H206" i="8" l="1"/>
  <c r="H214" i="8"/>
  <c r="E67" i="8"/>
  <c r="E66" i="8" s="1"/>
  <c r="E181" i="8"/>
  <c r="E180" i="8"/>
  <c r="E179" i="8"/>
  <c r="K127" i="8"/>
  <c r="K167" i="8"/>
  <c r="K147" i="8"/>
  <c r="I135" i="8"/>
  <c r="I155" i="8"/>
  <c r="J39" i="8"/>
  <c r="G53" i="8"/>
  <c r="G76" i="8"/>
  <c r="G75" i="8"/>
  <c r="H44" i="8"/>
  <c r="I201" i="8" s="1"/>
  <c r="I205" i="8" s="1"/>
  <c r="H88" i="8"/>
  <c r="H87" i="8" s="1"/>
  <c r="N49" i="8"/>
  <c r="N56" i="8" s="1"/>
  <c r="M42" i="8"/>
  <c r="I4" i="10"/>
  <c r="K5" i="9"/>
  <c r="L4" i="9"/>
  <c r="AR24" i="10" a="1"/>
  <c r="AR24" i="10" s="1"/>
  <c r="AR23" i="10" a="1"/>
  <c r="AR23" i="10" s="1"/>
  <c r="AR22" i="10" a="1"/>
  <c r="AR22" i="10" s="1"/>
  <c r="AR26" i="10" a="1"/>
  <c r="AR26" i="10" s="1"/>
  <c r="AR20" i="10" a="1"/>
  <c r="AR20" i="10" s="1"/>
  <c r="AR16" i="10" a="1"/>
  <c r="AR16" i="10" s="1"/>
  <c r="AR25" i="10" a="1"/>
  <c r="AR25" i="10" s="1"/>
  <c r="AR15" i="10" a="1"/>
  <c r="AR15" i="10" s="1"/>
  <c r="AR14" i="10" a="1"/>
  <c r="AR14" i="10" s="1"/>
  <c r="G69" i="8"/>
  <c r="G67" i="8" s="1"/>
  <c r="G66" i="8" s="1"/>
  <c r="F71" i="8"/>
  <c r="F55" i="8"/>
  <c r="H158" i="8"/>
  <c r="I131" i="8"/>
  <c r="I151" i="8"/>
  <c r="J35" i="8"/>
  <c r="H45" i="8"/>
  <c r="K155" i="8"/>
  <c r="K135" i="8"/>
  <c r="AS113" i="10"/>
  <c r="AS111" i="10"/>
  <c r="AS109" i="10"/>
  <c r="AS107" i="10"/>
  <c r="AS105" i="10"/>
  <c r="AS103" i="10"/>
  <c r="AS101" i="10"/>
  <c r="AS99" i="10"/>
  <c r="AS97" i="10"/>
  <c r="AS95" i="10"/>
  <c r="AS93" i="10"/>
  <c r="AS91" i="10"/>
  <c r="AS89" i="10"/>
  <c r="AS112" i="10"/>
  <c r="AS104" i="10"/>
  <c r="AS96" i="10"/>
  <c r="AS86" i="10"/>
  <c r="AS106" i="10"/>
  <c r="AS98" i="10"/>
  <c r="AS108" i="10"/>
  <c r="AS110" i="10"/>
  <c r="AS88" i="10"/>
  <c r="AS82" i="10"/>
  <c r="AS80" i="10"/>
  <c r="AS90" i="10"/>
  <c r="AS85" i="10"/>
  <c r="AS83" i="10"/>
  <c r="AS102" i="10"/>
  <c r="AS92" i="10"/>
  <c r="AS100" i="10"/>
  <c r="AS94" i="10"/>
  <c r="AS87" i="10"/>
  <c r="AS84" i="10"/>
  <c r="AS76" i="10"/>
  <c r="AS74" i="10"/>
  <c r="AS72" i="10"/>
  <c r="AS73" i="10"/>
  <c r="AS71" i="10"/>
  <c r="AS63" i="10"/>
  <c r="AS62" i="10"/>
  <c r="AS60" i="10"/>
  <c r="AS68" i="10"/>
  <c r="AS67" i="10"/>
  <c r="AS66" i="10"/>
  <c r="AS65" i="10"/>
  <c r="AS64" i="10"/>
  <c r="AS58" i="10"/>
  <c r="AS56" i="10"/>
  <c r="AS54" i="10"/>
  <c r="AS81" i="10"/>
  <c r="AS78" i="10"/>
  <c r="AS75" i="10"/>
  <c r="AS70" i="10"/>
  <c r="AS69" i="10"/>
  <c r="AS57" i="10"/>
  <c r="AS79" i="10"/>
  <c r="AS55" i="10"/>
  <c r="AS77" i="10"/>
  <c r="AS61" i="10"/>
  <c r="AS59" i="10"/>
  <c r="AT5" i="10"/>
  <c r="L66" i="8"/>
  <c r="L179" i="8" s="1"/>
  <c r="L44" i="8"/>
  <c r="M201" i="8" s="1"/>
  <c r="M205" i="8" s="1"/>
  <c r="H57" i="8"/>
  <c r="I73" i="8"/>
  <c r="K134" i="8"/>
  <c r="K154" i="8"/>
  <c r="M70" i="8"/>
  <c r="M69" i="8" s="1"/>
  <c r="M67" i="8" s="1"/>
  <c r="M55" i="8"/>
  <c r="M53" i="8" s="1"/>
  <c r="H172" i="8"/>
  <c r="H173" i="8" s="1"/>
  <c r="I171" i="8"/>
  <c r="H3" i="10"/>
  <c r="I168" i="8"/>
  <c r="I148" i="8"/>
  <c r="I128" i="8"/>
  <c r="J32" i="8"/>
  <c r="I127" i="8"/>
  <c r="I137" i="8" s="1"/>
  <c r="I138" i="8" s="1"/>
  <c r="I175" i="8" s="1" a="1"/>
  <c r="I175" i="8" s="1"/>
  <c r="I167" i="8"/>
  <c r="I147" i="8"/>
  <c r="I157" i="8" s="1"/>
  <c r="I158" i="8" s="1"/>
  <c r="J31" i="8"/>
  <c r="I43" i="8" a="1"/>
  <c r="I43" i="8" s="1"/>
  <c r="I42" i="8"/>
  <c r="H213" i="8"/>
  <c r="G215" i="8"/>
  <c r="M95" i="8"/>
  <c r="N188" i="8"/>
  <c r="N187" i="8"/>
  <c r="I74" i="8"/>
  <c r="I129" i="8"/>
  <c r="I169" i="8"/>
  <c r="I149" i="8"/>
  <c r="J33" i="8"/>
  <c r="L45" i="8"/>
  <c r="J155" i="8"/>
  <c r="J135" i="8"/>
  <c r="K39" i="8"/>
  <c r="I130" i="8"/>
  <c r="I170" i="8"/>
  <c r="I150" i="8"/>
  <c r="J34" i="8"/>
  <c r="N189" i="8"/>
  <c r="O185" i="8" s="1"/>
  <c r="N173" i="8"/>
  <c r="N171" i="8"/>
  <c r="N169" i="8"/>
  <c r="N167" i="8"/>
  <c r="N165" i="8"/>
  <c r="N163" i="8"/>
  <c r="N158" i="8"/>
  <c r="N156" i="8"/>
  <c r="N154" i="8"/>
  <c r="N152" i="8"/>
  <c r="N150" i="8"/>
  <c r="N148" i="8"/>
  <c r="N146" i="8"/>
  <c r="N144" i="8"/>
  <c r="N142" i="8"/>
  <c r="N137" i="8"/>
  <c r="N168" i="8"/>
  <c r="N149" i="8"/>
  <c r="N166" i="8"/>
  <c r="N147" i="8"/>
  <c r="N164" i="8"/>
  <c r="N170" i="8"/>
  <c r="N151" i="8"/>
  <c r="N157" i="8"/>
  <c r="N143" i="8"/>
  <c r="N136" i="8"/>
  <c r="N131" i="8"/>
  <c r="N123" i="8"/>
  <c r="N145" i="8"/>
  <c r="N134" i="8"/>
  <c r="N128" i="8"/>
  <c r="N92" i="8"/>
  <c r="N91" i="8" s="1"/>
  <c r="N85" i="8"/>
  <c r="N162" i="8"/>
  <c r="N155" i="8"/>
  <c r="N172" i="8"/>
  <c r="N138" i="8"/>
  <c r="N175" i="8" s="1" a="1"/>
  <c r="N175" i="8" s="1"/>
  <c r="N125" i="8"/>
  <c r="N97" i="8"/>
  <c r="N75" i="8"/>
  <c r="N73" i="8"/>
  <c r="N63" i="8" a="1"/>
  <c r="N63" i="8" s="1"/>
  <c r="N37" i="8"/>
  <c r="N35" i="8"/>
  <c r="N33" i="8"/>
  <c r="N31" i="8"/>
  <c r="N29" i="8"/>
  <c r="N133" i="8"/>
  <c r="N127" i="8"/>
  <c r="N48" i="8"/>
  <c r="N57" i="8" s="1"/>
  <c r="N71" i="8" s="1"/>
  <c r="N39" i="8"/>
  <c r="N153" i="8"/>
  <c r="N126" i="8"/>
  <c r="N74" i="8"/>
  <c r="N135" i="8"/>
  <c r="N129" i="8"/>
  <c r="N122" i="8"/>
  <c r="N130" i="8"/>
  <c r="N99" i="8"/>
  <c r="N98" i="8"/>
  <c r="N132" i="8"/>
  <c r="N124" i="8"/>
  <c r="N34" i="8"/>
  <c r="N18" i="8"/>
  <c r="N19" i="8" s="1"/>
  <c r="N32" i="8"/>
  <c r="N27" i="8"/>
  <c r="N25" i="8"/>
  <c r="N16" i="8"/>
  <c r="N76" i="8"/>
  <c r="N30" i="8"/>
  <c r="N28" i="8"/>
  <c r="N36" i="8"/>
  <c r="N26" i="8"/>
  <c r="N96" i="8"/>
  <c r="N38" i="8"/>
  <c r="N22" i="8"/>
  <c r="N15" i="8"/>
  <c r="N12" i="8"/>
  <c r="N13" i="8"/>
  <c r="O5" i="8"/>
  <c r="N11" i="8"/>
  <c r="N6" i="8"/>
  <c r="M43" i="8" a="1"/>
  <c r="M43" i="8" s="1"/>
  <c r="M45" i="8" s="1"/>
  <c r="K187" i="8"/>
  <c r="K188" i="8"/>
  <c r="K189" i="8"/>
  <c r="L185" i="8" s="1"/>
  <c r="M19" i="8"/>
  <c r="M214" i="8" l="1"/>
  <c r="M206" i="8"/>
  <c r="I214" i="8"/>
  <c r="I206" i="8"/>
  <c r="L188" i="8"/>
  <c r="L187" i="8"/>
  <c r="K136" i="8"/>
  <c r="K156" i="8"/>
  <c r="I45" i="8"/>
  <c r="M44" i="8"/>
  <c r="N201" i="8" s="1"/>
  <c r="N205" i="8" s="1"/>
  <c r="M88" i="8"/>
  <c r="M87" i="8" s="1"/>
  <c r="I213" i="8"/>
  <c r="H215" i="8"/>
  <c r="N43" i="8" a="1"/>
  <c r="N43" i="8" s="1"/>
  <c r="O187" i="8"/>
  <c r="O188" i="8"/>
  <c r="J151" i="8"/>
  <c r="J131" i="8"/>
  <c r="K35" i="8"/>
  <c r="M66" i="8"/>
  <c r="AS26" i="10" a="1"/>
  <c r="AS26" i="10" s="1"/>
  <c r="AS23" i="10" a="1"/>
  <c r="AS23" i="10" s="1"/>
  <c r="AS22" i="10" a="1"/>
  <c r="AS22" i="10" s="1"/>
  <c r="AS25" i="10" a="1"/>
  <c r="AS25" i="10" s="1"/>
  <c r="AS24" i="10" a="1"/>
  <c r="AS24" i="10" s="1"/>
  <c r="AS14" i="10" a="1"/>
  <c r="AS14" i="10" s="1"/>
  <c r="AS20" i="10" a="1"/>
  <c r="AS20" i="10" s="1"/>
  <c r="AS15" i="10" a="1"/>
  <c r="AS15" i="10" s="1"/>
  <c r="AS16" i="10" a="1"/>
  <c r="AS16" i="10" s="1"/>
  <c r="J148" i="8"/>
  <c r="J168" i="8"/>
  <c r="J128" i="8"/>
  <c r="K32" i="8"/>
  <c r="J42" i="8"/>
  <c r="I48" i="8"/>
  <c r="N70" i="8"/>
  <c r="N69" i="8" s="1"/>
  <c r="N67" i="8" s="1"/>
  <c r="N55" i="8"/>
  <c r="N53" i="8" s="1"/>
  <c r="J136" i="8"/>
  <c r="J156" i="8"/>
  <c r="H71" i="8"/>
  <c r="H55" i="8"/>
  <c r="L181" i="8"/>
  <c r="N42" i="8"/>
  <c r="O49" i="8"/>
  <c r="O56" i="8" s="1"/>
  <c r="L180" i="8"/>
  <c r="L5" i="9"/>
  <c r="M4" i="9"/>
  <c r="J4" i="10"/>
  <c r="J171" i="8"/>
  <c r="I172" i="8"/>
  <c r="I173" i="8" s="1"/>
  <c r="AT112" i="10"/>
  <c r="AT113" i="10"/>
  <c r="AT109" i="10"/>
  <c r="AT101" i="10"/>
  <c r="AT93" i="10"/>
  <c r="AT86" i="10"/>
  <c r="AT106" i="10"/>
  <c r="AT98" i="10"/>
  <c r="AT90" i="10"/>
  <c r="AT85" i="10"/>
  <c r="AT83" i="10"/>
  <c r="AT81" i="10"/>
  <c r="AT79" i="10"/>
  <c r="AT111" i="10"/>
  <c r="AT103" i="10"/>
  <c r="AT95" i="10"/>
  <c r="AT108" i="10"/>
  <c r="AT105" i="10"/>
  <c r="AT110" i="10"/>
  <c r="AT107" i="10"/>
  <c r="AT89" i="10"/>
  <c r="AT78" i="10"/>
  <c r="AT104" i="10"/>
  <c r="AT102" i="10"/>
  <c r="AT99" i="10"/>
  <c r="AT96" i="10"/>
  <c r="AT92" i="10"/>
  <c r="AT91" i="10"/>
  <c r="AT100" i="10"/>
  <c r="AT97" i="10"/>
  <c r="AT94" i="10"/>
  <c r="AT87" i="10"/>
  <c r="AT88" i="10"/>
  <c r="AT82" i="10"/>
  <c r="AT80" i="10"/>
  <c r="AT84" i="10"/>
  <c r="AT76" i="10"/>
  <c r="AT68" i="10"/>
  <c r="AT67" i="10"/>
  <c r="AT66" i="10"/>
  <c r="AT65" i="10"/>
  <c r="AT64" i="10"/>
  <c r="AT58" i="10"/>
  <c r="AT56" i="10"/>
  <c r="AT54" i="10"/>
  <c r="AT77" i="10"/>
  <c r="AT72" i="10"/>
  <c r="AT75" i="10"/>
  <c r="AT73" i="10"/>
  <c r="AT71" i="10"/>
  <c r="AT63" i="10"/>
  <c r="AT62" i="10"/>
  <c r="AT74" i="10"/>
  <c r="AT55" i="10"/>
  <c r="AT60" i="10"/>
  <c r="AT59" i="10"/>
  <c r="AT70" i="10"/>
  <c r="AT69" i="10"/>
  <c r="AT61" i="10"/>
  <c r="AT57" i="10"/>
  <c r="AU5" i="10"/>
  <c r="I3" i="10"/>
  <c r="J150" i="8"/>
  <c r="J170" i="8"/>
  <c r="J130" i="8"/>
  <c r="K34" i="8"/>
  <c r="N95" i="8"/>
  <c r="O189" i="8"/>
  <c r="P185" i="8" s="1"/>
  <c r="O166" i="8"/>
  <c r="O156" i="8"/>
  <c r="O147" i="8"/>
  <c r="O137" i="8"/>
  <c r="O164" i="8"/>
  <c r="O154" i="8"/>
  <c r="O145" i="8"/>
  <c r="O99" i="8"/>
  <c r="O97" i="8"/>
  <c r="O171" i="8"/>
  <c r="O162" i="8"/>
  <c r="O173" i="8"/>
  <c r="O168" i="8"/>
  <c r="O158" i="8"/>
  <c r="O149" i="8"/>
  <c r="O167" i="8"/>
  <c r="O146" i="8"/>
  <c r="O142" i="8"/>
  <c r="O144" i="8"/>
  <c r="O134" i="8"/>
  <c r="O128" i="8"/>
  <c r="O92" i="8"/>
  <c r="O91" i="8" s="1"/>
  <c r="O85" i="8"/>
  <c r="O170" i="8"/>
  <c r="O163" i="8"/>
  <c r="O153" i="8"/>
  <c r="O152" i="8"/>
  <c r="O126" i="8"/>
  <c r="O98" i="8"/>
  <c r="O76" i="8"/>
  <c r="O74" i="8"/>
  <c r="O169" i="8"/>
  <c r="O155" i="8"/>
  <c r="O172" i="8"/>
  <c r="O165" i="8"/>
  <c r="O157" i="8"/>
  <c r="O143" i="8"/>
  <c r="O136" i="8"/>
  <c r="O131" i="8"/>
  <c r="O123" i="8"/>
  <c r="O133" i="8"/>
  <c r="O127" i="8"/>
  <c r="O48" i="8"/>
  <c r="O57" i="8" s="1"/>
  <c r="O71" i="8" s="1"/>
  <c r="O39" i="8"/>
  <c r="O135" i="8"/>
  <c r="O96" i="8"/>
  <c r="O151" i="8"/>
  <c r="O150" i="8"/>
  <c r="O129" i="8"/>
  <c r="O122" i="8"/>
  <c r="O130" i="8"/>
  <c r="O148" i="8"/>
  <c r="O138" i="8"/>
  <c r="O175" i="8" s="1" a="1"/>
  <c r="O175" i="8" s="1"/>
  <c r="O125" i="8"/>
  <c r="O132" i="8"/>
  <c r="O124" i="8"/>
  <c r="O73" i="8"/>
  <c r="O37" i="8"/>
  <c r="O35" i="8"/>
  <c r="O32" i="8"/>
  <c r="O29" i="8"/>
  <c r="O27" i="8"/>
  <c r="O25" i="8"/>
  <c r="O16" i="8"/>
  <c r="O75" i="8"/>
  <c r="O30" i="8"/>
  <c r="O13" i="8"/>
  <c r="O28" i="8"/>
  <c r="O36" i="8"/>
  <c r="O33" i="8"/>
  <c r="O26" i="8"/>
  <c r="O63" i="8" a="1"/>
  <c r="O63" i="8" s="1"/>
  <c r="O38" i="8"/>
  <c r="O31" i="8"/>
  <c r="O22" i="8"/>
  <c r="O34" i="8"/>
  <c r="O18" i="8"/>
  <c r="P5" i="8"/>
  <c r="O15" i="8"/>
  <c r="O11" i="8"/>
  <c r="O12" i="8"/>
  <c r="O6" i="8"/>
  <c r="I44" i="8"/>
  <c r="J201" i="8"/>
  <c r="J205" i="8" s="1"/>
  <c r="I88" i="8"/>
  <c r="I87" i="8" s="1"/>
  <c r="J74" i="8"/>
  <c r="J149" i="8"/>
  <c r="J129" i="8"/>
  <c r="J169" i="8"/>
  <c r="K33" i="8"/>
  <c r="J132" i="8"/>
  <c r="J152" i="8"/>
  <c r="K36" i="8"/>
  <c r="J43" i="8" a="1"/>
  <c r="J43" i="8" s="1"/>
  <c r="J48" i="8" s="1"/>
  <c r="J57" i="8" s="1"/>
  <c r="J73" i="8"/>
  <c r="F53" i="8"/>
  <c r="F76" i="8"/>
  <c r="F75" i="8"/>
  <c r="F69" i="8" s="1"/>
  <c r="O17" i="8"/>
  <c r="M180" i="8"/>
  <c r="M179" i="8"/>
  <c r="M181" i="8"/>
  <c r="G179" i="8"/>
  <c r="G181" i="8"/>
  <c r="G180" i="8"/>
  <c r="F67" i="8" l="1"/>
  <c r="F66" i="8" s="1"/>
  <c r="N214" i="8"/>
  <c r="N206" i="8"/>
  <c r="J71" i="8"/>
  <c r="J55" i="8"/>
  <c r="J137" i="8"/>
  <c r="J138" i="8" s="1"/>
  <c r="J175" i="8" s="1" a="1"/>
  <c r="J175" i="8" s="1"/>
  <c r="J44" i="8"/>
  <c r="K201" i="8" s="1"/>
  <c r="K205" i="8" s="1"/>
  <c r="J88" i="8"/>
  <c r="J87" i="8" s="1"/>
  <c r="AU113" i="10"/>
  <c r="AU111" i="10"/>
  <c r="AU109" i="10"/>
  <c r="AU107" i="10"/>
  <c r="AU105" i="10"/>
  <c r="AU103" i="10"/>
  <c r="AU101" i="10"/>
  <c r="AU99" i="10"/>
  <c r="AU97" i="10"/>
  <c r="AU95" i="10"/>
  <c r="AU93" i="10"/>
  <c r="AU91" i="10"/>
  <c r="AU89" i="10"/>
  <c r="AU87" i="10"/>
  <c r="AU106" i="10"/>
  <c r="AU98" i="10"/>
  <c r="AU90" i="10"/>
  <c r="AU85" i="10"/>
  <c r="AU83" i="10"/>
  <c r="AU81" i="10"/>
  <c r="AU79" i="10"/>
  <c r="AU112" i="10"/>
  <c r="AU108" i="10"/>
  <c r="AU100" i="10"/>
  <c r="AU110" i="10"/>
  <c r="AU102" i="10"/>
  <c r="AU104" i="10"/>
  <c r="AU78" i="10"/>
  <c r="AU77" i="10"/>
  <c r="AU75" i="10"/>
  <c r="AU73" i="10"/>
  <c r="AU71" i="10"/>
  <c r="AU69" i="10"/>
  <c r="AU67" i="10"/>
  <c r="AU65" i="10"/>
  <c r="AU63" i="10"/>
  <c r="AU61" i="10"/>
  <c r="AU94" i="10"/>
  <c r="AU84" i="10"/>
  <c r="AU88" i="10"/>
  <c r="AU86" i="10"/>
  <c r="AU74" i="10"/>
  <c r="AU92" i="10"/>
  <c r="AU82" i="10"/>
  <c r="AU96" i="10"/>
  <c r="AU76" i="10"/>
  <c r="AU68" i="10"/>
  <c r="AU66" i="10"/>
  <c r="AU64" i="10"/>
  <c r="AU54" i="10"/>
  <c r="AU58" i="10"/>
  <c r="AU55" i="10"/>
  <c r="AU60" i="10"/>
  <c r="AU59" i="10"/>
  <c r="AU56" i="10"/>
  <c r="AU80" i="10"/>
  <c r="AU72" i="10"/>
  <c r="AU62" i="10"/>
  <c r="AU57" i="10"/>
  <c r="AU70" i="10"/>
  <c r="AV5" i="10"/>
  <c r="AT25" i="10" a="1"/>
  <c r="AT25" i="10" s="1"/>
  <c r="AT24" i="10" a="1"/>
  <c r="AT24" i="10" s="1"/>
  <c r="AT22" i="10" a="1"/>
  <c r="AT22" i="10" s="1"/>
  <c r="AT26" i="10" a="1"/>
  <c r="AT26" i="10" s="1"/>
  <c r="AT16" i="10" a="1"/>
  <c r="AT16" i="10" s="1"/>
  <c r="AT23" i="10" a="1"/>
  <c r="AT23" i="10" s="1"/>
  <c r="AT20" i="10" a="1"/>
  <c r="AT20" i="10" s="1"/>
  <c r="AT14" i="10" a="1"/>
  <c r="AT14" i="10" s="1"/>
  <c r="AT15" i="10" a="1"/>
  <c r="AT15" i="10" s="1"/>
  <c r="K74" i="8"/>
  <c r="K169" i="8"/>
  <c r="K129" i="8"/>
  <c r="K149" i="8"/>
  <c r="K42" i="8"/>
  <c r="N45" i="8"/>
  <c r="H53" i="8"/>
  <c r="H75" i="8"/>
  <c r="H76" i="8"/>
  <c r="I57" i="8"/>
  <c r="J214" i="8"/>
  <c r="J206" i="8"/>
  <c r="K151" i="8"/>
  <c r="K131" i="8"/>
  <c r="O70" i="8"/>
  <c r="O69" i="8" s="1"/>
  <c r="O67" i="8" s="1"/>
  <c r="O55" i="8"/>
  <c r="O53" i="8" s="1"/>
  <c r="H69" i="8"/>
  <c r="H67" i="8" s="1"/>
  <c r="H66" i="8" s="1"/>
  <c r="I215" i="8"/>
  <c r="J213" i="8"/>
  <c r="P17" i="8"/>
  <c r="P19" i="8" s="1"/>
  <c r="P164" i="8"/>
  <c r="P154" i="8"/>
  <c r="P145" i="8"/>
  <c r="P171" i="8"/>
  <c r="P162" i="8"/>
  <c r="P152" i="8"/>
  <c r="P143" i="8"/>
  <c r="P135" i="8"/>
  <c r="P133" i="8"/>
  <c r="P131" i="8"/>
  <c r="P129" i="8"/>
  <c r="P127" i="8"/>
  <c r="P125" i="8"/>
  <c r="P123" i="8"/>
  <c r="P169" i="8"/>
  <c r="P157" i="8"/>
  <c r="P166" i="8"/>
  <c r="P156" i="8"/>
  <c r="P147" i="8"/>
  <c r="P144" i="8"/>
  <c r="P134" i="8"/>
  <c r="P128" i="8"/>
  <c r="P92" i="8"/>
  <c r="P91" i="8" s="1"/>
  <c r="O50" i="7" s="1"/>
  <c r="P85" i="8"/>
  <c r="P48" i="8"/>
  <c r="P57" i="8" s="1"/>
  <c r="P71" i="8" s="1"/>
  <c r="P170" i="8"/>
  <c r="P163" i="8"/>
  <c r="P153" i="8"/>
  <c r="P126" i="8"/>
  <c r="P98" i="8"/>
  <c r="O54" i="7" s="1"/>
  <c r="P76" i="8"/>
  <c r="P74" i="8"/>
  <c r="P132" i="8"/>
  <c r="P124" i="8"/>
  <c r="P96" i="8"/>
  <c r="P155" i="8"/>
  <c r="P172" i="8"/>
  <c r="P165" i="8"/>
  <c r="P173" i="8"/>
  <c r="P168" i="8"/>
  <c r="P158" i="8"/>
  <c r="P189" i="8"/>
  <c r="Q185" i="8" s="1"/>
  <c r="P167" i="8"/>
  <c r="P146" i="8"/>
  <c r="P142" i="8"/>
  <c r="P137" i="8"/>
  <c r="P97" i="8"/>
  <c r="O53" i="7" s="1"/>
  <c r="P28" i="8"/>
  <c r="P151" i="8"/>
  <c r="P150" i="8"/>
  <c r="P122" i="8"/>
  <c r="P38" i="8"/>
  <c r="P130" i="8"/>
  <c r="P149" i="8"/>
  <c r="P148" i="8"/>
  <c r="P138" i="8"/>
  <c r="P175" i="8" s="1" a="1"/>
  <c r="P175" i="8" s="1"/>
  <c r="P99" i="8"/>
  <c r="O55" i="7" s="1"/>
  <c r="P136" i="8"/>
  <c r="P39" i="8"/>
  <c r="P27" i="8"/>
  <c r="P25" i="8"/>
  <c r="P16" i="8"/>
  <c r="P75" i="8"/>
  <c r="P30" i="8"/>
  <c r="P13" i="8"/>
  <c r="P35" i="8"/>
  <c r="P11" i="8"/>
  <c r="P73" i="8"/>
  <c r="P36" i="8"/>
  <c r="P33" i="8"/>
  <c r="P63" i="8" a="1"/>
  <c r="P63" i="8" s="1"/>
  <c r="P37" i="8"/>
  <c r="P31" i="8"/>
  <c r="P22" i="8"/>
  <c r="P34" i="8"/>
  <c r="P32" i="8"/>
  <c r="P29" i="8"/>
  <c r="Q5" i="8"/>
  <c r="P15" i="8"/>
  <c r="P18" i="8"/>
  <c r="P26" i="8"/>
  <c r="P12" i="8"/>
  <c r="P6" i="8"/>
  <c r="O42" i="8"/>
  <c r="P49" i="8"/>
  <c r="P56" i="8" s="1"/>
  <c r="P188" i="8"/>
  <c r="P187" i="8"/>
  <c r="K171" i="8"/>
  <c r="J172" i="8"/>
  <c r="J173" i="8" s="1"/>
  <c r="O201" i="8"/>
  <c r="O205" i="8" s="1"/>
  <c r="N44" i="8"/>
  <c r="N88" i="8"/>
  <c r="N87" i="8" s="1"/>
  <c r="N66" i="8" s="1"/>
  <c r="O43" i="8" a="1"/>
  <c r="O43" i="8" s="1"/>
  <c r="O45" i="8" s="1"/>
  <c r="O95" i="8"/>
  <c r="M215" i="8"/>
  <c r="N213" i="8"/>
  <c r="J3" i="10"/>
  <c r="K132" i="8"/>
  <c r="K152" i="8"/>
  <c r="K133" i="8"/>
  <c r="K153" i="8"/>
  <c r="O19" i="8"/>
  <c r="F180" i="8"/>
  <c r="F181" i="8"/>
  <c r="F179" i="8"/>
  <c r="J45" i="8"/>
  <c r="K48" i="8"/>
  <c r="K57" i="8" s="1"/>
  <c r="K130" i="8"/>
  <c r="K137" i="8" s="1"/>
  <c r="K138" i="8" s="1"/>
  <c r="K175" i="8" s="1" a="1"/>
  <c r="K175" i="8" s="1"/>
  <c r="K170" i="8"/>
  <c r="K150" i="8"/>
  <c r="K4" i="10"/>
  <c r="N4" i="9"/>
  <c r="M5" i="9"/>
  <c r="J157" i="8"/>
  <c r="J158" i="8" s="1"/>
  <c r="K73" i="8"/>
  <c r="N180" i="8" l="1"/>
  <c r="N179" i="8"/>
  <c r="N181" i="8"/>
  <c r="K206" i="8"/>
  <c r="K214" i="8"/>
  <c r="O29" i="7"/>
  <c r="O11" i="7" s="1"/>
  <c r="N215" i="8"/>
  <c r="O213" i="8"/>
  <c r="O214" i="8"/>
  <c r="O206" i="8"/>
  <c r="Q189" i="8"/>
  <c r="R185" i="8" s="1"/>
  <c r="Q171" i="8"/>
  <c r="Q162" i="8"/>
  <c r="Q152" i="8"/>
  <c r="Q143" i="8"/>
  <c r="Q135" i="8"/>
  <c r="Q133" i="8"/>
  <c r="Q131" i="8"/>
  <c r="Q169" i="8"/>
  <c r="Q157" i="8"/>
  <c r="Q150" i="8"/>
  <c r="Q138" i="8"/>
  <c r="Q175" i="8" s="1" a="1"/>
  <c r="Q175" i="8" s="1"/>
  <c r="Q167" i="8"/>
  <c r="Q155" i="8"/>
  <c r="Q164" i="8"/>
  <c r="Q154" i="8"/>
  <c r="Q170" i="8"/>
  <c r="Q163" i="8"/>
  <c r="Q153" i="8"/>
  <c r="Q145" i="8"/>
  <c r="Q126" i="8"/>
  <c r="Q98" i="8"/>
  <c r="Q76" i="8"/>
  <c r="Q74" i="8"/>
  <c r="Q132" i="8"/>
  <c r="Q124" i="8"/>
  <c r="Q96" i="8"/>
  <c r="Q166" i="8"/>
  <c r="Q156" i="8"/>
  <c r="Q151" i="8"/>
  <c r="Q122" i="8"/>
  <c r="Q172" i="8"/>
  <c r="Q165" i="8"/>
  <c r="Q173" i="8"/>
  <c r="Q168" i="8"/>
  <c r="Q158" i="8"/>
  <c r="Q144" i="8"/>
  <c r="Q134" i="8"/>
  <c r="Q128" i="8"/>
  <c r="Q92" i="8"/>
  <c r="Q91" i="8" s="1"/>
  <c r="Q85" i="8"/>
  <c r="Q137" i="8"/>
  <c r="Q97" i="8"/>
  <c r="Q28" i="8"/>
  <c r="Q26" i="8"/>
  <c r="Q142" i="8"/>
  <c r="Q123" i="8"/>
  <c r="Q38" i="8"/>
  <c r="Q36" i="8"/>
  <c r="Q34" i="8"/>
  <c r="Q32" i="8"/>
  <c r="Q30" i="8"/>
  <c r="Q130" i="8"/>
  <c r="Q129" i="8"/>
  <c r="Q149" i="8"/>
  <c r="Q148" i="8"/>
  <c r="Q99" i="8"/>
  <c r="Q136" i="8"/>
  <c r="Q125" i="8"/>
  <c r="Q147" i="8"/>
  <c r="Q146" i="8"/>
  <c r="Q127" i="8"/>
  <c r="Q48" i="8"/>
  <c r="Q75" i="8"/>
  <c r="Q13" i="8"/>
  <c r="Q39" i="8"/>
  <c r="Q35" i="8"/>
  <c r="Q11" i="8"/>
  <c r="Q73" i="8"/>
  <c r="Q63" i="8" a="1"/>
  <c r="Q63" i="8" s="1"/>
  <c r="Q33" i="8"/>
  <c r="Q37" i="8"/>
  <c r="Q31" i="8"/>
  <c r="Q22" i="8"/>
  <c r="Q29" i="8"/>
  <c r="Q27" i="8"/>
  <c r="Q25" i="8"/>
  <c r="Q16" i="8"/>
  <c r="R5" i="8"/>
  <c r="Q15" i="8"/>
  <c r="Q18" i="8"/>
  <c r="Q12" i="8"/>
  <c r="Q6" i="8"/>
  <c r="P55" i="8"/>
  <c r="P53" i="8" s="1"/>
  <c r="P70" i="8"/>
  <c r="P69" i="8" s="1"/>
  <c r="P67" i="8" s="1"/>
  <c r="P42" i="8"/>
  <c r="P88" i="8" s="1"/>
  <c r="Q49" i="8"/>
  <c r="Q56" i="8" s="1"/>
  <c r="J215" i="8"/>
  <c r="K213" i="8"/>
  <c r="H181" i="8"/>
  <c r="H180" i="8"/>
  <c r="H179" i="8"/>
  <c r="AV112" i="10"/>
  <c r="AV110" i="10"/>
  <c r="AV108" i="10"/>
  <c r="AV106" i="10"/>
  <c r="AV104" i="10"/>
  <c r="AV102" i="10"/>
  <c r="AV100" i="10"/>
  <c r="AV98" i="10"/>
  <c r="AV96" i="10"/>
  <c r="AV94" i="10"/>
  <c r="AV92" i="10"/>
  <c r="AV90" i="10"/>
  <c r="AV88" i="10"/>
  <c r="AV86" i="10"/>
  <c r="AV113" i="10"/>
  <c r="AV111" i="10"/>
  <c r="AV103" i="10"/>
  <c r="AV95" i="10"/>
  <c r="AV105" i="10"/>
  <c r="AV107" i="10"/>
  <c r="AV89" i="10"/>
  <c r="AV85" i="10"/>
  <c r="AV77" i="10"/>
  <c r="AV75" i="10"/>
  <c r="AV73" i="10"/>
  <c r="AV71" i="10"/>
  <c r="AV69" i="10"/>
  <c r="AV67" i="10"/>
  <c r="AV65" i="10"/>
  <c r="AV63" i="10"/>
  <c r="AV61" i="10"/>
  <c r="AV59" i="10"/>
  <c r="AV93" i="10"/>
  <c r="AV97" i="10"/>
  <c r="AV84" i="10"/>
  <c r="AV87" i="10"/>
  <c r="AV82" i="10"/>
  <c r="AV80" i="10"/>
  <c r="AV109" i="10"/>
  <c r="AV101" i="10"/>
  <c r="AV78" i="10"/>
  <c r="AV74" i="10"/>
  <c r="AV91" i="10"/>
  <c r="AV70" i="10"/>
  <c r="AV76" i="10"/>
  <c r="AV99" i="10"/>
  <c r="AV58" i="10"/>
  <c r="AV55" i="10"/>
  <c r="AV66" i="10"/>
  <c r="AV60" i="10"/>
  <c r="AV81" i="10"/>
  <c r="AV79" i="10"/>
  <c r="AV68" i="10"/>
  <c r="AV72" i="10"/>
  <c r="AV62" i="10"/>
  <c r="AV57" i="10"/>
  <c r="AV83" i="10"/>
  <c r="AV54" i="10"/>
  <c r="AV64" i="10"/>
  <c r="AV56" i="10"/>
  <c r="AW5" i="10"/>
  <c r="O44" i="8"/>
  <c r="P201" i="8" s="1"/>
  <c r="P205" i="8" s="1"/>
  <c r="O88" i="8"/>
  <c r="O87" i="8" s="1"/>
  <c r="O66" i="8" s="1"/>
  <c r="Q17" i="8"/>
  <c r="P43" i="8" a="1"/>
  <c r="P43" i="8" s="1"/>
  <c r="O32" i="7"/>
  <c r="I71" i="8"/>
  <c r="I55" i="8"/>
  <c r="O33" i="7"/>
  <c r="K3" i="10"/>
  <c r="AU23" i="10" a="1"/>
  <c r="AU23" i="10" s="1"/>
  <c r="AU22" i="10" a="1"/>
  <c r="AU22" i="10" s="1"/>
  <c r="AU24" i="10" a="1"/>
  <c r="AU24" i="10" s="1"/>
  <c r="AU16" i="10" a="1"/>
  <c r="AU16" i="10" s="1"/>
  <c r="AU15" i="10" a="1"/>
  <c r="AU15" i="10" s="1"/>
  <c r="AU26" i="10" a="1"/>
  <c r="AU26" i="10" s="1"/>
  <c r="AU20" i="10" a="1"/>
  <c r="AU20" i="10" s="1"/>
  <c r="AU25" i="10" a="1"/>
  <c r="AU25" i="10" s="1"/>
  <c r="AU14" i="10" a="1"/>
  <c r="AU14" i="10" s="1"/>
  <c r="J53" i="8"/>
  <c r="J76" i="8"/>
  <c r="J75" i="8"/>
  <c r="J69" i="8" s="1"/>
  <c r="J67" i="8" s="1"/>
  <c r="J66" i="8" s="1"/>
  <c r="K71" i="8"/>
  <c r="K55" i="8"/>
  <c r="P95" i="8"/>
  <c r="O52" i="7"/>
  <c r="Q188" i="8"/>
  <c r="Q187" i="8"/>
  <c r="O38" i="7"/>
  <c r="N5" i="9"/>
  <c r="O4" i="9"/>
  <c r="L4" i="10"/>
  <c r="L3" i="10" s="1"/>
  <c r="K44" i="8"/>
  <c r="K172" i="8"/>
  <c r="K157" i="8"/>
  <c r="K158" i="8" s="1"/>
  <c r="K88" i="8"/>
  <c r="K87" i="8" s="1"/>
  <c r="K45" i="8"/>
  <c r="L201" i="8" s="1"/>
  <c r="L205" i="8" s="1"/>
  <c r="O179" i="8" l="1"/>
  <c r="O180" i="8"/>
  <c r="O181" i="8"/>
  <c r="P206" i="8"/>
  <c r="P214" i="8"/>
  <c r="P87" i="8"/>
  <c r="O48" i="7"/>
  <c r="L214" i="8"/>
  <c r="L206" i="8"/>
  <c r="K173" i="8"/>
  <c r="K63" i="8" a="1"/>
  <c r="K63" i="8" s="1"/>
  <c r="K53" i="8" s="1"/>
  <c r="R49" i="8"/>
  <c r="R56" i="8" s="1"/>
  <c r="Q42" i="8"/>
  <c r="Q95" i="8"/>
  <c r="K75" i="8"/>
  <c r="K76" i="8"/>
  <c r="P4" i="9"/>
  <c r="M4" i="10"/>
  <c r="O5" i="9"/>
  <c r="AW112" i="10"/>
  <c r="AW110" i="10"/>
  <c r="AW108" i="10"/>
  <c r="AW106" i="10"/>
  <c r="AW104" i="10"/>
  <c r="AW102" i="10"/>
  <c r="AW100" i="10"/>
  <c r="AW98" i="10"/>
  <c r="AW96" i="10"/>
  <c r="AW94" i="10"/>
  <c r="AW92" i="10"/>
  <c r="AW90" i="10"/>
  <c r="AW88" i="10"/>
  <c r="AW113" i="10"/>
  <c r="AW111" i="10"/>
  <c r="AW103" i="10"/>
  <c r="AW95" i="10"/>
  <c r="AW87" i="10"/>
  <c r="AW105" i="10"/>
  <c r="AW97" i="10"/>
  <c r="AW107" i="10"/>
  <c r="AW109" i="10"/>
  <c r="AW99" i="10"/>
  <c r="AW91" i="10"/>
  <c r="AW83" i="10"/>
  <c r="AW84" i="10"/>
  <c r="AW82" i="10"/>
  <c r="AW86" i="10"/>
  <c r="AW101" i="10"/>
  <c r="AW89" i="10"/>
  <c r="AW85" i="10"/>
  <c r="AW77" i="10"/>
  <c r="AW75" i="10"/>
  <c r="AW73" i="10"/>
  <c r="AW71" i="10"/>
  <c r="AW80" i="10"/>
  <c r="AW79" i="10"/>
  <c r="AW72" i="10"/>
  <c r="AW57" i="10"/>
  <c r="AW55" i="10"/>
  <c r="AW78" i="10"/>
  <c r="AW76" i="10"/>
  <c r="AW93" i="10"/>
  <c r="AW74" i="10"/>
  <c r="AW67" i="10"/>
  <c r="AW65" i="10"/>
  <c r="AW66" i="10"/>
  <c r="AW60" i="10"/>
  <c r="AW81" i="10"/>
  <c r="AW68" i="10"/>
  <c r="AW59" i="10"/>
  <c r="AW70" i="10"/>
  <c r="AW64" i="10"/>
  <c r="AW56" i="10"/>
  <c r="AW69" i="10"/>
  <c r="AW63" i="10"/>
  <c r="AW61" i="10"/>
  <c r="AW54" i="10"/>
  <c r="AW58" i="10"/>
  <c r="AW62" i="10"/>
  <c r="AX5" i="10"/>
  <c r="R17" i="8"/>
  <c r="Q43" i="8" a="1"/>
  <c r="Q43" i="8" s="1"/>
  <c r="I53" i="8"/>
  <c r="I76" i="8"/>
  <c r="I75" i="8"/>
  <c r="O31" i="7"/>
  <c r="P66" i="8"/>
  <c r="P179" i="8" s="1"/>
  <c r="I69" i="8"/>
  <c r="Q70" i="8"/>
  <c r="L213" i="8"/>
  <c r="K215" i="8"/>
  <c r="O51" i="7"/>
  <c r="AV23" i="10" a="1"/>
  <c r="AV23" i="10" s="1"/>
  <c r="AV20" i="10" a="1"/>
  <c r="AV20" i="10" s="1"/>
  <c r="AV26" i="10" a="1"/>
  <c r="AV26" i="10" s="1"/>
  <c r="AV25" i="10" a="1"/>
  <c r="AV25" i="10" s="1"/>
  <c r="AV24" i="10" a="1"/>
  <c r="AV24" i="10" s="1"/>
  <c r="AV22" i="10" a="1"/>
  <c r="AV22" i="10" s="1"/>
  <c r="AV16" i="10" a="1"/>
  <c r="AV16" i="10" s="1"/>
  <c r="AV14" i="10" a="1"/>
  <c r="AV14" i="10" s="1"/>
  <c r="AV15" i="10" a="1"/>
  <c r="AV15" i="10" s="1"/>
  <c r="Q19" i="8"/>
  <c r="P44" i="8"/>
  <c r="Q201" i="8" s="1"/>
  <c r="Q205" i="8" s="1"/>
  <c r="R172" i="8"/>
  <c r="R170" i="8"/>
  <c r="R168" i="8"/>
  <c r="R166" i="8"/>
  <c r="R164" i="8"/>
  <c r="R162" i="8"/>
  <c r="R157" i="8"/>
  <c r="R155" i="8"/>
  <c r="R153" i="8"/>
  <c r="R151" i="8"/>
  <c r="R149" i="8"/>
  <c r="R147" i="8"/>
  <c r="R145" i="8"/>
  <c r="R143" i="8"/>
  <c r="R138" i="8"/>
  <c r="R175" i="8" s="1" a="1"/>
  <c r="R175" i="8" s="1"/>
  <c r="R169" i="8"/>
  <c r="R150" i="8"/>
  <c r="R167" i="8"/>
  <c r="R148" i="8"/>
  <c r="R165" i="8"/>
  <c r="R189" i="8"/>
  <c r="S185" i="8" s="1"/>
  <c r="R171" i="8"/>
  <c r="R152" i="8"/>
  <c r="R132" i="8"/>
  <c r="R124" i="8"/>
  <c r="R96" i="8"/>
  <c r="R156" i="8"/>
  <c r="R122" i="8"/>
  <c r="R135" i="8"/>
  <c r="R130" i="8"/>
  <c r="R129" i="8"/>
  <c r="R173" i="8"/>
  <c r="R158" i="8"/>
  <c r="R163" i="8"/>
  <c r="R126" i="8"/>
  <c r="R98" i="8"/>
  <c r="R76" i="8"/>
  <c r="R74" i="8"/>
  <c r="R142" i="8"/>
  <c r="R123" i="8"/>
  <c r="R38" i="8"/>
  <c r="R36" i="8"/>
  <c r="R34" i="8"/>
  <c r="R32" i="8"/>
  <c r="R30" i="8"/>
  <c r="R22" i="8"/>
  <c r="R18" i="8"/>
  <c r="R144" i="8"/>
  <c r="R134" i="8"/>
  <c r="R63" i="8" a="1"/>
  <c r="R63" i="8" s="1"/>
  <c r="R99" i="8"/>
  <c r="R75" i="8"/>
  <c r="R136" i="8"/>
  <c r="R125" i="8"/>
  <c r="R146" i="8"/>
  <c r="R154" i="8"/>
  <c r="R131" i="8"/>
  <c r="R128" i="8"/>
  <c r="R127" i="8"/>
  <c r="R137" i="8"/>
  <c r="R133" i="8"/>
  <c r="R97" i="8"/>
  <c r="R39" i="8"/>
  <c r="R35" i="8"/>
  <c r="R11" i="8"/>
  <c r="R85" i="8"/>
  <c r="R73" i="8"/>
  <c r="R48" i="8"/>
  <c r="R33" i="8"/>
  <c r="R28" i="8"/>
  <c r="R26" i="8"/>
  <c r="S5" i="8"/>
  <c r="R37" i="8"/>
  <c r="R31" i="8"/>
  <c r="R92" i="8"/>
  <c r="R91" i="8" s="1"/>
  <c r="R29" i="8"/>
  <c r="R27" i="8"/>
  <c r="R25" i="8"/>
  <c r="R43" i="8" s="1" a="1"/>
  <c r="R43" i="8" s="1"/>
  <c r="R13" i="8"/>
  <c r="R15" i="8"/>
  <c r="R16" i="8"/>
  <c r="R12" i="8"/>
  <c r="R6" i="8"/>
  <c r="Q57" i="8"/>
  <c r="Q55" i="8" s="1"/>
  <c r="R187" i="8"/>
  <c r="R188" i="8"/>
  <c r="K69" i="8"/>
  <c r="K67" i="8" s="1"/>
  <c r="K66" i="8" s="1"/>
  <c r="O16" i="7"/>
  <c r="J181" i="8"/>
  <c r="J179" i="8"/>
  <c r="J180" i="8"/>
  <c r="P45" i="8"/>
  <c r="P213" i="8"/>
  <c r="O215" i="8"/>
  <c r="Q214" i="8" l="1"/>
  <c r="Q206" i="8"/>
  <c r="Q53" i="8"/>
  <c r="K180" i="8"/>
  <c r="K179" i="8"/>
  <c r="K181" i="8"/>
  <c r="R201" i="8"/>
  <c r="R205" i="8" s="1"/>
  <c r="Q44" i="8"/>
  <c r="P215" i="8"/>
  <c r="Q213" i="8"/>
  <c r="S17" i="8"/>
  <c r="R95" i="8"/>
  <c r="R19" i="8"/>
  <c r="M3" i="10"/>
  <c r="R70" i="8"/>
  <c r="R69" i="8" s="1"/>
  <c r="R67" i="8" s="1"/>
  <c r="S167" i="8"/>
  <c r="S157" i="8"/>
  <c r="S148" i="8"/>
  <c r="S138" i="8"/>
  <c r="S175" i="8" s="1" a="1"/>
  <c r="S175" i="8" s="1"/>
  <c r="S165" i="8"/>
  <c r="S155" i="8"/>
  <c r="S146" i="8"/>
  <c r="S98" i="8"/>
  <c r="S96" i="8"/>
  <c r="S172" i="8"/>
  <c r="S163" i="8"/>
  <c r="S169" i="8"/>
  <c r="S162" i="8"/>
  <c r="S150" i="8"/>
  <c r="S156" i="8"/>
  <c r="S122" i="8"/>
  <c r="S166" i="8"/>
  <c r="S152" i="8"/>
  <c r="S151" i="8"/>
  <c r="S135" i="8"/>
  <c r="S130" i="8"/>
  <c r="S129" i="8"/>
  <c r="S127" i="8"/>
  <c r="S99" i="8"/>
  <c r="S75" i="8"/>
  <c r="S173" i="8"/>
  <c r="S158" i="8"/>
  <c r="S168" i="8"/>
  <c r="S189" i="8"/>
  <c r="T185" i="8" s="1"/>
  <c r="S171" i="8"/>
  <c r="S164" i="8"/>
  <c r="S170" i="8"/>
  <c r="S153" i="8"/>
  <c r="S145" i="8"/>
  <c r="S132" i="8"/>
  <c r="S124" i="8"/>
  <c r="S144" i="8"/>
  <c r="S134" i="8"/>
  <c r="S126" i="8"/>
  <c r="S74" i="8"/>
  <c r="S149" i="8"/>
  <c r="S136" i="8"/>
  <c r="S125" i="8"/>
  <c r="S154" i="8"/>
  <c r="S147" i="8"/>
  <c r="S131" i="8"/>
  <c r="S128" i="8"/>
  <c r="S143" i="8"/>
  <c r="S137" i="8"/>
  <c r="S133" i="8"/>
  <c r="S142" i="8"/>
  <c r="S123" i="8"/>
  <c r="S63" i="8" a="1"/>
  <c r="S63" i="8" s="1"/>
  <c r="S38" i="8"/>
  <c r="S36" i="8"/>
  <c r="S34" i="8"/>
  <c r="S85" i="8"/>
  <c r="S73" i="8"/>
  <c r="S48" i="8"/>
  <c r="S33" i="8"/>
  <c r="S30" i="8"/>
  <c r="S28" i="8"/>
  <c r="S26" i="8"/>
  <c r="T5" i="8"/>
  <c r="S97" i="8"/>
  <c r="S76" i="8"/>
  <c r="S37" i="8"/>
  <c r="S31" i="8"/>
  <c r="S15" i="8"/>
  <c r="S12" i="8"/>
  <c r="S92" i="8"/>
  <c r="S91" i="8" s="1"/>
  <c r="S29" i="8"/>
  <c r="S27" i="8"/>
  <c r="S25" i="8"/>
  <c r="S32" i="8"/>
  <c r="S39" i="8"/>
  <c r="S35" i="8"/>
  <c r="S11" i="8"/>
  <c r="S18" i="8"/>
  <c r="S16" i="8"/>
  <c r="S22" i="8"/>
  <c r="S13" i="8"/>
  <c r="S6" i="8"/>
  <c r="Q45" i="8"/>
  <c r="AX113" i="10"/>
  <c r="AX112" i="10"/>
  <c r="AX87" i="10"/>
  <c r="AX108" i="10"/>
  <c r="AX105" i="10"/>
  <c r="AX100" i="10"/>
  <c r="AX97" i="10"/>
  <c r="AX92" i="10"/>
  <c r="AX89" i="10"/>
  <c r="AX84" i="10"/>
  <c r="AX82" i="10"/>
  <c r="AX80" i="10"/>
  <c r="AX110" i="10"/>
  <c r="AX107" i="10"/>
  <c r="AX109" i="10"/>
  <c r="AX104" i="10"/>
  <c r="AX99" i="10"/>
  <c r="AX91" i="10"/>
  <c r="AX90" i="10"/>
  <c r="AX83" i="10"/>
  <c r="AX111" i="10"/>
  <c r="AX103" i="10"/>
  <c r="AX96" i="10"/>
  <c r="AX93" i="10"/>
  <c r="AX81" i="10"/>
  <c r="AX79" i="10"/>
  <c r="AX94" i="10"/>
  <c r="AX86" i="10"/>
  <c r="AX101" i="10"/>
  <c r="AX88" i="10"/>
  <c r="AX98" i="10"/>
  <c r="AX95" i="10"/>
  <c r="AX106" i="10"/>
  <c r="AX77" i="10"/>
  <c r="AX72" i="10"/>
  <c r="AX57" i="10"/>
  <c r="AX55" i="10"/>
  <c r="AX59" i="10"/>
  <c r="AX76" i="10"/>
  <c r="AX75" i="10"/>
  <c r="AX74" i="10"/>
  <c r="AX73" i="10"/>
  <c r="AX102" i="10"/>
  <c r="AX78" i="10"/>
  <c r="AX68" i="10"/>
  <c r="AX70" i="10"/>
  <c r="AX64" i="10"/>
  <c r="AX56" i="10"/>
  <c r="AX65" i="10"/>
  <c r="AX62" i="10"/>
  <c r="AX71" i="10"/>
  <c r="AX54" i="10"/>
  <c r="AX67" i="10"/>
  <c r="AX58" i="10"/>
  <c r="AX85" i="10"/>
  <c r="AX66" i="10"/>
  <c r="AX60" i="10"/>
  <c r="AX61" i="10"/>
  <c r="AX63" i="10"/>
  <c r="AX69" i="10"/>
  <c r="AY5" i="10"/>
  <c r="N4" i="10"/>
  <c r="N3" i="10" s="1"/>
  <c r="P5" i="9"/>
  <c r="Q4" i="9"/>
  <c r="Q69" i="8"/>
  <c r="O13" i="7"/>
  <c r="Q88" i="8"/>
  <c r="I67" i="8"/>
  <c r="I66" i="8" s="1"/>
  <c r="O42" i="7"/>
  <c r="P180" i="8"/>
  <c r="L215" i="8"/>
  <c r="M213" i="8"/>
  <c r="AW25" i="10" a="1"/>
  <c r="AW25" i="10" s="1"/>
  <c r="AW24" i="10" a="1"/>
  <c r="AW24" i="10" s="1"/>
  <c r="AW23" i="10" a="1"/>
  <c r="AW23" i="10" s="1"/>
  <c r="AW26" i="10" a="1"/>
  <c r="AW26" i="10" s="1"/>
  <c r="AW16" i="10" a="1"/>
  <c r="AW16" i="10" s="1"/>
  <c r="AW15" i="10" a="1"/>
  <c r="AW15" i="10" s="1"/>
  <c r="AW14" i="10" a="1"/>
  <c r="AW14" i="10" s="1"/>
  <c r="AW20" i="10" a="1"/>
  <c r="AW20" i="10" s="1"/>
  <c r="P181" i="8"/>
  <c r="O37" i="7"/>
  <c r="O47" i="7"/>
  <c r="Q71" i="8"/>
  <c r="O21" i="7"/>
  <c r="R57" i="8"/>
  <c r="R71" i="8" s="1"/>
  <c r="S188" i="8"/>
  <c r="S187" i="8"/>
  <c r="I179" i="8"/>
  <c r="I181" i="8"/>
  <c r="I180" i="8"/>
  <c r="O30" i="7"/>
  <c r="S49" i="8"/>
  <c r="S56" i="8" s="1"/>
  <c r="R42" i="8"/>
  <c r="R88" i="8" s="1"/>
  <c r="R87" i="8" s="1"/>
  <c r="O40" i="7" l="1"/>
  <c r="Q67" i="8"/>
  <c r="T49" i="8"/>
  <c r="T56" i="8" s="1"/>
  <c r="S42" i="8"/>
  <c r="S57" i="8"/>
  <c r="R66" i="8"/>
  <c r="R214" i="8"/>
  <c r="R206" i="8"/>
  <c r="R55" i="8"/>
  <c r="R45" i="8"/>
  <c r="Q87" i="8"/>
  <c r="Q5" i="9"/>
  <c r="O4" i="10"/>
  <c r="O3" i="10" s="1"/>
  <c r="R4" i="9"/>
  <c r="T165" i="8"/>
  <c r="T155" i="8"/>
  <c r="T146" i="8"/>
  <c r="T172" i="8"/>
  <c r="T163" i="8"/>
  <c r="T153" i="8"/>
  <c r="T144" i="8"/>
  <c r="T136" i="8"/>
  <c r="T134" i="8"/>
  <c r="T132" i="8"/>
  <c r="T130" i="8"/>
  <c r="T128" i="8"/>
  <c r="T126" i="8"/>
  <c r="T124" i="8"/>
  <c r="T122" i="8"/>
  <c r="T189" i="8"/>
  <c r="U185" i="8" s="1"/>
  <c r="T173" i="8"/>
  <c r="T170" i="8"/>
  <c r="T158" i="8"/>
  <c r="T167" i="8"/>
  <c r="T157" i="8"/>
  <c r="T148" i="8"/>
  <c r="T166" i="8"/>
  <c r="T152" i="8"/>
  <c r="T151" i="8"/>
  <c r="T135" i="8"/>
  <c r="T129" i="8"/>
  <c r="T127" i="8"/>
  <c r="T99" i="8"/>
  <c r="T75" i="8"/>
  <c r="T73" i="8"/>
  <c r="T169" i="8"/>
  <c r="T162" i="8"/>
  <c r="T150" i="8"/>
  <c r="T149" i="8"/>
  <c r="T137" i="8"/>
  <c r="T133" i="8"/>
  <c r="T125" i="8"/>
  <c r="T97" i="8"/>
  <c r="T168" i="8"/>
  <c r="T171" i="8"/>
  <c r="T164" i="8"/>
  <c r="T156" i="8"/>
  <c r="T96" i="8"/>
  <c r="T74" i="8"/>
  <c r="T27" i="8"/>
  <c r="T37" i="8"/>
  <c r="T154" i="8"/>
  <c r="T147" i="8"/>
  <c r="T138" i="8"/>
  <c r="T175" i="8" s="1" a="1"/>
  <c r="T175" i="8" s="1"/>
  <c r="T131" i="8"/>
  <c r="T143" i="8"/>
  <c r="T145" i="8"/>
  <c r="T98" i="8"/>
  <c r="T142" i="8"/>
  <c r="T123" i="8"/>
  <c r="T28" i="8"/>
  <c r="T26" i="8"/>
  <c r="U5" i="8"/>
  <c r="T76" i="8"/>
  <c r="T63" i="8" a="1"/>
  <c r="T63" i="8" s="1"/>
  <c r="T31" i="8"/>
  <c r="T15" i="8"/>
  <c r="T12" i="8"/>
  <c r="T36" i="8"/>
  <c r="T22" i="8"/>
  <c r="T92" i="8"/>
  <c r="T91" i="8" s="1"/>
  <c r="T29" i="8"/>
  <c r="T25" i="8"/>
  <c r="T38" i="8"/>
  <c r="T34" i="8"/>
  <c r="T32" i="8"/>
  <c r="T39" i="8"/>
  <c r="T35" i="8"/>
  <c r="T85" i="8"/>
  <c r="T48" i="8"/>
  <c r="T33" i="8"/>
  <c r="T30" i="8"/>
  <c r="T18" i="8"/>
  <c r="T16" i="8"/>
  <c r="T11" i="8"/>
  <c r="T13" i="8"/>
  <c r="T6" i="8"/>
  <c r="S95" i="8"/>
  <c r="O15" i="7"/>
  <c r="T17" i="8"/>
  <c r="S43" i="8" a="1"/>
  <c r="S43" i="8" s="1"/>
  <c r="S45" i="8" s="1"/>
  <c r="R213" i="8"/>
  <c r="Q215" i="8"/>
  <c r="O12" i="7"/>
  <c r="O56" i="7"/>
  <c r="S55" i="8"/>
  <c r="S53" i="8" s="1"/>
  <c r="S70" i="8"/>
  <c r="O20" i="7"/>
  <c r="AY112" i="10"/>
  <c r="AY110" i="10"/>
  <c r="AY108" i="10"/>
  <c r="AY106" i="10"/>
  <c r="AY104" i="10"/>
  <c r="AY102" i="10"/>
  <c r="AY100" i="10"/>
  <c r="AY98" i="10"/>
  <c r="AY96" i="10"/>
  <c r="AY94" i="10"/>
  <c r="AY92" i="10"/>
  <c r="AY90" i="10"/>
  <c r="AY88" i="10"/>
  <c r="AY86" i="10"/>
  <c r="AY105" i="10"/>
  <c r="AY97" i="10"/>
  <c r="AY89" i="10"/>
  <c r="AY84" i="10"/>
  <c r="AY82" i="10"/>
  <c r="AY80" i="10"/>
  <c r="AY78" i="10"/>
  <c r="AY113" i="10"/>
  <c r="AY107" i="10"/>
  <c r="AY99" i="10"/>
  <c r="AY109" i="10"/>
  <c r="AY111" i="10"/>
  <c r="AY103" i="10"/>
  <c r="AY93" i="10"/>
  <c r="AY81" i="10"/>
  <c r="AY79" i="10"/>
  <c r="AY76" i="10"/>
  <c r="AY74" i="10"/>
  <c r="AY72" i="10"/>
  <c r="AY70" i="10"/>
  <c r="AY68" i="10"/>
  <c r="AY66" i="10"/>
  <c r="AY64" i="10"/>
  <c r="AY62" i="10"/>
  <c r="AY101" i="10"/>
  <c r="AY87" i="10"/>
  <c r="AY95" i="10"/>
  <c r="AY85" i="10"/>
  <c r="AY91" i="10"/>
  <c r="AY83" i="10"/>
  <c r="AY59" i="10"/>
  <c r="AY73" i="10"/>
  <c r="AY77" i="10"/>
  <c r="AY56" i="10"/>
  <c r="AY65" i="10"/>
  <c r="AY69" i="10"/>
  <c r="AY63" i="10"/>
  <c r="AY61" i="10"/>
  <c r="AY75" i="10"/>
  <c r="AY67" i="10"/>
  <c r="AY58" i="10"/>
  <c r="AY60" i="10"/>
  <c r="AY55" i="10"/>
  <c r="AY57" i="10"/>
  <c r="AY71" i="10"/>
  <c r="AY54" i="10"/>
  <c r="AZ5" i="10"/>
  <c r="S201" i="8"/>
  <c r="S205" i="8" s="1"/>
  <c r="R44" i="8"/>
  <c r="AX26" i="10" a="1"/>
  <c r="AX26" i="10" s="1"/>
  <c r="AX25" i="10" a="1"/>
  <c r="AX25" i="10" s="1"/>
  <c r="AX24" i="10" a="1"/>
  <c r="AX24" i="10" s="1"/>
  <c r="AX16" i="10" a="1"/>
  <c r="AX16" i="10" s="1"/>
  <c r="AX23" i="10" a="1"/>
  <c r="AX23" i="10" s="1"/>
  <c r="AX22" i="10" a="1"/>
  <c r="AX22" i="10" s="1"/>
  <c r="AX20" i="10" a="1"/>
  <c r="AX20" i="10" s="1"/>
  <c r="AX14" i="10" a="1"/>
  <c r="AX14" i="10" s="1"/>
  <c r="AX15" i="10" a="1"/>
  <c r="AX15" i="10" s="1"/>
  <c r="T188" i="8"/>
  <c r="T187" i="8"/>
  <c r="S19" i="8"/>
  <c r="S214" i="8" l="1"/>
  <c r="S206" i="8"/>
  <c r="Q66" i="8"/>
  <c r="AZ113" i="10"/>
  <c r="AZ111" i="10"/>
  <c r="AZ109" i="10"/>
  <c r="AZ107" i="10"/>
  <c r="AZ105" i="10"/>
  <c r="AZ103" i="10"/>
  <c r="AZ101" i="10"/>
  <c r="AZ99" i="10"/>
  <c r="AZ97" i="10"/>
  <c r="AZ95" i="10"/>
  <c r="AZ93" i="10"/>
  <c r="AZ91" i="10"/>
  <c r="AZ89" i="10"/>
  <c r="AZ87" i="10"/>
  <c r="AZ108" i="10"/>
  <c r="AZ100" i="10"/>
  <c r="AZ92" i="10"/>
  <c r="AZ112" i="10"/>
  <c r="AZ110" i="10"/>
  <c r="AZ102" i="10"/>
  <c r="AZ94" i="10"/>
  <c r="AZ104" i="10"/>
  <c r="AZ106" i="10"/>
  <c r="AZ96" i="10"/>
  <c r="AZ76" i="10"/>
  <c r="AZ74" i="10"/>
  <c r="AZ72" i="10"/>
  <c r="AZ70" i="10"/>
  <c r="AZ68" i="10"/>
  <c r="AZ66" i="10"/>
  <c r="AZ64" i="10"/>
  <c r="AZ62" i="10"/>
  <c r="AZ60" i="10"/>
  <c r="AZ86" i="10"/>
  <c r="AZ82" i="10"/>
  <c r="AZ88" i="10"/>
  <c r="AZ85" i="10"/>
  <c r="AZ98" i="10"/>
  <c r="AZ90" i="10"/>
  <c r="AZ81" i="10"/>
  <c r="AZ79" i="10"/>
  <c r="AZ80" i="10"/>
  <c r="AZ61" i="10"/>
  <c r="AZ73" i="10"/>
  <c r="AZ71" i="10"/>
  <c r="AZ77" i="10"/>
  <c r="AZ84" i="10"/>
  <c r="AZ59" i="10"/>
  <c r="AZ56" i="10"/>
  <c r="AZ65" i="10"/>
  <c r="AZ69" i="10"/>
  <c r="AZ63" i="10"/>
  <c r="AZ57" i="10"/>
  <c r="AZ54" i="10"/>
  <c r="AZ83" i="10"/>
  <c r="AZ55" i="10"/>
  <c r="AZ78" i="10"/>
  <c r="AZ67" i="10"/>
  <c r="AZ58" i="10"/>
  <c r="AZ75" i="10"/>
  <c r="BA5" i="10"/>
  <c r="U187" i="8"/>
  <c r="U188" i="8"/>
  <c r="S71" i="8"/>
  <c r="O39" i="7"/>
  <c r="O18" i="7"/>
  <c r="O17" i="7" s="1"/>
  <c r="U49" i="8"/>
  <c r="U56" i="8" s="1"/>
  <c r="T42" i="8"/>
  <c r="AY24" i="10" a="1"/>
  <c r="AY24" i="10" s="1"/>
  <c r="AY23" i="10" a="1"/>
  <c r="AY23" i="10" s="1"/>
  <c r="AY25" i="10" a="1"/>
  <c r="AY25" i="10" s="1"/>
  <c r="AY16" i="10" a="1"/>
  <c r="AY16" i="10" s="1"/>
  <c r="AY15" i="10" a="1"/>
  <c r="AY15" i="10" s="1"/>
  <c r="AY22" i="10" a="1"/>
  <c r="AY22" i="10" s="1"/>
  <c r="AY26" i="10" a="1"/>
  <c r="AY26" i="10" s="1"/>
  <c r="AY20" i="10" a="1"/>
  <c r="AY20" i="10" s="1"/>
  <c r="AY14" i="10" a="1"/>
  <c r="AY14" i="10" s="1"/>
  <c r="T57" i="8"/>
  <c r="R5" i="9"/>
  <c r="S4" i="9"/>
  <c r="P4" i="10"/>
  <c r="P3" i="10" s="1"/>
  <c r="R53" i="8"/>
  <c r="S213" i="8"/>
  <c r="R215" i="8"/>
  <c r="S44" i="8"/>
  <c r="T201" i="8" s="1"/>
  <c r="T205" i="8" s="1"/>
  <c r="O22" i="7"/>
  <c r="O23" i="7" s="1"/>
  <c r="U172" i="8"/>
  <c r="U163" i="8"/>
  <c r="U153" i="8"/>
  <c r="U144" i="8"/>
  <c r="U136" i="8"/>
  <c r="U134" i="8"/>
  <c r="U132" i="8"/>
  <c r="U130" i="8"/>
  <c r="U189" i="8"/>
  <c r="V185" i="8" s="1"/>
  <c r="U173" i="8"/>
  <c r="U170" i="8"/>
  <c r="U158" i="8"/>
  <c r="U151" i="8"/>
  <c r="U142" i="8"/>
  <c r="U168" i="8"/>
  <c r="U156" i="8"/>
  <c r="U165" i="8"/>
  <c r="U155" i="8"/>
  <c r="U146" i="8"/>
  <c r="U127" i="8"/>
  <c r="U99" i="8"/>
  <c r="U75" i="8"/>
  <c r="U73" i="8"/>
  <c r="U39" i="8"/>
  <c r="U169" i="8"/>
  <c r="U162" i="8"/>
  <c r="U150" i="8"/>
  <c r="U149" i="8"/>
  <c r="U137" i="8"/>
  <c r="U133" i="8"/>
  <c r="U125" i="8"/>
  <c r="U97" i="8"/>
  <c r="U123" i="8"/>
  <c r="U171" i="8"/>
  <c r="U164" i="8"/>
  <c r="U167" i="8"/>
  <c r="U157" i="8"/>
  <c r="U166" i="8"/>
  <c r="U152" i="8"/>
  <c r="U135" i="8"/>
  <c r="U129" i="8"/>
  <c r="U122" i="8"/>
  <c r="U126" i="8"/>
  <c r="U27" i="8"/>
  <c r="U25" i="8"/>
  <c r="U96" i="8"/>
  <c r="U37" i="8"/>
  <c r="U35" i="8"/>
  <c r="U33" i="8"/>
  <c r="U31" i="8"/>
  <c r="U29" i="8"/>
  <c r="U154" i="8"/>
  <c r="U148" i="8"/>
  <c r="U147" i="8"/>
  <c r="U138" i="8"/>
  <c r="U175" i="8" s="1" a="1"/>
  <c r="U175" i="8" s="1"/>
  <c r="U131" i="8"/>
  <c r="U92" i="8"/>
  <c r="U91" i="8" s="1"/>
  <c r="U85" i="8"/>
  <c r="U143" i="8"/>
  <c r="U128" i="8"/>
  <c r="U145" i="8"/>
  <c r="U98" i="8"/>
  <c r="U124" i="8"/>
  <c r="U74" i="8"/>
  <c r="U76" i="8"/>
  <c r="U15" i="8"/>
  <c r="U12" i="8"/>
  <c r="U36" i="8"/>
  <c r="U22" i="8"/>
  <c r="U18" i="8"/>
  <c r="U38" i="8"/>
  <c r="U34" i="8"/>
  <c r="U32" i="8"/>
  <c r="U48" i="8"/>
  <c r="U30" i="8"/>
  <c r="U63" i="8" a="1"/>
  <c r="U63" i="8" s="1"/>
  <c r="U28" i="8"/>
  <c r="U26" i="8"/>
  <c r="U43" i="8" s="1" a="1"/>
  <c r="U43" i="8" s="1"/>
  <c r="V5" i="8"/>
  <c r="U16" i="8"/>
  <c r="U11" i="8"/>
  <c r="V17" i="8" s="1"/>
  <c r="U13" i="8"/>
  <c r="U6" i="8"/>
  <c r="T95" i="8"/>
  <c r="T55" i="8"/>
  <c r="T70" i="8"/>
  <c r="S88" i="8"/>
  <c r="U17" i="8"/>
  <c r="U19" i="8" s="1"/>
  <c r="S69" i="8"/>
  <c r="T19" i="8"/>
  <c r="T43" i="8" a="1"/>
  <c r="T43" i="8" s="1"/>
  <c r="T45" i="8" s="1"/>
  <c r="T206" i="8" l="1"/>
  <c r="T214" i="8"/>
  <c r="U201" i="8"/>
  <c r="U205" i="8" s="1"/>
  <c r="T44" i="8"/>
  <c r="T88" i="8"/>
  <c r="T87" i="8" s="1"/>
  <c r="T69" i="8"/>
  <c r="T67" i="8" s="1"/>
  <c r="T66" i="8" s="1"/>
  <c r="V189" i="8"/>
  <c r="W185" i="8" s="1"/>
  <c r="V173" i="8"/>
  <c r="V171" i="8"/>
  <c r="V169" i="8"/>
  <c r="V167" i="8"/>
  <c r="V165" i="8"/>
  <c r="V163" i="8"/>
  <c r="V158" i="8"/>
  <c r="V156" i="8"/>
  <c r="V154" i="8"/>
  <c r="V152" i="8"/>
  <c r="V150" i="8"/>
  <c r="V148" i="8"/>
  <c r="V146" i="8"/>
  <c r="V144" i="8"/>
  <c r="V142" i="8"/>
  <c r="V137" i="8"/>
  <c r="V170" i="8"/>
  <c r="V151" i="8"/>
  <c r="V168" i="8"/>
  <c r="V149" i="8"/>
  <c r="V166" i="8"/>
  <c r="V172" i="8"/>
  <c r="V153" i="8"/>
  <c r="V162" i="8"/>
  <c r="V133" i="8"/>
  <c r="V130" i="8"/>
  <c r="V125" i="8"/>
  <c r="V97" i="8"/>
  <c r="V123" i="8"/>
  <c r="V155" i="8"/>
  <c r="V147" i="8"/>
  <c r="V138" i="8"/>
  <c r="V175" i="8" s="1" a="1"/>
  <c r="V175" i="8" s="1"/>
  <c r="V136" i="8"/>
  <c r="V131" i="8"/>
  <c r="V92" i="8"/>
  <c r="V91" i="8" s="1"/>
  <c r="V85" i="8"/>
  <c r="V164" i="8"/>
  <c r="V157" i="8"/>
  <c r="V127" i="8"/>
  <c r="V99" i="8"/>
  <c r="V75" i="8"/>
  <c r="V73" i="8"/>
  <c r="V96" i="8"/>
  <c r="V37" i="8"/>
  <c r="V35" i="8"/>
  <c r="V33" i="8"/>
  <c r="V31" i="8"/>
  <c r="V29" i="8"/>
  <c r="V135" i="8"/>
  <c r="V129" i="8"/>
  <c r="V122" i="8"/>
  <c r="V143" i="8"/>
  <c r="V128" i="8"/>
  <c r="V76" i="8"/>
  <c r="V63" i="8" a="1"/>
  <c r="V63" i="8" s="1"/>
  <c r="V48" i="8"/>
  <c r="V39" i="8"/>
  <c r="V145" i="8"/>
  <c r="V98" i="8"/>
  <c r="V124" i="8"/>
  <c r="V132" i="8"/>
  <c r="V134" i="8"/>
  <c r="V126" i="8"/>
  <c r="V36" i="8"/>
  <c r="V22" i="8"/>
  <c r="V18" i="8"/>
  <c r="V16" i="8"/>
  <c r="V38" i="8"/>
  <c r="V34" i="8"/>
  <c r="V32" i="8"/>
  <c r="V27" i="8"/>
  <c r="V30" i="8"/>
  <c r="V28" i="8"/>
  <c r="V26" i="8"/>
  <c r="V74" i="8"/>
  <c r="V15" i="8"/>
  <c r="V12" i="8"/>
  <c r="V11" i="8"/>
  <c r="W17" i="8" s="1"/>
  <c r="V25" i="8"/>
  <c r="V13" i="8"/>
  <c r="W5" i="8"/>
  <c r="V6" i="8"/>
  <c r="V187" i="8"/>
  <c r="V188" i="8"/>
  <c r="R181" i="8"/>
  <c r="R179" i="8"/>
  <c r="R180" i="8"/>
  <c r="U70" i="8"/>
  <c r="T53" i="8"/>
  <c r="T4" i="9"/>
  <c r="Q4" i="10"/>
  <c r="Q3" i="10" s="1"/>
  <c r="S5" i="9"/>
  <c r="T71" i="8"/>
  <c r="Q180" i="8"/>
  <c r="Q179" i="8"/>
  <c r="Q181" i="8"/>
  <c r="AZ23" i="10" a="1"/>
  <c r="AZ23" i="10" s="1"/>
  <c r="AZ22" i="10" a="1"/>
  <c r="AZ22" i="10" s="1"/>
  <c r="AZ24" i="10" a="1"/>
  <c r="AZ24" i="10" s="1"/>
  <c r="AZ20" i="10" a="1"/>
  <c r="AZ20" i="10" s="1"/>
  <c r="AZ26" i="10" a="1"/>
  <c r="AZ26" i="10" s="1"/>
  <c r="AZ25" i="10" a="1"/>
  <c r="AZ25" i="10" s="1"/>
  <c r="AZ16" i="10" a="1"/>
  <c r="AZ16" i="10" s="1"/>
  <c r="AZ15" i="10" a="1"/>
  <c r="AZ15" i="10" s="1"/>
  <c r="AZ14" i="10" a="1"/>
  <c r="AZ14" i="10" s="1"/>
  <c r="U95" i="8"/>
  <c r="U42" i="8"/>
  <c r="V49" i="8"/>
  <c r="V56" i="8" s="1"/>
  <c r="U57" i="8"/>
  <c r="BA113" i="10"/>
  <c r="BA111" i="10"/>
  <c r="BA109" i="10"/>
  <c r="BA107" i="10"/>
  <c r="BA105" i="10"/>
  <c r="BA103" i="10"/>
  <c r="BA101" i="10"/>
  <c r="BA99" i="10"/>
  <c r="BA97" i="10"/>
  <c r="BA95" i="10"/>
  <c r="BA93" i="10"/>
  <c r="BA91" i="10"/>
  <c r="BA89" i="10"/>
  <c r="BA112" i="10"/>
  <c r="BA110" i="10"/>
  <c r="BA102" i="10"/>
  <c r="BA94" i="10"/>
  <c r="BA104" i="10"/>
  <c r="BA106" i="10"/>
  <c r="BA92" i="10"/>
  <c r="BA84" i="10"/>
  <c r="BA108" i="10"/>
  <c r="BA100" i="10"/>
  <c r="BA88" i="10"/>
  <c r="BA87" i="10"/>
  <c r="BA85" i="10"/>
  <c r="BA98" i="10"/>
  <c r="BA83" i="10"/>
  <c r="BA90" i="10"/>
  <c r="BA96" i="10"/>
  <c r="BA76" i="10"/>
  <c r="BA74" i="10"/>
  <c r="BA72" i="10"/>
  <c r="BA79" i="10"/>
  <c r="BA61" i="10"/>
  <c r="BA81" i="10"/>
  <c r="BA78" i="10"/>
  <c r="BA75" i="10"/>
  <c r="BA70" i="10"/>
  <c r="BA69" i="10"/>
  <c r="BA60" i="10"/>
  <c r="BA58" i="10"/>
  <c r="BA56" i="10"/>
  <c r="BA54" i="10"/>
  <c r="BA82" i="10"/>
  <c r="BA77" i="10"/>
  <c r="BA86" i="10"/>
  <c r="BA80" i="10"/>
  <c r="BA65" i="10"/>
  <c r="BA64" i="10"/>
  <c r="BA63" i="10"/>
  <c r="BA73" i="10"/>
  <c r="BA62" i="10"/>
  <c r="BA57" i="10"/>
  <c r="BA71" i="10"/>
  <c r="BA67" i="10"/>
  <c r="BA55" i="10"/>
  <c r="BA66" i="10"/>
  <c r="BA68" i="10"/>
  <c r="BA59" i="10"/>
  <c r="BB5" i="10"/>
  <c r="S67" i="8"/>
  <c r="S87" i="8"/>
  <c r="V19" i="8"/>
  <c r="S215" i="8"/>
  <c r="T213" i="8"/>
  <c r="T180" i="8" l="1"/>
  <c r="T181" i="8"/>
  <c r="T179" i="8"/>
  <c r="S66" i="8"/>
  <c r="V70" i="8"/>
  <c r="W173" i="8"/>
  <c r="W189" i="8"/>
  <c r="X185" i="8" s="1"/>
  <c r="W168" i="8"/>
  <c r="W158" i="8"/>
  <c r="W149" i="8"/>
  <c r="W142" i="8"/>
  <c r="W166" i="8"/>
  <c r="W156" i="8"/>
  <c r="W147" i="8"/>
  <c r="W137" i="8"/>
  <c r="W99" i="8"/>
  <c r="W97" i="8"/>
  <c r="W164" i="8"/>
  <c r="W154" i="8"/>
  <c r="W170" i="8"/>
  <c r="W163" i="8"/>
  <c r="W151" i="8"/>
  <c r="W169" i="8"/>
  <c r="W150" i="8"/>
  <c r="W123" i="8"/>
  <c r="W155" i="8"/>
  <c r="W138" i="8"/>
  <c r="W175" i="8" s="1" a="1"/>
  <c r="W175" i="8" s="1"/>
  <c r="W136" i="8"/>
  <c r="W131" i="8"/>
  <c r="W92" i="8"/>
  <c r="W91" i="8" s="1"/>
  <c r="W85" i="8"/>
  <c r="W172" i="8"/>
  <c r="W165" i="8"/>
  <c r="W148" i="8"/>
  <c r="W143" i="8"/>
  <c r="W128" i="8"/>
  <c r="W76" i="8"/>
  <c r="W74" i="8"/>
  <c r="W171" i="8"/>
  <c r="W157" i="8"/>
  <c r="W167" i="8"/>
  <c r="W162" i="8"/>
  <c r="W133" i="8"/>
  <c r="W130" i="8"/>
  <c r="W125" i="8"/>
  <c r="W135" i="8"/>
  <c r="W129" i="8"/>
  <c r="W122" i="8"/>
  <c r="W63" i="8" a="1"/>
  <c r="W63" i="8" s="1"/>
  <c r="W153" i="8"/>
  <c r="W152" i="8"/>
  <c r="W75" i="8"/>
  <c r="W48" i="8"/>
  <c r="W39" i="8"/>
  <c r="W145" i="8"/>
  <c r="W98" i="8"/>
  <c r="W73" i="8"/>
  <c r="W146" i="8"/>
  <c r="W124" i="8"/>
  <c r="W132" i="8"/>
  <c r="W127" i="8"/>
  <c r="W134" i="8"/>
  <c r="W126" i="8"/>
  <c r="W144" i="8"/>
  <c r="W96" i="8"/>
  <c r="W37" i="8"/>
  <c r="W35" i="8"/>
  <c r="W31" i="8"/>
  <c r="W18" i="8"/>
  <c r="W16" i="8"/>
  <c r="W38" i="8"/>
  <c r="W34" i="8"/>
  <c r="W32" i="8"/>
  <c r="W29" i="8"/>
  <c r="W25" i="8"/>
  <c r="W13" i="8"/>
  <c r="W27" i="8"/>
  <c r="W30" i="8"/>
  <c r="W28" i="8"/>
  <c r="W26" i="8"/>
  <c r="W33" i="8"/>
  <c r="W36" i="8"/>
  <c r="W22" i="8"/>
  <c r="W11" i="8"/>
  <c r="X17" i="8" s="1"/>
  <c r="W12" i="8"/>
  <c r="X5" i="8"/>
  <c r="W15" i="8"/>
  <c r="W6" i="8"/>
  <c r="U206" i="8"/>
  <c r="U214" i="8"/>
  <c r="BB112" i="10"/>
  <c r="BB113" i="10"/>
  <c r="BB110" i="10"/>
  <c r="BB102" i="10"/>
  <c r="BB94" i="10"/>
  <c r="BB107" i="10"/>
  <c r="BB99" i="10"/>
  <c r="BB91" i="10"/>
  <c r="BB88" i="10"/>
  <c r="BB85" i="10"/>
  <c r="BB83" i="10"/>
  <c r="BB81" i="10"/>
  <c r="BB79" i="10"/>
  <c r="BB104" i="10"/>
  <c r="BB96" i="10"/>
  <c r="BB109" i="10"/>
  <c r="BB106" i="10"/>
  <c r="BB111" i="10"/>
  <c r="BB103" i="10"/>
  <c r="BB108" i="10"/>
  <c r="BB92" i="10"/>
  <c r="BB84" i="10"/>
  <c r="BB86" i="10"/>
  <c r="BB82" i="10"/>
  <c r="BB80" i="10"/>
  <c r="BB101" i="10"/>
  <c r="BB98" i="10"/>
  <c r="BB97" i="10"/>
  <c r="BB105" i="10"/>
  <c r="BB95" i="10"/>
  <c r="BB90" i="10"/>
  <c r="BB89" i="10"/>
  <c r="BB93" i="10"/>
  <c r="BB78" i="10"/>
  <c r="BB75" i="10"/>
  <c r="BB70" i="10"/>
  <c r="BB69" i="10"/>
  <c r="BB60" i="10"/>
  <c r="BB58" i="10"/>
  <c r="BB56" i="10"/>
  <c r="BB54" i="10"/>
  <c r="BB63" i="10"/>
  <c r="BB62" i="10"/>
  <c r="BB100" i="10"/>
  <c r="BB87" i="10"/>
  <c r="BB77" i="10"/>
  <c r="BB74" i="10"/>
  <c r="BB72" i="10"/>
  <c r="BB61" i="10"/>
  <c r="BB64" i="10"/>
  <c r="BB76" i="10"/>
  <c r="BB73" i="10"/>
  <c r="BB57" i="10"/>
  <c r="BB71" i="10"/>
  <c r="BB67" i="10"/>
  <c r="BB66" i="10"/>
  <c r="BB68" i="10"/>
  <c r="BB59" i="10"/>
  <c r="BB65" i="10"/>
  <c r="BB55" i="10"/>
  <c r="BC5" i="10"/>
  <c r="BA22" i="10" a="1"/>
  <c r="BA22" i="10" s="1"/>
  <c r="BA23" i="10" a="1"/>
  <c r="BA23" i="10" s="1"/>
  <c r="BA26" i="10" a="1"/>
  <c r="BA26" i="10" s="1"/>
  <c r="BA25" i="10" a="1"/>
  <c r="BA25" i="10" s="1"/>
  <c r="BA24" i="10" a="1"/>
  <c r="BA24" i="10" s="1"/>
  <c r="BA16" i="10" a="1"/>
  <c r="BA16" i="10" s="1"/>
  <c r="BA20" i="10" a="1"/>
  <c r="BA20" i="10" s="1"/>
  <c r="BA15" i="10" a="1"/>
  <c r="BA15" i="10" s="1"/>
  <c r="BA14" i="10" a="1"/>
  <c r="BA14" i="10" s="1"/>
  <c r="U44" i="8"/>
  <c r="U88" i="8"/>
  <c r="U45" i="8"/>
  <c r="V201" i="8" s="1"/>
  <c r="V205" i="8" s="1"/>
  <c r="U71" i="8"/>
  <c r="U69" i="8" s="1"/>
  <c r="R4" i="10"/>
  <c r="R3" i="10" s="1"/>
  <c r="U4" i="9"/>
  <c r="T5" i="9"/>
  <c r="V42" i="8"/>
  <c r="V88" i="8" s="1"/>
  <c r="V87" i="8" s="1"/>
  <c r="W49" i="8"/>
  <c r="W56" i="8" s="1"/>
  <c r="V43" i="8" a="1"/>
  <c r="V43" i="8" s="1"/>
  <c r="V57" i="8"/>
  <c r="V55" i="8" s="1"/>
  <c r="V53" i="8" s="1"/>
  <c r="T215" i="8"/>
  <c r="U213" i="8"/>
  <c r="W19" i="8"/>
  <c r="W188" i="8"/>
  <c r="W187" i="8"/>
  <c r="U55" i="8"/>
  <c r="V95" i="8"/>
  <c r="V214" i="8" l="1"/>
  <c r="V206" i="8"/>
  <c r="U67" i="8"/>
  <c r="V45" i="8"/>
  <c r="W95" i="8"/>
  <c r="W70" i="8"/>
  <c r="S4" i="10"/>
  <c r="S3" i="10" s="1"/>
  <c r="V4" i="9"/>
  <c r="U5" i="9"/>
  <c r="BB26" i="10" a="1"/>
  <c r="BB26" i="10" s="1"/>
  <c r="BB22" i="10" a="1"/>
  <c r="BB22" i="10" s="1"/>
  <c r="BB16" i="10" a="1"/>
  <c r="BB16" i="10" s="1"/>
  <c r="BB25" i="10" a="1"/>
  <c r="BB25" i="10" s="1"/>
  <c r="BB24" i="10" a="1"/>
  <c r="BB24" i="10" s="1"/>
  <c r="BB23" i="10" a="1"/>
  <c r="BB23" i="10" s="1"/>
  <c r="BB15" i="10" a="1"/>
  <c r="BB15" i="10" s="1"/>
  <c r="BB14" i="10" a="1"/>
  <c r="BB14" i="10" s="1"/>
  <c r="BB20" i="10" a="1"/>
  <c r="BB20" i="10" s="1"/>
  <c r="X189" i="8"/>
  <c r="Y185" i="8" s="1"/>
  <c r="X173" i="8"/>
  <c r="X166" i="8"/>
  <c r="X156" i="8"/>
  <c r="X147" i="8"/>
  <c r="X137" i="8"/>
  <c r="X164" i="8"/>
  <c r="X154" i="8"/>
  <c r="X145" i="8"/>
  <c r="X135" i="8"/>
  <c r="X133" i="8"/>
  <c r="X131" i="8"/>
  <c r="X129" i="8"/>
  <c r="X127" i="8"/>
  <c r="X125" i="8"/>
  <c r="X123" i="8"/>
  <c r="X171" i="8"/>
  <c r="X162" i="8"/>
  <c r="X168" i="8"/>
  <c r="X158" i="8"/>
  <c r="X149" i="8"/>
  <c r="X155" i="8"/>
  <c r="X138" i="8"/>
  <c r="X175" i="8" s="1" a="1"/>
  <c r="X175" i="8" s="1"/>
  <c r="X136" i="8"/>
  <c r="X92" i="8"/>
  <c r="X91" i="8" s="1"/>
  <c r="X85" i="8"/>
  <c r="X48" i="8"/>
  <c r="X57" i="8" s="1"/>
  <c r="X71" i="8" s="1"/>
  <c r="X172" i="8"/>
  <c r="X165" i="8"/>
  <c r="X148" i="8"/>
  <c r="X143" i="8"/>
  <c r="X128" i="8"/>
  <c r="X76" i="8"/>
  <c r="X74" i="8"/>
  <c r="X142" i="8"/>
  <c r="X134" i="8"/>
  <c r="X126" i="8"/>
  <c r="X98" i="8"/>
  <c r="X157" i="8"/>
  <c r="X167" i="8"/>
  <c r="X170" i="8"/>
  <c r="X163" i="8"/>
  <c r="X169" i="8"/>
  <c r="X151" i="8"/>
  <c r="X150" i="8"/>
  <c r="X97" i="8"/>
  <c r="X153" i="8"/>
  <c r="X152" i="8"/>
  <c r="X75" i="8"/>
  <c r="X39" i="8"/>
  <c r="X130" i="8"/>
  <c r="X99" i="8"/>
  <c r="X73" i="8"/>
  <c r="X28" i="8"/>
  <c r="X146" i="8"/>
  <c r="X124" i="8"/>
  <c r="X38" i="8"/>
  <c r="X132" i="8"/>
  <c r="X144" i="8"/>
  <c r="X122" i="8"/>
  <c r="X63" i="8" a="1"/>
  <c r="X63" i="8" s="1"/>
  <c r="X16" i="8"/>
  <c r="X37" i="8"/>
  <c r="X34" i="8"/>
  <c r="X32" i="8"/>
  <c r="X29" i="8"/>
  <c r="X25" i="8"/>
  <c r="X13" i="8"/>
  <c r="X27" i="8"/>
  <c r="X11" i="8"/>
  <c r="Y17" i="8" s="1"/>
  <c r="X30" i="8"/>
  <c r="X26" i="8"/>
  <c r="X43" i="8" s="1" a="1"/>
  <c r="X43" i="8" s="1"/>
  <c r="X35" i="8"/>
  <c r="X33" i="8"/>
  <c r="X96" i="8"/>
  <c r="X36" i="8"/>
  <c r="X22" i="8"/>
  <c r="X31" i="8"/>
  <c r="X18" i="8"/>
  <c r="X19" i="8" s="1"/>
  <c r="X12" i="8"/>
  <c r="Y5" i="8"/>
  <c r="X15" i="8"/>
  <c r="X6" i="8"/>
  <c r="U215" i="8"/>
  <c r="V213" i="8"/>
  <c r="X187" i="8"/>
  <c r="X188" i="8"/>
  <c r="W57" i="8"/>
  <c r="V44" i="8"/>
  <c r="W201" i="8" s="1"/>
  <c r="W205" i="8" s="1"/>
  <c r="U53" i="8"/>
  <c r="W42" i="8"/>
  <c r="X49" i="8"/>
  <c r="X56" i="8" s="1"/>
  <c r="W43" i="8" a="1"/>
  <c r="W43" i="8" s="1"/>
  <c r="U87" i="8"/>
  <c r="BC113" i="10"/>
  <c r="BC111" i="10"/>
  <c r="BC109" i="10"/>
  <c r="BC107" i="10"/>
  <c r="BC105" i="10"/>
  <c r="BC103" i="10"/>
  <c r="BC101" i="10"/>
  <c r="BC99" i="10"/>
  <c r="BC97" i="10"/>
  <c r="BC95" i="10"/>
  <c r="BC93" i="10"/>
  <c r="BC91" i="10"/>
  <c r="BC89" i="10"/>
  <c r="BC87" i="10"/>
  <c r="BC112" i="10"/>
  <c r="BC88" i="10"/>
  <c r="BC85" i="10"/>
  <c r="BC83" i="10"/>
  <c r="BC81" i="10"/>
  <c r="BC79" i="10"/>
  <c r="BC104" i="10"/>
  <c r="BC96" i="10"/>
  <c r="BC86" i="10"/>
  <c r="BC106" i="10"/>
  <c r="BC108" i="10"/>
  <c r="BC82" i="10"/>
  <c r="BC80" i="10"/>
  <c r="BC102" i="10"/>
  <c r="BC100" i="10"/>
  <c r="BC78" i="10"/>
  <c r="BC77" i="10"/>
  <c r="BC75" i="10"/>
  <c r="BC73" i="10"/>
  <c r="BC71" i="10"/>
  <c r="BC69" i="10"/>
  <c r="BC67" i="10"/>
  <c r="BC65" i="10"/>
  <c r="BC63" i="10"/>
  <c r="BC61" i="10"/>
  <c r="BC94" i="10"/>
  <c r="BC90" i="10"/>
  <c r="BC110" i="10"/>
  <c r="BC92" i="10"/>
  <c r="BC84" i="10"/>
  <c r="BC62" i="10"/>
  <c r="BC68" i="10"/>
  <c r="BC66" i="10"/>
  <c r="BC64" i="10"/>
  <c r="BC98" i="10"/>
  <c r="BC74" i="10"/>
  <c r="BC70" i="10"/>
  <c r="BC76" i="10"/>
  <c r="BC57" i="10"/>
  <c r="BC54" i="10"/>
  <c r="BC58" i="10"/>
  <c r="BC55" i="10"/>
  <c r="BC60" i="10"/>
  <c r="BC59" i="10"/>
  <c r="BC56" i="10"/>
  <c r="BC72" i="10"/>
  <c r="BD5" i="10"/>
  <c r="V71" i="8"/>
  <c r="V69" i="8" s="1"/>
  <c r="S180" i="8"/>
  <c r="S179" i="8"/>
  <c r="S181" i="8"/>
  <c r="V67" i="8" l="1"/>
  <c r="V66" i="8" s="1"/>
  <c r="W206" i="8"/>
  <c r="W214" i="8"/>
  <c r="Y189" i="8"/>
  <c r="Z185" i="8" s="1"/>
  <c r="Y164" i="8"/>
  <c r="Y154" i="8"/>
  <c r="Y145" i="8"/>
  <c r="Y135" i="8"/>
  <c r="Y133" i="8"/>
  <c r="Y131" i="8"/>
  <c r="Y171" i="8"/>
  <c r="Y162" i="8"/>
  <c r="Y152" i="8"/>
  <c r="Y143" i="8"/>
  <c r="Y169" i="8"/>
  <c r="Y157" i="8"/>
  <c r="Y173" i="8"/>
  <c r="Y166" i="8"/>
  <c r="Y156" i="8"/>
  <c r="Y147" i="8"/>
  <c r="Y172" i="8"/>
  <c r="Y165" i="8"/>
  <c r="Y149" i="8"/>
  <c r="Y148" i="8"/>
  <c r="Y137" i="8"/>
  <c r="Y128" i="8"/>
  <c r="Y76" i="8"/>
  <c r="Y74" i="8"/>
  <c r="Y142" i="8"/>
  <c r="Y134" i="8"/>
  <c r="Y126" i="8"/>
  <c r="Y98" i="8"/>
  <c r="Y168" i="8"/>
  <c r="Y158" i="8"/>
  <c r="Y146" i="8"/>
  <c r="Y144" i="8"/>
  <c r="Y124" i="8"/>
  <c r="Y96" i="8"/>
  <c r="Y167" i="8"/>
  <c r="Y170" i="8"/>
  <c r="Y163" i="8"/>
  <c r="Y155" i="8"/>
  <c r="Y138" i="8"/>
  <c r="Y175" i="8" s="1" a="1"/>
  <c r="Y175" i="8" s="1"/>
  <c r="Y136" i="8"/>
  <c r="Y123" i="8"/>
  <c r="Y92" i="8"/>
  <c r="Y91" i="8" s="1"/>
  <c r="Y85" i="8"/>
  <c r="Y130" i="8"/>
  <c r="Y99" i="8"/>
  <c r="Y73" i="8"/>
  <c r="Y48" i="8"/>
  <c r="Y28" i="8"/>
  <c r="Y26" i="8"/>
  <c r="Y151" i="8"/>
  <c r="Y150" i="8"/>
  <c r="Y125" i="8"/>
  <c r="Y38" i="8"/>
  <c r="Y36" i="8"/>
  <c r="Y34" i="8"/>
  <c r="Y32" i="8"/>
  <c r="Y30" i="8"/>
  <c r="Y132" i="8"/>
  <c r="Y127" i="8"/>
  <c r="Y122" i="8"/>
  <c r="Y153" i="8"/>
  <c r="Y129" i="8"/>
  <c r="Y75" i="8"/>
  <c r="Y39" i="8"/>
  <c r="Y37" i="8"/>
  <c r="Y29" i="8"/>
  <c r="Y25" i="8"/>
  <c r="Y13" i="8"/>
  <c r="Y97" i="8"/>
  <c r="Y27" i="8"/>
  <c r="Y11" i="8"/>
  <c r="Y63" i="8" a="1"/>
  <c r="Y63" i="8" s="1"/>
  <c r="Y35" i="8"/>
  <c r="Y33" i="8"/>
  <c r="Y22" i="8"/>
  <c r="Y31" i="8"/>
  <c r="Y16" i="8"/>
  <c r="Y12" i="8"/>
  <c r="Z5" i="8"/>
  <c r="Y15" i="8"/>
  <c r="Y18" i="8"/>
  <c r="Y19" i="8" s="1"/>
  <c r="Y6" i="8"/>
  <c r="U181" i="8"/>
  <c r="U180" i="8"/>
  <c r="T4" i="10"/>
  <c r="T3" i="10" s="1"/>
  <c r="V5" i="9"/>
  <c r="W4" i="9"/>
  <c r="U66" i="8"/>
  <c r="U179" i="8" s="1"/>
  <c r="BC25" i="10" a="1"/>
  <c r="BC25" i="10" s="1"/>
  <c r="BC24" i="10" a="1"/>
  <c r="BC24" i="10" s="1"/>
  <c r="BC26" i="10" a="1"/>
  <c r="BC26" i="10" s="1"/>
  <c r="BC16" i="10" a="1"/>
  <c r="BC16" i="10" s="1"/>
  <c r="BC15" i="10" a="1"/>
  <c r="BC15" i="10" s="1"/>
  <c r="BC23" i="10" a="1"/>
  <c r="BC23" i="10" s="1"/>
  <c r="BC22" i="10" a="1"/>
  <c r="BC22" i="10" s="1"/>
  <c r="BC14" i="10" a="1"/>
  <c r="BC14" i="10" s="1"/>
  <c r="BC20" i="10" a="1"/>
  <c r="BC20" i="10" s="1"/>
  <c r="Y188" i="8"/>
  <c r="Y187" i="8"/>
  <c r="BD112" i="10"/>
  <c r="BD110" i="10"/>
  <c r="BD108" i="10"/>
  <c r="BD106" i="10"/>
  <c r="BD104" i="10"/>
  <c r="BD102" i="10"/>
  <c r="BD100" i="10"/>
  <c r="BD98" i="10"/>
  <c r="BD96" i="10"/>
  <c r="BD94" i="10"/>
  <c r="BD92" i="10"/>
  <c r="BD90" i="10"/>
  <c r="BD88" i="10"/>
  <c r="BD86" i="10"/>
  <c r="BD113" i="10"/>
  <c r="BD107" i="10"/>
  <c r="BD99" i="10"/>
  <c r="BD91" i="10"/>
  <c r="BD109" i="10"/>
  <c r="BD101" i="10"/>
  <c r="BD111" i="10"/>
  <c r="BD103" i="10"/>
  <c r="BD105" i="10"/>
  <c r="BD78" i="10"/>
  <c r="BD77" i="10"/>
  <c r="BD75" i="10"/>
  <c r="BD73" i="10"/>
  <c r="BD71" i="10"/>
  <c r="BD69" i="10"/>
  <c r="BD67" i="10"/>
  <c r="BD65" i="10"/>
  <c r="BD63" i="10"/>
  <c r="BD61" i="10"/>
  <c r="BD59" i="10"/>
  <c r="BD87" i="10"/>
  <c r="BD95" i="10"/>
  <c r="BD83" i="10"/>
  <c r="BD89" i="10"/>
  <c r="BD81" i="10"/>
  <c r="BD93" i="10"/>
  <c r="BD82" i="10"/>
  <c r="BD80" i="10"/>
  <c r="BD68" i="10"/>
  <c r="BD66" i="10"/>
  <c r="BD64" i="10"/>
  <c r="BD76" i="10"/>
  <c r="BD97" i="10"/>
  <c r="BD85" i="10"/>
  <c r="BD84" i="10"/>
  <c r="BD79" i="10"/>
  <c r="BD62" i="10"/>
  <c r="BD74" i="10"/>
  <c r="BD70" i="10"/>
  <c r="BD54" i="10"/>
  <c r="BD58" i="10"/>
  <c r="BD55" i="10"/>
  <c r="BD72" i="10"/>
  <c r="BD56" i="10"/>
  <c r="BD57" i="10"/>
  <c r="BD60" i="10"/>
  <c r="BE5" i="10"/>
  <c r="W71" i="8"/>
  <c r="W69" i="8" s="1"/>
  <c r="V215" i="8"/>
  <c r="W213" i="8"/>
  <c r="X70" i="8"/>
  <c r="X69" i="8" s="1"/>
  <c r="X67" i="8" s="1"/>
  <c r="X55" i="8"/>
  <c r="X53" i="8" s="1"/>
  <c r="W55" i="8"/>
  <c r="W44" i="8"/>
  <c r="X201" i="8" s="1"/>
  <c r="X205" i="8" s="1"/>
  <c r="W88" i="8"/>
  <c r="W45" i="8"/>
  <c r="X95" i="8"/>
  <c r="X42" i="8"/>
  <c r="Y49" i="8"/>
  <c r="Y56" i="8" s="1"/>
  <c r="W67" i="8" l="1"/>
  <c r="X206" i="8"/>
  <c r="X214" i="8"/>
  <c r="W53" i="8"/>
  <c r="Y95" i="8"/>
  <c r="X44" i="8"/>
  <c r="X88" i="8"/>
  <c r="X87" i="8" s="1"/>
  <c r="Z172" i="8"/>
  <c r="Z170" i="8"/>
  <c r="Z168" i="8"/>
  <c r="Z166" i="8"/>
  <c r="Z164" i="8"/>
  <c r="Z162" i="8"/>
  <c r="Z157" i="8"/>
  <c r="Z155" i="8"/>
  <c r="Z153" i="8"/>
  <c r="Z151" i="8"/>
  <c r="Z149" i="8"/>
  <c r="Z147" i="8"/>
  <c r="Z145" i="8"/>
  <c r="Z143" i="8"/>
  <c r="Z138" i="8"/>
  <c r="Z175" i="8" s="1" a="1"/>
  <c r="Z175" i="8" s="1"/>
  <c r="Z189" i="8"/>
  <c r="AA185" i="8" s="1"/>
  <c r="Z171" i="8"/>
  <c r="Z152" i="8"/>
  <c r="Z169" i="8"/>
  <c r="Z150" i="8"/>
  <c r="Z167" i="8"/>
  <c r="Z154" i="8"/>
  <c r="Z142" i="8"/>
  <c r="Z134" i="8"/>
  <c r="Z131" i="8"/>
  <c r="Z126" i="8"/>
  <c r="Z98" i="8"/>
  <c r="Z158" i="8"/>
  <c r="Z146" i="8"/>
  <c r="Z144" i="8"/>
  <c r="Z124" i="8"/>
  <c r="Z96" i="8"/>
  <c r="Z173" i="8"/>
  <c r="Z132" i="8"/>
  <c r="Z122" i="8"/>
  <c r="Z163" i="8"/>
  <c r="Z156" i="8"/>
  <c r="Z165" i="8"/>
  <c r="Z148" i="8"/>
  <c r="Z137" i="8"/>
  <c r="Z128" i="8"/>
  <c r="Z76" i="8"/>
  <c r="Z74" i="8"/>
  <c r="Z125" i="8"/>
  <c r="Z38" i="8"/>
  <c r="Z36" i="8"/>
  <c r="Z34" i="8"/>
  <c r="Z32" i="8"/>
  <c r="Z30" i="8"/>
  <c r="Z22" i="8"/>
  <c r="Z18" i="8"/>
  <c r="Z136" i="8"/>
  <c r="Z92" i="8"/>
  <c r="Z91" i="8" s="1"/>
  <c r="Z85" i="8"/>
  <c r="Z127" i="8"/>
  <c r="Z133" i="8"/>
  <c r="Z123" i="8"/>
  <c r="Z129" i="8"/>
  <c r="Z135" i="8"/>
  <c r="Z130" i="8"/>
  <c r="Z99" i="8"/>
  <c r="Z73" i="8"/>
  <c r="Z48" i="8"/>
  <c r="Z97" i="8"/>
  <c r="Z27" i="8"/>
  <c r="Z11" i="8"/>
  <c r="Z63" i="8" a="1"/>
  <c r="Z63" i="8" s="1"/>
  <c r="AA5" i="8"/>
  <c r="Z35" i="8"/>
  <c r="Z33" i="8"/>
  <c r="Z28" i="8"/>
  <c r="Z39" i="8"/>
  <c r="Z31" i="8"/>
  <c r="Z75" i="8"/>
  <c r="Z37" i="8"/>
  <c r="Z29" i="8"/>
  <c r="Z25" i="8"/>
  <c r="Z43" i="8" s="1" a="1"/>
  <c r="Z43" i="8" s="1"/>
  <c r="Z13" i="8"/>
  <c r="Z12" i="8"/>
  <c r="Z15" i="8"/>
  <c r="Z26" i="8"/>
  <c r="Z16" i="8"/>
  <c r="Z6" i="8"/>
  <c r="Z17" i="8"/>
  <c r="X213" i="8"/>
  <c r="W215" i="8"/>
  <c r="Y57" i="8"/>
  <c r="Z187" i="8"/>
  <c r="Z188" i="8"/>
  <c r="BE112" i="10"/>
  <c r="BE110" i="10"/>
  <c r="BE108" i="10"/>
  <c r="BE106" i="10"/>
  <c r="BE104" i="10"/>
  <c r="BE102" i="10"/>
  <c r="BE100" i="10"/>
  <c r="BE98" i="10"/>
  <c r="BE96" i="10"/>
  <c r="BE94" i="10"/>
  <c r="BE92" i="10"/>
  <c r="BE90" i="10"/>
  <c r="BE88" i="10"/>
  <c r="BE113" i="10"/>
  <c r="BE86" i="10"/>
  <c r="BE109" i="10"/>
  <c r="BE101" i="10"/>
  <c r="BE93" i="10"/>
  <c r="BE111" i="10"/>
  <c r="BE105" i="10"/>
  <c r="BE103" i="10"/>
  <c r="BE87" i="10"/>
  <c r="BE107" i="10"/>
  <c r="BE97" i="10"/>
  <c r="BE85" i="10"/>
  <c r="BE83" i="10"/>
  <c r="BE89" i="10"/>
  <c r="BE84" i="10"/>
  <c r="BE91" i="10"/>
  <c r="BE99" i="10"/>
  <c r="BE78" i="10"/>
  <c r="BE77" i="10"/>
  <c r="BE75" i="10"/>
  <c r="BE73" i="10"/>
  <c r="BE71" i="10"/>
  <c r="BE81" i="10"/>
  <c r="BE76" i="10"/>
  <c r="BE63" i="10"/>
  <c r="BE67" i="10"/>
  <c r="BE65" i="10"/>
  <c r="BE57" i="10"/>
  <c r="BE55" i="10"/>
  <c r="BE95" i="10"/>
  <c r="BE82" i="10"/>
  <c r="BE72" i="10"/>
  <c r="BE80" i="10"/>
  <c r="BE79" i="10"/>
  <c r="BE69" i="10"/>
  <c r="BE68" i="10"/>
  <c r="BE66" i="10"/>
  <c r="BE64" i="10"/>
  <c r="BE70" i="10"/>
  <c r="BE54" i="10"/>
  <c r="BE62" i="10"/>
  <c r="BE58" i="10"/>
  <c r="BE61" i="10"/>
  <c r="BE60" i="10"/>
  <c r="BE56" i="10"/>
  <c r="BE74" i="10"/>
  <c r="BE59" i="10"/>
  <c r="BF5" i="10"/>
  <c r="X45" i="8"/>
  <c r="Y201" i="8" s="1"/>
  <c r="Y205" i="8" s="1"/>
  <c r="BD24" i="10" a="1"/>
  <c r="BD24" i="10" s="1"/>
  <c r="BD23" i="10" a="1"/>
  <c r="BD23" i="10" s="1"/>
  <c r="BD25" i="10" a="1"/>
  <c r="BD25" i="10" s="1"/>
  <c r="BD26" i="10" a="1"/>
  <c r="BD26" i="10" s="1"/>
  <c r="BD20" i="10" a="1"/>
  <c r="BD20" i="10" s="1"/>
  <c r="BD22" i="10" a="1"/>
  <c r="BD22" i="10" s="1"/>
  <c r="BD16" i="10" a="1"/>
  <c r="BD16" i="10" s="1"/>
  <c r="BD15" i="10" a="1"/>
  <c r="BD15" i="10" s="1"/>
  <c r="BD14" i="10" a="1"/>
  <c r="BD14" i="10" s="1"/>
  <c r="X181" i="8"/>
  <c r="X179" i="8"/>
  <c r="Z49" i="8"/>
  <c r="Z56" i="8" s="1"/>
  <c r="Y42" i="8"/>
  <c r="V180" i="8"/>
  <c r="V181" i="8"/>
  <c r="V179" i="8"/>
  <c r="Y70" i="8"/>
  <c r="W87" i="8"/>
  <c r="X66" i="8"/>
  <c r="X180" i="8" s="1"/>
  <c r="Y43" i="8" a="1"/>
  <c r="Y43" i="8" s="1"/>
  <c r="Y45" i="8" s="1"/>
  <c r="W5" i="9"/>
  <c r="X4" i="9"/>
  <c r="U4" i="10"/>
  <c r="U3" i="10" s="1"/>
  <c r="Y214" i="8" l="1"/>
  <c r="Y206" i="8"/>
  <c r="Z45" i="8"/>
  <c r="Y213" i="8"/>
  <c r="X215" i="8"/>
  <c r="W66" i="8"/>
  <c r="W181" i="8" s="1"/>
  <c r="Y71" i="8"/>
  <c r="Y69" i="8" s="1"/>
  <c r="AA17" i="8"/>
  <c r="Y55" i="8"/>
  <c r="Z57" i="8"/>
  <c r="Z95" i="8"/>
  <c r="AA187" i="8"/>
  <c r="AA188" i="8"/>
  <c r="Y44" i="8"/>
  <c r="Z201" i="8" s="1"/>
  <c r="Z205" i="8" s="1"/>
  <c r="Y88" i="8"/>
  <c r="AA49" i="8"/>
  <c r="AA56" i="8" s="1"/>
  <c r="Z42" i="8"/>
  <c r="W179" i="8"/>
  <c r="X5" i="9"/>
  <c r="V4" i="10"/>
  <c r="V3" i="10" s="1"/>
  <c r="Y4" i="9"/>
  <c r="Z55" i="8"/>
  <c r="Z53" i="8" s="1"/>
  <c r="Z70" i="8"/>
  <c r="BF113" i="10"/>
  <c r="BF112" i="10"/>
  <c r="BF109" i="10"/>
  <c r="BF104" i="10"/>
  <c r="BF101" i="10"/>
  <c r="BF96" i="10"/>
  <c r="BF93" i="10"/>
  <c r="BF84" i="10"/>
  <c r="BF82" i="10"/>
  <c r="BF80" i="10"/>
  <c r="BF111" i="10"/>
  <c r="BF106" i="10"/>
  <c r="BF103" i="10"/>
  <c r="BF98" i="10"/>
  <c r="BF95" i="10"/>
  <c r="BF108" i="10"/>
  <c r="BF105" i="10"/>
  <c r="BF110" i="10"/>
  <c r="BF107" i="10"/>
  <c r="BF102" i="10"/>
  <c r="BF100" i="10"/>
  <c r="BF97" i="10"/>
  <c r="BF86" i="10"/>
  <c r="BF85" i="10"/>
  <c r="BF90" i="10"/>
  <c r="BF89" i="10"/>
  <c r="BF91" i="10"/>
  <c r="BF99" i="10"/>
  <c r="BF92" i="10"/>
  <c r="BF87" i="10"/>
  <c r="BF88" i="10"/>
  <c r="BF67" i="10"/>
  <c r="BF65" i="10"/>
  <c r="BF57" i="10"/>
  <c r="BF55" i="10"/>
  <c r="BF83" i="10"/>
  <c r="BF74" i="10"/>
  <c r="BF73" i="10"/>
  <c r="BF71" i="10"/>
  <c r="BF94" i="10"/>
  <c r="BF70" i="10"/>
  <c r="BF79" i="10"/>
  <c r="BF81" i="10"/>
  <c r="BF78" i="10"/>
  <c r="BF76" i="10"/>
  <c r="BF75" i="10"/>
  <c r="BF63" i="10"/>
  <c r="BF62" i="10"/>
  <c r="BF58" i="10"/>
  <c r="BF69" i="10"/>
  <c r="BF61" i="10"/>
  <c r="BF72" i="10"/>
  <c r="BF60" i="10"/>
  <c r="BF59" i="10"/>
  <c r="BF68" i="10"/>
  <c r="BF64" i="10"/>
  <c r="BF54" i="10"/>
  <c r="BF77" i="10"/>
  <c r="BF56" i="10"/>
  <c r="BF66" i="10"/>
  <c r="BG5" i="10"/>
  <c r="BE22" i="10" a="1"/>
  <c r="BE22" i="10" s="1"/>
  <c r="BE23" i="10" a="1"/>
  <c r="BE23" i="10" s="1"/>
  <c r="BE20" i="10" a="1"/>
  <c r="BE20" i="10" s="1"/>
  <c r="BE25" i="10" a="1"/>
  <c r="BE25" i="10" s="1"/>
  <c r="BE24" i="10" a="1"/>
  <c r="BE24" i="10" s="1"/>
  <c r="BE14" i="10" a="1"/>
  <c r="BE14" i="10" s="1"/>
  <c r="BE26" i="10" a="1"/>
  <c r="BE26" i="10" s="1"/>
  <c r="BE16" i="10" a="1"/>
  <c r="BE16" i="10" s="1"/>
  <c r="BE15" i="10" a="1"/>
  <c r="BE15" i="10" s="1"/>
  <c r="Z19" i="8"/>
  <c r="AA169" i="8"/>
  <c r="AA162" i="8"/>
  <c r="AA150" i="8"/>
  <c r="AA143" i="8"/>
  <c r="AA167" i="8"/>
  <c r="AA157" i="8"/>
  <c r="AA148" i="8"/>
  <c r="AA138" i="8"/>
  <c r="AA175" i="8" s="1" a="1"/>
  <c r="AA175" i="8" s="1"/>
  <c r="AA98" i="8"/>
  <c r="AA96" i="8"/>
  <c r="AA95" i="8" s="1"/>
  <c r="AA165" i="8"/>
  <c r="AA155" i="8"/>
  <c r="AA189" i="8"/>
  <c r="AB185" i="8" s="1"/>
  <c r="AA171" i="8"/>
  <c r="AA164" i="8"/>
  <c r="AA152" i="8"/>
  <c r="AA145" i="8"/>
  <c r="AA158" i="8"/>
  <c r="AA146" i="8"/>
  <c r="AA144" i="8"/>
  <c r="AA124" i="8"/>
  <c r="AA173" i="8"/>
  <c r="AA168" i="8"/>
  <c r="AA147" i="8"/>
  <c r="AA132" i="8"/>
  <c r="AA122" i="8"/>
  <c r="AA154" i="8"/>
  <c r="AA129" i="8"/>
  <c r="AA75" i="8"/>
  <c r="AA163" i="8"/>
  <c r="AA170" i="8"/>
  <c r="AA156" i="8"/>
  <c r="AA166" i="8"/>
  <c r="AA172" i="8"/>
  <c r="AA149" i="8"/>
  <c r="AA142" i="8"/>
  <c r="AA134" i="8"/>
  <c r="AA131" i="8"/>
  <c r="AA126" i="8"/>
  <c r="AA151" i="8"/>
  <c r="AA136" i="8"/>
  <c r="AA92" i="8"/>
  <c r="AA91" i="8" s="1"/>
  <c r="AA85" i="8"/>
  <c r="AA128" i="8"/>
  <c r="AA76" i="8"/>
  <c r="AA63" i="8" a="1"/>
  <c r="AA63" i="8" s="1"/>
  <c r="AA127" i="8"/>
  <c r="AA133" i="8"/>
  <c r="AA123" i="8"/>
  <c r="AA137" i="8"/>
  <c r="AA153" i="8"/>
  <c r="AA135" i="8"/>
  <c r="AA130" i="8"/>
  <c r="AA99" i="8"/>
  <c r="AA125" i="8"/>
  <c r="AA38" i="8"/>
  <c r="AA36" i="8"/>
  <c r="AA34" i="8"/>
  <c r="AA32" i="8"/>
  <c r="AB5" i="8"/>
  <c r="AA35" i="8"/>
  <c r="AA33" i="8"/>
  <c r="AA30" i="8"/>
  <c r="AA26" i="8"/>
  <c r="AA15" i="8"/>
  <c r="AA12" i="8"/>
  <c r="AA28" i="8"/>
  <c r="AA39" i="8"/>
  <c r="AA31" i="8"/>
  <c r="AA22" i="8"/>
  <c r="AA48" i="8"/>
  <c r="AA74" i="8"/>
  <c r="AA37" i="8"/>
  <c r="AA29" i="8"/>
  <c r="AA25" i="8"/>
  <c r="AA97" i="8"/>
  <c r="AA73" i="8"/>
  <c r="AA27" i="8"/>
  <c r="AA11" i="8"/>
  <c r="AA13" i="8"/>
  <c r="AA18" i="8"/>
  <c r="AA16" i="8"/>
  <c r="AA6" i="8"/>
  <c r="Z214" i="8" l="1"/>
  <c r="Z206" i="8"/>
  <c r="Y67" i="8"/>
  <c r="Y5" i="9"/>
  <c r="Z4" i="9"/>
  <c r="W4" i="10"/>
  <c r="W3" i="10" s="1"/>
  <c r="AA19" i="8"/>
  <c r="AB172" i="8"/>
  <c r="AB167" i="8"/>
  <c r="AB157" i="8"/>
  <c r="AB148" i="8"/>
  <c r="AB138" i="8"/>
  <c r="AB175" i="8" s="1" a="1"/>
  <c r="AB175" i="8" s="1"/>
  <c r="AB165" i="8"/>
  <c r="AB155" i="8"/>
  <c r="AB146" i="8"/>
  <c r="AB136" i="8"/>
  <c r="AB134" i="8"/>
  <c r="AB132" i="8"/>
  <c r="AB130" i="8"/>
  <c r="AB128" i="8"/>
  <c r="AB126" i="8"/>
  <c r="AB124" i="8"/>
  <c r="AB122" i="8"/>
  <c r="AB163" i="8"/>
  <c r="AB153" i="8"/>
  <c r="AB169" i="8"/>
  <c r="AB162" i="8"/>
  <c r="AB150" i="8"/>
  <c r="AB173" i="8"/>
  <c r="AB168" i="8"/>
  <c r="AB147" i="8"/>
  <c r="AB143" i="8"/>
  <c r="AB96" i="8"/>
  <c r="AB154" i="8"/>
  <c r="AB129" i="8"/>
  <c r="AB75" i="8"/>
  <c r="AB73" i="8"/>
  <c r="AB171" i="8"/>
  <c r="AB164" i="8"/>
  <c r="AB145" i="8"/>
  <c r="AB135" i="8"/>
  <c r="AB127" i="8"/>
  <c r="AB99" i="8"/>
  <c r="P55" i="7" s="1"/>
  <c r="AB170" i="8"/>
  <c r="AB156" i="8"/>
  <c r="AB189" i="8"/>
  <c r="AC185" i="8" s="1"/>
  <c r="AB166" i="8"/>
  <c r="AB158" i="8"/>
  <c r="AB144" i="8"/>
  <c r="AB98" i="8"/>
  <c r="P54" i="7" s="1"/>
  <c r="AB76" i="8"/>
  <c r="AB63" i="8" a="1"/>
  <c r="AB63" i="8" s="1"/>
  <c r="AB149" i="8"/>
  <c r="AB131" i="8"/>
  <c r="AB27" i="8"/>
  <c r="AB97" i="8"/>
  <c r="P53" i="7" s="1"/>
  <c r="AB37" i="8"/>
  <c r="AB133" i="8"/>
  <c r="AB123" i="8"/>
  <c r="AB137" i="8"/>
  <c r="AB142" i="8"/>
  <c r="AB125" i="8"/>
  <c r="AB152" i="8"/>
  <c r="AB151" i="8"/>
  <c r="AB92" i="8"/>
  <c r="AB91" i="8" s="1"/>
  <c r="P50" i="7" s="1"/>
  <c r="AB85" i="8"/>
  <c r="AB34" i="8"/>
  <c r="AC5" i="8"/>
  <c r="AB38" i="8"/>
  <c r="AB35" i="8"/>
  <c r="AB33" i="8"/>
  <c r="AB30" i="8"/>
  <c r="AB26" i="8"/>
  <c r="AB15" i="8"/>
  <c r="AB12" i="8"/>
  <c r="AB28" i="8"/>
  <c r="AB39" i="8"/>
  <c r="AB31" i="8"/>
  <c r="AB48" i="8"/>
  <c r="AB74" i="8"/>
  <c r="AB36" i="8"/>
  <c r="AB29" i="8"/>
  <c r="AB25" i="8"/>
  <c r="AB32" i="8"/>
  <c r="AB22" i="8"/>
  <c r="AB13" i="8"/>
  <c r="AB18" i="8"/>
  <c r="AB16" i="8"/>
  <c r="AB11" i="8"/>
  <c r="AB6" i="8"/>
  <c r="Y87" i="8"/>
  <c r="AB49" i="8"/>
  <c r="AB56" i="8" s="1"/>
  <c r="AA42" i="8"/>
  <c r="BF24" i="10" a="1"/>
  <c r="BF24" i="10" s="1"/>
  <c r="BF16" i="10" a="1"/>
  <c r="BF16" i="10" s="1"/>
  <c r="BF23" i="10" a="1"/>
  <c r="BF23" i="10" s="1"/>
  <c r="BF26" i="10" a="1"/>
  <c r="BF26" i="10" s="1"/>
  <c r="BF22" i="10" a="1"/>
  <c r="BF22" i="10" s="1"/>
  <c r="BF20" i="10" a="1"/>
  <c r="BF20" i="10" s="1"/>
  <c r="BF25" i="10" a="1"/>
  <c r="BF25" i="10" s="1"/>
  <c r="BF14" i="10" a="1"/>
  <c r="BF14" i="10" s="1"/>
  <c r="BF15" i="10" a="1"/>
  <c r="BF15" i="10" s="1"/>
  <c r="W180" i="8"/>
  <c r="AB17" i="8"/>
  <c r="AB19" i="8" s="1"/>
  <c r="AA43" i="8" a="1"/>
  <c r="AA43" i="8" s="1"/>
  <c r="AA45" i="8" s="1"/>
  <c r="AA201" i="8"/>
  <c r="AA205" i="8" s="1"/>
  <c r="Z44" i="8"/>
  <c r="Z88" i="8"/>
  <c r="Z87" i="8" s="1"/>
  <c r="Y215" i="8"/>
  <c r="Z213" i="8"/>
  <c r="AB188" i="8"/>
  <c r="AB187" i="8"/>
  <c r="BG112" i="10"/>
  <c r="BG110" i="10"/>
  <c r="BG108" i="10"/>
  <c r="BG106" i="10"/>
  <c r="BG104" i="10"/>
  <c r="BG102" i="10"/>
  <c r="BG100" i="10"/>
  <c r="BG98" i="10"/>
  <c r="BG96" i="10"/>
  <c r="BG94" i="10"/>
  <c r="BG92" i="10"/>
  <c r="BG90" i="10"/>
  <c r="BG88" i="10"/>
  <c r="BG86" i="10"/>
  <c r="BG113" i="10"/>
  <c r="BG84" i="10"/>
  <c r="BG82" i="10"/>
  <c r="BG80" i="10"/>
  <c r="BG78" i="10"/>
  <c r="BG111" i="10"/>
  <c r="BG103" i="10"/>
  <c r="BG95" i="10"/>
  <c r="BG87" i="10"/>
  <c r="BG105" i="10"/>
  <c r="BG107" i="10"/>
  <c r="BG83" i="10"/>
  <c r="BG76" i="10"/>
  <c r="BG74" i="10"/>
  <c r="BG72" i="10"/>
  <c r="BG70" i="10"/>
  <c r="BG68" i="10"/>
  <c r="BG66" i="10"/>
  <c r="BG64" i="10"/>
  <c r="BG62" i="10"/>
  <c r="BG91" i="10"/>
  <c r="BG109" i="10"/>
  <c r="BG99" i="10"/>
  <c r="BG93" i="10"/>
  <c r="BG97" i="10"/>
  <c r="BG85" i="10"/>
  <c r="BG73" i="10"/>
  <c r="BG71" i="10"/>
  <c r="BG59" i="10"/>
  <c r="BG101" i="10"/>
  <c r="BG79" i="10"/>
  <c r="BG81" i="10"/>
  <c r="BG75" i="10"/>
  <c r="BG67" i="10"/>
  <c r="BG65" i="10"/>
  <c r="BG89" i="10"/>
  <c r="BG69" i="10"/>
  <c r="BG63" i="10"/>
  <c r="BG61" i="10"/>
  <c r="BG60" i="10"/>
  <c r="BG55" i="10"/>
  <c r="BG77" i="10"/>
  <c r="BG56" i="10"/>
  <c r="BG57" i="10"/>
  <c r="BG54" i="10"/>
  <c r="BG58" i="10"/>
  <c r="BH5" i="10"/>
  <c r="AA70" i="8"/>
  <c r="AA57" i="8"/>
  <c r="AA55" i="8" s="1"/>
  <c r="Z71" i="8"/>
  <c r="Z69" i="8" s="1"/>
  <c r="Y53" i="8"/>
  <c r="AA53" i="8" l="1"/>
  <c r="Z67" i="8"/>
  <c r="Z66" i="8" s="1"/>
  <c r="AC165" i="8"/>
  <c r="AC155" i="8"/>
  <c r="AC146" i="8"/>
  <c r="AC136" i="8"/>
  <c r="AC134" i="8"/>
  <c r="AC132" i="8"/>
  <c r="AC130" i="8"/>
  <c r="AC163" i="8"/>
  <c r="AC153" i="8"/>
  <c r="AC144" i="8"/>
  <c r="AC172" i="8"/>
  <c r="AC170" i="8"/>
  <c r="AC158" i="8"/>
  <c r="AC167" i="8"/>
  <c r="AC157" i="8"/>
  <c r="AC148" i="8"/>
  <c r="AC154" i="8"/>
  <c r="AC129" i="8"/>
  <c r="AC122" i="8"/>
  <c r="AC75" i="8"/>
  <c r="AC73" i="8"/>
  <c r="AC39" i="8"/>
  <c r="AC171" i="8"/>
  <c r="AC164" i="8"/>
  <c r="AC145" i="8"/>
  <c r="AC135" i="8"/>
  <c r="AC127" i="8"/>
  <c r="AC99" i="8"/>
  <c r="AC125" i="8"/>
  <c r="AC97" i="8"/>
  <c r="AC156" i="8"/>
  <c r="AC189" i="8"/>
  <c r="AD185" i="8" s="1"/>
  <c r="AC166" i="8"/>
  <c r="AC169" i="8"/>
  <c r="AC162" i="8"/>
  <c r="AC173" i="8"/>
  <c r="AC168" i="8"/>
  <c r="AC147" i="8"/>
  <c r="AC143" i="8"/>
  <c r="AC124" i="8"/>
  <c r="AC96" i="8"/>
  <c r="AC150" i="8"/>
  <c r="AC149" i="8"/>
  <c r="AC131" i="8"/>
  <c r="AC128" i="8"/>
  <c r="AC27" i="8"/>
  <c r="AC25" i="8"/>
  <c r="AC138" i="8"/>
  <c r="AC175" i="8" s="1" a="1"/>
  <c r="AC175" i="8" s="1"/>
  <c r="AC98" i="8"/>
  <c r="AC37" i="8"/>
  <c r="AC35" i="8"/>
  <c r="AC33" i="8"/>
  <c r="AC31" i="8"/>
  <c r="AC29" i="8"/>
  <c r="AC133" i="8"/>
  <c r="AC123" i="8"/>
  <c r="AC137" i="8"/>
  <c r="AC142" i="8"/>
  <c r="AC126" i="8"/>
  <c r="AC152" i="8"/>
  <c r="AC151" i="8"/>
  <c r="AC76" i="8"/>
  <c r="AC38" i="8"/>
  <c r="AC30" i="8"/>
  <c r="AC26" i="8"/>
  <c r="AC15" i="8"/>
  <c r="AC12" i="8"/>
  <c r="AC63" i="8"/>
  <c r="AC28" i="8"/>
  <c r="AC92" i="8"/>
  <c r="AC91" i="8" s="1"/>
  <c r="AC22" i="8"/>
  <c r="AC48" i="8"/>
  <c r="AC74" i="8"/>
  <c r="AC36" i="8"/>
  <c r="AC85" i="8"/>
  <c r="AC32" i="8"/>
  <c r="AC34" i="8"/>
  <c r="AD5" i="8"/>
  <c r="AC13" i="8"/>
  <c r="AC18" i="8"/>
  <c r="AC16" i="8"/>
  <c r="AC11" i="8"/>
  <c r="AC6" i="8"/>
  <c r="P38" i="7"/>
  <c r="BG26" i="10" a="1"/>
  <c r="BG26" i="10" s="1"/>
  <c r="BG25" i="10" a="1"/>
  <c r="BG25" i="10" s="1"/>
  <c r="BG16" i="10" a="1"/>
  <c r="BG16" i="10" s="1"/>
  <c r="BG15" i="10" a="1"/>
  <c r="BG15" i="10" s="1"/>
  <c r="BG23" i="10" a="1"/>
  <c r="BG23" i="10" s="1"/>
  <c r="BG22" i="10" a="1"/>
  <c r="BG22" i="10" s="1"/>
  <c r="BG14" i="10" a="1"/>
  <c r="BG14" i="10" s="1"/>
  <c r="BG24" i="10" a="1"/>
  <c r="BG24" i="10" s="1"/>
  <c r="BG20" i="10" a="1"/>
  <c r="BG20" i="10" s="1"/>
  <c r="AB57" i="8"/>
  <c r="P29" i="7"/>
  <c r="P11" i="7" s="1"/>
  <c r="AC187" i="8"/>
  <c r="AC188" i="8"/>
  <c r="AA213" i="8"/>
  <c r="Z215" i="8"/>
  <c r="AB55" i="8"/>
  <c r="AB70" i="8"/>
  <c r="P32" i="7"/>
  <c r="AC49" i="8"/>
  <c r="AC56" i="8" s="1"/>
  <c r="AB42" i="8"/>
  <c r="P37" i="7"/>
  <c r="AA71" i="8"/>
  <c r="AA69" i="8" s="1"/>
  <c r="BH113" i="10"/>
  <c r="BH111" i="10"/>
  <c r="BH109" i="10"/>
  <c r="BH107" i="10"/>
  <c r="BH105" i="10"/>
  <c r="BH103" i="10"/>
  <c r="BH101" i="10"/>
  <c r="BH99" i="10"/>
  <c r="BH97" i="10"/>
  <c r="BH95" i="10"/>
  <c r="BH93" i="10"/>
  <c r="BH91" i="10"/>
  <c r="BH89" i="10"/>
  <c r="BH87" i="10"/>
  <c r="BH106" i="10"/>
  <c r="BH98" i="10"/>
  <c r="BH90" i="10"/>
  <c r="BH108" i="10"/>
  <c r="BH110" i="10"/>
  <c r="BH102" i="10"/>
  <c r="BH83" i="10"/>
  <c r="BH76" i="10"/>
  <c r="BH74" i="10"/>
  <c r="BH72" i="10"/>
  <c r="BH70" i="10"/>
  <c r="BH68" i="10"/>
  <c r="BH66" i="10"/>
  <c r="BH64" i="10"/>
  <c r="BH62" i="10"/>
  <c r="BH60" i="10"/>
  <c r="BH94" i="10"/>
  <c r="BH88" i="10"/>
  <c r="BH81" i="10"/>
  <c r="BH79" i="10"/>
  <c r="BH112" i="10"/>
  <c r="BH84" i="10"/>
  <c r="BH92" i="10"/>
  <c r="BH82" i="10"/>
  <c r="BH80" i="10"/>
  <c r="BH96" i="10"/>
  <c r="BH100" i="10"/>
  <c r="BH86" i="10"/>
  <c r="BH59" i="10"/>
  <c r="BH85" i="10"/>
  <c r="BH77" i="10"/>
  <c r="BH69" i="10"/>
  <c r="BH104" i="10"/>
  <c r="BH75" i="10"/>
  <c r="BH78" i="10"/>
  <c r="BH73" i="10"/>
  <c r="BH71" i="10"/>
  <c r="BH55" i="10"/>
  <c r="BH67" i="10"/>
  <c r="BH56" i="10"/>
  <c r="BH57" i="10"/>
  <c r="BH54" i="10"/>
  <c r="BH65" i="10"/>
  <c r="BH58" i="10"/>
  <c r="BH63" i="10"/>
  <c r="BH61" i="10"/>
  <c r="BI5" i="10"/>
  <c r="AB95" i="8"/>
  <c r="P52" i="7"/>
  <c r="AA214" i="8"/>
  <c r="AA206" i="8"/>
  <c r="AB201" i="8"/>
  <c r="AB205" i="8" s="1"/>
  <c r="AA44" i="8"/>
  <c r="AA88" i="8"/>
  <c r="AA87" i="8" s="1"/>
  <c r="AC17" i="8"/>
  <c r="AB43" i="8" a="1"/>
  <c r="AB43" i="8" s="1"/>
  <c r="AB45" i="8" s="1"/>
  <c r="X4" i="10"/>
  <c r="X3" i="10" s="1"/>
  <c r="Z5" i="9"/>
  <c r="AA4" i="9"/>
  <c r="Y66" i="8"/>
  <c r="Y179" i="8" s="1"/>
  <c r="AA67" i="8" l="1"/>
  <c r="AA66" i="8" s="1"/>
  <c r="AB214" i="8"/>
  <c r="AB206" i="8"/>
  <c r="AC57" i="8"/>
  <c r="AD189" i="8"/>
  <c r="AE185" i="8" s="1"/>
  <c r="AD173" i="8"/>
  <c r="AD171" i="8"/>
  <c r="AD169" i="8"/>
  <c r="AD167" i="8"/>
  <c r="AD165" i="8"/>
  <c r="AD163" i="8"/>
  <c r="AD158" i="8"/>
  <c r="AD156" i="8"/>
  <c r="AD154" i="8"/>
  <c r="AD152" i="8"/>
  <c r="AD150" i="8"/>
  <c r="AD148" i="8"/>
  <c r="AD146" i="8"/>
  <c r="AD144" i="8"/>
  <c r="AD142" i="8"/>
  <c r="AD137" i="8"/>
  <c r="AD153" i="8"/>
  <c r="AD172" i="8"/>
  <c r="AD170" i="8"/>
  <c r="AD151" i="8"/>
  <c r="AD168" i="8"/>
  <c r="AD155" i="8"/>
  <c r="AD164" i="8"/>
  <c r="AD145" i="8"/>
  <c r="AD135" i="8"/>
  <c r="AD132" i="8"/>
  <c r="AD127" i="8"/>
  <c r="AD99" i="8"/>
  <c r="AD125" i="8"/>
  <c r="AD97" i="8"/>
  <c r="AD157" i="8"/>
  <c r="AD133" i="8"/>
  <c r="AD130" i="8"/>
  <c r="AD123" i="8"/>
  <c r="AD92" i="8"/>
  <c r="AD91" i="8" s="1"/>
  <c r="AD85" i="8"/>
  <c r="AD166" i="8"/>
  <c r="AD162" i="8"/>
  <c r="AD129" i="8"/>
  <c r="AD122" i="8"/>
  <c r="AD75" i="8"/>
  <c r="AD73" i="8"/>
  <c r="AD138" i="8"/>
  <c r="AD175" i="8" s="1" a="1"/>
  <c r="AD175" i="8" s="1"/>
  <c r="AD98" i="8"/>
  <c r="AD37" i="8"/>
  <c r="AD35" i="8"/>
  <c r="AD33" i="8"/>
  <c r="AD31" i="8"/>
  <c r="AD29" i="8"/>
  <c r="AD147" i="8"/>
  <c r="AD143" i="8"/>
  <c r="AD124" i="8"/>
  <c r="AD74" i="8"/>
  <c r="AD126" i="8"/>
  <c r="AD134" i="8"/>
  <c r="AD149" i="8"/>
  <c r="AD136" i="8"/>
  <c r="AD131" i="8"/>
  <c r="AD128" i="8"/>
  <c r="AD63" i="8"/>
  <c r="AD28" i="8"/>
  <c r="AD22" i="8"/>
  <c r="AD48" i="8"/>
  <c r="AD57" i="8" s="1"/>
  <c r="AD71" i="8" s="1"/>
  <c r="AD39" i="8"/>
  <c r="AD18" i="8"/>
  <c r="AD16" i="8"/>
  <c r="AD36" i="8"/>
  <c r="AD25" i="8"/>
  <c r="AD96" i="8"/>
  <c r="AD32" i="8"/>
  <c r="AD34" i="8"/>
  <c r="AD27" i="8"/>
  <c r="AD76" i="8"/>
  <c r="AD38" i="8"/>
  <c r="AD30" i="8"/>
  <c r="AD26" i="8"/>
  <c r="AD15" i="8"/>
  <c r="AD12" i="8"/>
  <c r="AD13" i="8"/>
  <c r="AE5" i="8"/>
  <c r="AD11" i="8"/>
  <c r="AD6" i="8"/>
  <c r="AC43" i="8" a="1"/>
  <c r="AC43" i="8" s="1"/>
  <c r="AD187" i="8"/>
  <c r="AD188" i="8"/>
  <c r="Y181" i="8"/>
  <c r="AA5" i="9"/>
  <c r="Y4" i="10"/>
  <c r="Y3" i="10" s="1"/>
  <c r="AB4" i="9"/>
  <c r="AD49" i="8"/>
  <c r="AD56" i="8" s="1"/>
  <c r="AC42" i="8"/>
  <c r="Y180" i="8"/>
  <c r="P15" i="7"/>
  <c r="AC95" i="8"/>
  <c r="AC201" i="8"/>
  <c r="AC205" i="8" s="1"/>
  <c r="AB44" i="8"/>
  <c r="AB88" i="8"/>
  <c r="AB213" i="8"/>
  <c r="AA215" i="8"/>
  <c r="P16" i="7"/>
  <c r="P51" i="7"/>
  <c r="AB53" i="8"/>
  <c r="P31" i="7"/>
  <c r="Z181" i="8"/>
  <c r="Z179" i="8"/>
  <c r="Z180" i="8"/>
  <c r="AA181" i="8"/>
  <c r="AA179" i="8"/>
  <c r="AA180" i="8"/>
  <c r="AC19" i="8"/>
  <c r="BH25" i="10" a="1"/>
  <c r="BH25" i="10" s="1"/>
  <c r="BH24" i="10" a="1"/>
  <c r="BH24" i="10" s="1"/>
  <c r="BH26" i="10" a="1"/>
  <c r="BH26" i="10" s="1"/>
  <c r="BH23" i="10" a="1"/>
  <c r="BH23" i="10" s="1"/>
  <c r="BH22" i="10" a="1"/>
  <c r="BH22" i="10" s="1"/>
  <c r="BH15" i="10" a="1"/>
  <c r="BH15" i="10" s="1"/>
  <c r="BH16" i="10" a="1"/>
  <c r="BH16" i="10" s="1"/>
  <c r="BH20" i="10" a="1"/>
  <c r="BH20" i="10" s="1"/>
  <c r="BH14" i="10" a="1"/>
  <c r="BH14" i="10" s="1"/>
  <c r="AC55" i="8"/>
  <c r="AC70" i="8"/>
  <c r="BI113" i="10"/>
  <c r="BI111" i="10"/>
  <c r="BI109" i="10"/>
  <c r="BI107" i="10"/>
  <c r="BI105" i="10"/>
  <c r="BI103" i="10"/>
  <c r="BI101" i="10"/>
  <c r="BI99" i="10"/>
  <c r="BI97" i="10"/>
  <c r="BI95" i="10"/>
  <c r="BI93" i="10"/>
  <c r="BI91" i="10"/>
  <c r="BI89" i="10"/>
  <c r="BI112" i="10"/>
  <c r="BI106" i="10"/>
  <c r="BI98" i="10"/>
  <c r="BI90" i="10"/>
  <c r="BI87" i="10"/>
  <c r="BI108" i="10"/>
  <c r="BI100" i="10"/>
  <c r="BI110" i="10"/>
  <c r="BI102" i="10"/>
  <c r="BI104" i="10"/>
  <c r="BI94" i="10"/>
  <c r="BI88" i="10"/>
  <c r="BI81" i="10"/>
  <c r="BI79" i="10"/>
  <c r="BI84" i="10"/>
  <c r="BI92" i="10"/>
  <c r="BI82" i="10"/>
  <c r="BI96" i="10"/>
  <c r="BI85" i="10"/>
  <c r="BI86" i="10"/>
  <c r="BI83" i="10"/>
  <c r="BI76" i="10"/>
  <c r="BI74" i="10"/>
  <c r="BI72" i="10"/>
  <c r="BI77" i="10"/>
  <c r="BI58" i="10"/>
  <c r="BI56" i="10"/>
  <c r="BI54" i="10"/>
  <c r="BI75" i="10"/>
  <c r="BI80" i="10"/>
  <c r="BI78" i="10"/>
  <c r="BI73" i="10"/>
  <c r="BI67" i="10"/>
  <c r="BI60" i="10"/>
  <c r="BI71" i="10"/>
  <c r="BI59" i="10"/>
  <c r="BI66" i="10"/>
  <c r="BI65" i="10"/>
  <c r="BI64" i="10"/>
  <c r="BI63" i="10"/>
  <c r="BI61" i="10"/>
  <c r="BI70" i="10"/>
  <c r="BI69" i="10"/>
  <c r="BI62" i="10"/>
  <c r="BI55" i="10"/>
  <c r="BI57" i="10"/>
  <c r="BI68" i="10"/>
  <c r="AB71" i="8"/>
  <c r="AB69" i="8" s="1"/>
  <c r="P33" i="7"/>
  <c r="AD17" i="8"/>
  <c r="AD19" i="8" s="1"/>
  <c r="AB67" i="8" l="1"/>
  <c r="P42" i="7"/>
  <c r="AC53" i="8"/>
  <c r="AE173" i="8"/>
  <c r="AE172" i="8"/>
  <c r="AE170" i="8"/>
  <c r="AE163" i="8"/>
  <c r="AE151" i="8"/>
  <c r="AE144" i="8"/>
  <c r="AE168" i="8"/>
  <c r="AE158" i="8"/>
  <c r="AE149" i="8"/>
  <c r="AE142" i="8"/>
  <c r="AE99" i="8"/>
  <c r="AE97" i="8"/>
  <c r="AE166" i="8"/>
  <c r="AE156" i="8"/>
  <c r="AE189" i="8"/>
  <c r="AF185" i="8" s="1"/>
  <c r="AE165" i="8"/>
  <c r="AE153" i="8"/>
  <c r="AE146" i="8"/>
  <c r="AE171" i="8"/>
  <c r="AE125" i="8"/>
  <c r="AE157" i="8"/>
  <c r="AE133" i="8"/>
  <c r="AE130" i="8"/>
  <c r="AE123" i="8"/>
  <c r="AE92" i="8"/>
  <c r="AE91" i="8" s="1"/>
  <c r="AE85" i="8"/>
  <c r="AE167" i="8"/>
  <c r="AE152" i="8"/>
  <c r="AE76" i="8"/>
  <c r="AE74" i="8"/>
  <c r="AE162" i="8"/>
  <c r="AE169" i="8"/>
  <c r="AE155" i="8"/>
  <c r="AE164" i="8"/>
  <c r="AE154" i="8"/>
  <c r="AE145" i="8"/>
  <c r="AE135" i="8"/>
  <c r="AE132" i="8"/>
  <c r="AE127" i="8"/>
  <c r="AE147" i="8"/>
  <c r="AE143" i="8"/>
  <c r="AE124" i="8"/>
  <c r="AE148" i="8"/>
  <c r="AE137" i="8"/>
  <c r="AE48" i="8"/>
  <c r="AE39" i="8"/>
  <c r="AE126" i="8"/>
  <c r="AE134" i="8"/>
  <c r="AE129" i="8"/>
  <c r="AE122" i="8"/>
  <c r="AE136" i="8"/>
  <c r="AE131" i="8"/>
  <c r="AE128" i="8"/>
  <c r="AE150" i="8"/>
  <c r="AE138" i="8"/>
  <c r="AE175" i="8" s="1" a="1"/>
  <c r="AE175" i="8" s="1"/>
  <c r="AE98" i="8"/>
  <c r="AE37" i="8"/>
  <c r="AE35" i="8"/>
  <c r="AE33" i="8"/>
  <c r="AE22" i="8"/>
  <c r="AE18" i="8"/>
  <c r="AE16" i="8"/>
  <c r="AE36" i="8"/>
  <c r="AE31" i="8"/>
  <c r="AE13" i="8"/>
  <c r="AE96" i="8"/>
  <c r="AE32" i="8"/>
  <c r="AE29" i="8"/>
  <c r="AE34" i="8"/>
  <c r="AE27" i="8"/>
  <c r="AE75" i="8"/>
  <c r="AE73" i="8"/>
  <c r="AE38" i="8"/>
  <c r="AE30" i="8"/>
  <c r="AE26" i="8"/>
  <c r="AE63" i="8"/>
  <c r="AE28" i="8"/>
  <c r="AF5" i="8"/>
  <c r="AE25" i="8"/>
  <c r="AE43" i="8" s="1" a="1"/>
  <c r="AE43" i="8" s="1"/>
  <c r="AE15" i="8"/>
  <c r="AE11" i="8"/>
  <c r="AE12" i="8"/>
  <c r="AE6" i="8"/>
  <c r="AB215" i="8"/>
  <c r="AC213" i="8"/>
  <c r="AC214" i="8"/>
  <c r="AC206" i="8"/>
  <c r="BI23" i="10" a="1"/>
  <c r="BI23" i="10" s="1"/>
  <c r="BI22" i="10" a="1"/>
  <c r="BI22" i="10" s="1"/>
  <c r="BI24" i="10" a="1"/>
  <c r="BI24" i="10" s="1"/>
  <c r="BI20" i="10" a="1"/>
  <c r="BI20" i="10" s="1"/>
  <c r="BI26" i="10" a="1"/>
  <c r="BI26" i="10" s="1"/>
  <c r="BI25" i="10" a="1"/>
  <c r="BI25" i="10" s="1"/>
  <c r="BI15" i="10" a="1"/>
  <c r="BI15" i="10" s="1"/>
  <c r="BI14" i="10" a="1"/>
  <c r="BI14" i="10" s="1"/>
  <c r="BI16" i="10" a="1"/>
  <c r="BI16" i="10" s="1"/>
  <c r="AE187" i="8"/>
  <c r="AE188" i="8"/>
  <c r="P13" i="7"/>
  <c r="P12" i="7" s="1"/>
  <c r="P30" i="7"/>
  <c r="AD95" i="8"/>
  <c r="AC71" i="8"/>
  <c r="AC69" i="8" s="1"/>
  <c r="AD42" i="8"/>
  <c r="AE49" i="8"/>
  <c r="AE56" i="8" s="1"/>
  <c r="AD43" i="8" a="1"/>
  <c r="AD43" i="8" s="1"/>
  <c r="AD45" i="8" s="1"/>
  <c r="P21" i="7"/>
  <c r="AC44" i="8"/>
  <c r="AC88" i="8"/>
  <c r="AC45" i="8"/>
  <c r="AD201" i="8" s="1"/>
  <c r="AD205" i="8" s="1"/>
  <c r="AD70" i="8"/>
  <c r="AD69" i="8" s="1"/>
  <c r="AD67" i="8" s="1"/>
  <c r="AD55" i="8"/>
  <c r="AC4" i="9"/>
  <c r="Z4" i="10"/>
  <c r="Z3" i="10" s="1"/>
  <c r="AB5" i="9"/>
  <c r="AB87" i="8"/>
  <c r="P48" i="7"/>
  <c r="AE17" i="8"/>
  <c r="AE19" i="8" s="1"/>
  <c r="AD206" i="8" l="1"/>
  <c r="AD214" i="8"/>
  <c r="AE45" i="8"/>
  <c r="AC67" i="8"/>
  <c r="AC87" i="8"/>
  <c r="AD44" i="8"/>
  <c r="AE201" i="8" s="1"/>
  <c r="AE205" i="8" s="1"/>
  <c r="AA4" i="10"/>
  <c r="AA3" i="10" s="1"/>
  <c r="AD4" i="9"/>
  <c r="AC5" i="9"/>
  <c r="AC215" i="8"/>
  <c r="AD213" i="8"/>
  <c r="AF49" i="8"/>
  <c r="AF56" i="8" s="1"/>
  <c r="AE42" i="8"/>
  <c r="AF173" i="8"/>
  <c r="AF189" i="8"/>
  <c r="AG185" i="8" s="1"/>
  <c r="AF168" i="8"/>
  <c r="AF158" i="8"/>
  <c r="AF149" i="8"/>
  <c r="AF142" i="8"/>
  <c r="AF166" i="8"/>
  <c r="AF156" i="8"/>
  <c r="AF147" i="8"/>
  <c r="AF137" i="8"/>
  <c r="AF135" i="8"/>
  <c r="AF133" i="8"/>
  <c r="AF131" i="8"/>
  <c r="AF129" i="8"/>
  <c r="AF127" i="8"/>
  <c r="AF125" i="8"/>
  <c r="AF123" i="8"/>
  <c r="AF164" i="8"/>
  <c r="AF154" i="8"/>
  <c r="AF172" i="8"/>
  <c r="AF170" i="8"/>
  <c r="AF163" i="8"/>
  <c r="AF151" i="8"/>
  <c r="AF157" i="8"/>
  <c r="AF130" i="8"/>
  <c r="AF97" i="8"/>
  <c r="AF92" i="8"/>
  <c r="AF91" i="8" s="1"/>
  <c r="AF85" i="8"/>
  <c r="AF48" i="8"/>
  <c r="AF57" i="8" s="1"/>
  <c r="AF71" i="8" s="1"/>
  <c r="AF167" i="8"/>
  <c r="AF152" i="8"/>
  <c r="AF76" i="8"/>
  <c r="AF74" i="8"/>
  <c r="AF153" i="8"/>
  <c r="AF136" i="8"/>
  <c r="AF128" i="8"/>
  <c r="AF162" i="8"/>
  <c r="AF169" i="8"/>
  <c r="AF155" i="8"/>
  <c r="AF165" i="8"/>
  <c r="AF171" i="8"/>
  <c r="AF146" i="8"/>
  <c r="AF99" i="8"/>
  <c r="AF148" i="8"/>
  <c r="AF145" i="8"/>
  <c r="AF132" i="8"/>
  <c r="AF39" i="8"/>
  <c r="AF28" i="8"/>
  <c r="AF126" i="8"/>
  <c r="AF38" i="8"/>
  <c r="AF36" i="8"/>
  <c r="AF134" i="8"/>
  <c r="AF122" i="8"/>
  <c r="AF144" i="8"/>
  <c r="AF150" i="8"/>
  <c r="AF138" i="8"/>
  <c r="AF175" i="8" s="1" a="1"/>
  <c r="AF175" i="8" s="1"/>
  <c r="AF98" i="8"/>
  <c r="AF143" i="8"/>
  <c r="AF124" i="8"/>
  <c r="AF35" i="8"/>
  <c r="AF18" i="8"/>
  <c r="AF16" i="8"/>
  <c r="AF31" i="8"/>
  <c r="AF13" i="8"/>
  <c r="AF25" i="8"/>
  <c r="AF11" i="8"/>
  <c r="AG17" i="8" s="1"/>
  <c r="AF96" i="8"/>
  <c r="AF32" i="8"/>
  <c r="AF29" i="8"/>
  <c r="AF34" i="8"/>
  <c r="AF27" i="8"/>
  <c r="AF75" i="8"/>
  <c r="AF73" i="8"/>
  <c r="AF37" i="8"/>
  <c r="AF30" i="8"/>
  <c r="AF26" i="8"/>
  <c r="AF63" i="8"/>
  <c r="AF33" i="8"/>
  <c r="AF22" i="8"/>
  <c r="AG5" i="8"/>
  <c r="AF15" i="8"/>
  <c r="AF12" i="8"/>
  <c r="AF6" i="8"/>
  <c r="AD88" i="8"/>
  <c r="AD87" i="8" s="1"/>
  <c r="AD53" i="8"/>
  <c r="AF188" i="8"/>
  <c r="AF187" i="8"/>
  <c r="P40" i="7"/>
  <c r="AE57" i="8"/>
  <c r="AB66" i="8"/>
  <c r="P47" i="7"/>
  <c r="AE70" i="8"/>
  <c r="AE55" i="8"/>
  <c r="AE53" i="8" s="1"/>
  <c r="AE95" i="8"/>
  <c r="AD66" i="8"/>
  <c r="AF17" i="8"/>
  <c r="AE214" i="8" l="1"/>
  <c r="AE206" i="8"/>
  <c r="AF43" i="8" a="1"/>
  <c r="AF43" i="8" s="1"/>
  <c r="AF45" i="8" s="1"/>
  <c r="AE71" i="8"/>
  <c r="AE69" i="8" s="1"/>
  <c r="AE44" i="8"/>
  <c r="AF201" i="8" s="1"/>
  <c r="AF205" i="8" s="1"/>
  <c r="AE88" i="8"/>
  <c r="AE87" i="8" s="1"/>
  <c r="AF70" i="8"/>
  <c r="AF69" i="8" s="1"/>
  <c r="AF67" i="8" s="1"/>
  <c r="AF55" i="8"/>
  <c r="P39" i="7"/>
  <c r="P18" i="7"/>
  <c r="AF19" i="8"/>
  <c r="AD180" i="8"/>
  <c r="AD181" i="8"/>
  <c r="AD179" i="8"/>
  <c r="AF95" i="8"/>
  <c r="AE213" i="8"/>
  <c r="AD215" i="8"/>
  <c r="P20" i="7"/>
  <c r="AF42" i="8"/>
  <c r="AG49" i="8"/>
  <c r="AG56" i="8" s="1"/>
  <c r="AB180" i="8"/>
  <c r="AB179" i="8"/>
  <c r="AB181" i="8"/>
  <c r="AG189" i="8"/>
  <c r="AH185" i="8" s="1"/>
  <c r="AG166" i="8"/>
  <c r="AG156" i="8"/>
  <c r="AG147" i="8"/>
  <c r="AG137" i="8"/>
  <c r="AG135" i="8"/>
  <c r="AG133" i="8"/>
  <c r="AG131" i="8"/>
  <c r="AG164" i="8"/>
  <c r="AG154" i="8"/>
  <c r="AG145" i="8"/>
  <c r="AG173" i="8"/>
  <c r="AG171" i="8"/>
  <c r="AG162" i="8"/>
  <c r="AG168" i="8"/>
  <c r="AG158" i="8"/>
  <c r="AG149" i="8"/>
  <c r="AG167" i="8"/>
  <c r="AG152" i="8"/>
  <c r="AG123" i="8"/>
  <c r="AG76" i="8"/>
  <c r="AG74" i="8"/>
  <c r="AG153" i="8"/>
  <c r="AG136" i="8"/>
  <c r="AG128" i="8"/>
  <c r="AG170" i="8"/>
  <c r="AG163" i="8"/>
  <c r="AG151" i="8"/>
  <c r="AG150" i="8"/>
  <c r="AG138" i="8"/>
  <c r="AG175" i="8" s="1" a="1"/>
  <c r="AG175" i="8" s="1"/>
  <c r="AG126" i="8"/>
  <c r="AG98" i="8"/>
  <c r="AG169" i="8"/>
  <c r="AG155" i="8"/>
  <c r="AG165" i="8"/>
  <c r="AG172" i="8"/>
  <c r="AG157" i="8"/>
  <c r="AG130" i="8"/>
  <c r="AG125" i="8"/>
  <c r="AG97" i="8"/>
  <c r="AG92" i="8"/>
  <c r="AG91" i="8" s="1"/>
  <c r="AG85" i="8"/>
  <c r="AG132" i="8"/>
  <c r="AG39" i="8"/>
  <c r="AG28" i="8"/>
  <c r="AG26" i="8"/>
  <c r="AG146" i="8"/>
  <c r="AG127" i="8"/>
  <c r="AG48" i="8"/>
  <c r="AG38" i="8"/>
  <c r="AG36" i="8"/>
  <c r="AG34" i="8"/>
  <c r="AG32" i="8"/>
  <c r="AG30" i="8"/>
  <c r="AG134" i="8"/>
  <c r="AG96" i="8"/>
  <c r="AG63" i="8"/>
  <c r="AG142" i="8"/>
  <c r="AG122" i="8"/>
  <c r="AG144" i="8"/>
  <c r="AG129" i="8"/>
  <c r="AG99" i="8"/>
  <c r="AG143" i="8"/>
  <c r="AG124" i="8"/>
  <c r="AG148" i="8"/>
  <c r="AG31" i="8"/>
  <c r="AG13" i="8"/>
  <c r="AG25" i="8"/>
  <c r="AG11" i="8"/>
  <c r="AH17" i="8" s="1"/>
  <c r="AG29" i="8"/>
  <c r="AG27" i="8"/>
  <c r="AG75" i="8"/>
  <c r="AG73" i="8"/>
  <c r="AG37" i="8"/>
  <c r="AG33" i="8"/>
  <c r="AG22" i="8"/>
  <c r="AG35" i="8"/>
  <c r="AG18" i="8"/>
  <c r="AG19" i="8" s="1"/>
  <c r="AG16" i="8"/>
  <c r="AH5" i="8"/>
  <c r="AG15" i="8"/>
  <c r="AG12" i="8"/>
  <c r="AG6" i="8"/>
  <c r="AG187" i="8"/>
  <c r="AG188" i="8"/>
  <c r="AC66" i="8"/>
  <c r="AB4" i="10"/>
  <c r="AB3" i="10" s="1"/>
  <c r="AE4" i="9"/>
  <c r="AD5" i="9"/>
  <c r="AF214" i="8" l="1"/>
  <c r="AF206" i="8"/>
  <c r="AE67" i="8"/>
  <c r="AE66" i="8" s="1"/>
  <c r="AF53" i="8"/>
  <c r="P56" i="7"/>
  <c r="AF213" i="8"/>
  <c r="AE215" i="8"/>
  <c r="AH49" i="8"/>
  <c r="AH56" i="8" s="1"/>
  <c r="AG42" i="8"/>
  <c r="P17" i="7"/>
  <c r="P22" i="7" s="1"/>
  <c r="P23" i="7" s="1"/>
  <c r="AG43" i="8" a="1"/>
  <c r="AG43" i="8" s="1"/>
  <c r="AH19" i="8"/>
  <c r="AC4" i="10"/>
  <c r="AC3" i="10" s="1"/>
  <c r="AE5" i="9"/>
  <c r="AF4" i="9"/>
  <c r="AC180" i="8"/>
  <c r="AC179" i="8"/>
  <c r="AC181" i="8"/>
  <c r="AH172" i="8"/>
  <c r="AH170" i="8"/>
  <c r="AH168" i="8"/>
  <c r="AH166" i="8"/>
  <c r="AH164" i="8"/>
  <c r="AH162" i="8"/>
  <c r="AH157" i="8"/>
  <c r="AH155" i="8"/>
  <c r="AH153" i="8"/>
  <c r="AH151" i="8"/>
  <c r="AH149" i="8"/>
  <c r="AH147" i="8"/>
  <c r="AH145" i="8"/>
  <c r="AH143" i="8"/>
  <c r="AH138" i="8"/>
  <c r="AH175" i="8" s="1" a="1"/>
  <c r="AH175" i="8" s="1"/>
  <c r="AH136" i="8"/>
  <c r="AH154" i="8"/>
  <c r="AH173" i="8"/>
  <c r="AH171" i="8"/>
  <c r="AH152" i="8"/>
  <c r="AH169" i="8"/>
  <c r="AH156" i="8"/>
  <c r="AH133" i="8"/>
  <c r="AH128" i="8"/>
  <c r="AH63" i="8"/>
  <c r="AH163" i="8"/>
  <c r="AH150" i="8"/>
  <c r="AH126" i="8"/>
  <c r="AH98" i="8"/>
  <c r="AH137" i="8"/>
  <c r="AH134" i="8"/>
  <c r="AH131" i="8"/>
  <c r="AH124" i="8"/>
  <c r="AH96" i="8"/>
  <c r="AH189" i="8"/>
  <c r="AI185" i="8" s="1"/>
  <c r="AH165" i="8"/>
  <c r="AH158" i="8"/>
  <c r="AH167" i="8"/>
  <c r="AH123" i="8"/>
  <c r="AH76" i="8"/>
  <c r="AH74" i="8"/>
  <c r="AH146" i="8"/>
  <c r="AH127" i="8"/>
  <c r="AH48" i="8"/>
  <c r="AH38" i="8"/>
  <c r="AH36" i="8"/>
  <c r="AH34" i="8"/>
  <c r="AH32" i="8"/>
  <c r="AH30" i="8"/>
  <c r="AH22" i="8"/>
  <c r="AH18" i="8"/>
  <c r="AH97" i="8"/>
  <c r="AH142" i="8"/>
  <c r="AH122" i="8"/>
  <c r="AH75" i="8"/>
  <c r="AH73" i="8"/>
  <c r="AH144" i="8"/>
  <c r="AH129" i="8"/>
  <c r="AH99" i="8"/>
  <c r="AH135" i="8"/>
  <c r="AH130" i="8"/>
  <c r="AH125" i="8"/>
  <c r="AH148" i="8"/>
  <c r="AH132" i="8"/>
  <c r="AH39" i="8"/>
  <c r="AH25" i="8"/>
  <c r="AH11" i="8"/>
  <c r="AH92" i="8"/>
  <c r="AH91" i="8" s="1"/>
  <c r="AH29" i="8"/>
  <c r="AH27" i="8"/>
  <c r="AI5" i="8"/>
  <c r="AH37" i="8"/>
  <c r="AH26" i="8"/>
  <c r="AH85" i="8"/>
  <c r="AH33" i="8"/>
  <c r="AH35" i="8"/>
  <c r="AH28" i="8"/>
  <c r="AH31" i="8"/>
  <c r="AH13" i="8"/>
  <c r="AH15" i="8"/>
  <c r="AH16" i="8"/>
  <c r="AH12" i="8"/>
  <c r="AH6" i="8"/>
  <c r="AG57" i="8"/>
  <c r="AG70" i="8"/>
  <c r="AG95" i="8"/>
  <c r="AH187" i="8"/>
  <c r="AH188" i="8"/>
  <c r="AG201" i="8"/>
  <c r="AG205" i="8" s="1"/>
  <c r="AF44" i="8"/>
  <c r="AF88" i="8"/>
  <c r="AG206" i="8" l="1"/>
  <c r="AG214" i="8"/>
  <c r="AG71" i="8"/>
  <c r="AG69" i="8" s="1"/>
  <c r="AF5" i="9"/>
  <c r="AG4" i="9"/>
  <c r="AD4" i="10"/>
  <c r="AD3" i="10" s="1"/>
  <c r="AH201" i="8"/>
  <c r="AH205" i="8" s="1"/>
  <c r="AG44" i="8"/>
  <c r="AF215" i="8"/>
  <c r="AG213" i="8"/>
  <c r="AI17" i="8"/>
  <c r="AH55" i="8"/>
  <c r="AH53" i="8" s="1"/>
  <c r="AH70" i="8"/>
  <c r="AH69" i="8" s="1"/>
  <c r="AH67" i="8" s="1"/>
  <c r="AF87" i="8"/>
  <c r="AI188" i="8"/>
  <c r="AI187" i="8"/>
  <c r="AI49" i="8"/>
  <c r="AI56" i="8" s="1"/>
  <c r="AH42" i="8"/>
  <c r="AH57" i="8"/>
  <c r="AH71" i="8" s="1"/>
  <c r="AG55" i="8"/>
  <c r="AH43" i="8" a="1"/>
  <c r="AH43" i="8" s="1"/>
  <c r="AH45" i="8" s="1"/>
  <c r="AH95" i="8"/>
  <c r="AG45" i="8"/>
  <c r="AE181" i="8"/>
  <c r="AE180" i="8"/>
  <c r="AE179" i="8"/>
  <c r="AI189" i="8"/>
  <c r="AJ185" i="8" s="1"/>
  <c r="AI173" i="8"/>
  <c r="AI171" i="8"/>
  <c r="AI164" i="8"/>
  <c r="AI152" i="8"/>
  <c r="AI145" i="8"/>
  <c r="AI169" i="8"/>
  <c r="AI162" i="8"/>
  <c r="AI150" i="8"/>
  <c r="AI143" i="8"/>
  <c r="AI98" i="8"/>
  <c r="AI96" i="8"/>
  <c r="AI167" i="8"/>
  <c r="AI157" i="8"/>
  <c r="AI166" i="8"/>
  <c r="AI154" i="8"/>
  <c r="AI147" i="8"/>
  <c r="AI163" i="8"/>
  <c r="AI153" i="8"/>
  <c r="AI136" i="8"/>
  <c r="AI126" i="8"/>
  <c r="AI170" i="8"/>
  <c r="AI151" i="8"/>
  <c r="AI138" i="8"/>
  <c r="AI175" i="8" s="1" a="1"/>
  <c r="AI175" i="8" s="1"/>
  <c r="AI137" i="8"/>
  <c r="AI134" i="8"/>
  <c r="AI131" i="8"/>
  <c r="AI124" i="8"/>
  <c r="AI156" i="8"/>
  <c r="AI148" i="8"/>
  <c r="AI142" i="8"/>
  <c r="AI122" i="8"/>
  <c r="AI75" i="8"/>
  <c r="AI165" i="8"/>
  <c r="AI155" i="8"/>
  <c r="AI172" i="8"/>
  <c r="AI158" i="8"/>
  <c r="AI168" i="8"/>
  <c r="AI133" i="8"/>
  <c r="AI128" i="8"/>
  <c r="AI97" i="8"/>
  <c r="AI123" i="8"/>
  <c r="AI74" i="8"/>
  <c r="AI73" i="8"/>
  <c r="AI63" i="8"/>
  <c r="AI144" i="8"/>
  <c r="AI129" i="8"/>
  <c r="AI99" i="8"/>
  <c r="AI135" i="8"/>
  <c r="AI130" i="8"/>
  <c r="AI125" i="8"/>
  <c r="AI149" i="8"/>
  <c r="AI132" i="8"/>
  <c r="AI146" i="8"/>
  <c r="AI127" i="8"/>
  <c r="AI48" i="8"/>
  <c r="AI57" i="8" s="1"/>
  <c r="AI71" i="8" s="1"/>
  <c r="AI38" i="8"/>
  <c r="AI36" i="8"/>
  <c r="AI34" i="8"/>
  <c r="AI92" i="8"/>
  <c r="AI91" i="8" s="1"/>
  <c r="AI29" i="8"/>
  <c r="AI39" i="8"/>
  <c r="AI27" i="8"/>
  <c r="AJ5" i="8"/>
  <c r="AI37" i="8"/>
  <c r="AI32" i="8"/>
  <c r="AI15" i="8"/>
  <c r="AI12" i="8"/>
  <c r="AI85" i="8"/>
  <c r="AI33" i="8"/>
  <c r="AI30" i="8"/>
  <c r="AI35" i="8"/>
  <c r="AI28" i="8"/>
  <c r="AI22" i="8"/>
  <c r="AI76" i="8"/>
  <c r="AI31" i="8"/>
  <c r="AI25" i="8"/>
  <c r="AI11" i="8"/>
  <c r="AI16" i="8"/>
  <c r="AI18" i="8"/>
  <c r="AI26" i="8"/>
  <c r="AI13" i="8"/>
  <c r="AI6" i="8"/>
  <c r="AG88" i="8"/>
  <c r="AG87" i="8" s="1"/>
  <c r="AG67" i="8" l="1"/>
  <c r="AG66" i="8" s="1"/>
  <c r="AI201" i="8"/>
  <c r="AI205" i="8" s="1"/>
  <c r="AH44" i="8"/>
  <c r="AH88" i="8"/>
  <c r="AH87" i="8" s="1"/>
  <c r="AI55" i="8"/>
  <c r="AI53" i="8" s="1"/>
  <c r="AI70" i="8"/>
  <c r="AI69" i="8" s="1"/>
  <c r="AI67" i="8" s="1"/>
  <c r="AI95" i="8"/>
  <c r="AI43" i="8" a="1"/>
  <c r="AI43" i="8" s="1"/>
  <c r="AH214" i="8"/>
  <c r="AH206" i="8"/>
  <c r="AJ188" i="8"/>
  <c r="AJ187" i="8"/>
  <c r="AG215" i="8"/>
  <c r="AH213" i="8"/>
  <c r="AJ169" i="8"/>
  <c r="AJ162" i="8"/>
  <c r="AJ150" i="8"/>
  <c r="AJ143" i="8"/>
  <c r="AJ167" i="8"/>
  <c r="AJ157" i="8"/>
  <c r="AJ148" i="8"/>
  <c r="AJ138" i="8"/>
  <c r="AJ175" i="8" s="1" a="1"/>
  <c r="AJ175" i="8" s="1"/>
  <c r="AJ134" i="8"/>
  <c r="AJ132" i="8"/>
  <c r="AJ130" i="8"/>
  <c r="AJ128" i="8"/>
  <c r="AJ126" i="8"/>
  <c r="AJ124" i="8"/>
  <c r="AJ122" i="8"/>
  <c r="AJ189" i="8"/>
  <c r="AK185" i="8" s="1"/>
  <c r="AJ165" i="8"/>
  <c r="AJ155" i="8"/>
  <c r="AJ173" i="8"/>
  <c r="AJ171" i="8"/>
  <c r="AJ164" i="8"/>
  <c r="AJ152" i="8"/>
  <c r="AJ145" i="8"/>
  <c r="AJ170" i="8"/>
  <c r="AJ151" i="8"/>
  <c r="AJ137" i="8"/>
  <c r="AJ131" i="8"/>
  <c r="AJ98" i="8"/>
  <c r="AJ156" i="8"/>
  <c r="AJ142" i="8"/>
  <c r="AJ96" i="8"/>
  <c r="AJ95" i="8" s="1"/>
  <c r="AJ75" i="8"/>
  <c r="AJ73" i="8"/>
  <c r="AJ166" i="8"/>
  <c r="AJ149" i="8"/>
  <c r="AJ144" i="8"/>
  <c r="AJ129" i="8"/>
  <c r="AJ172" i="8"/>
  <c r="AJ158" i="8"/>
  <c r="AJ168" i="8"/>
  <c r="AJ163" i="8"/>
  <c r="AJ153" i="8"/>
  <c r="AJ136" i="8"/>
  <c r="AJ123" i="8"/>
  <c r="AJ74" i="8"/>
  <c r="AJ63" i="8"/>
  <c r="AJ154" i="8"/>
  <c r="AJ133" i="8"/>
  <c r="AJ27" i="8"/>
  <c r="AJ99" i="8"/>
  <c r="AJ37" i="8"/>
  <c r="AJ135" i="8"/>
  <c r="AJ125" i="8"/>
  <c r="AJ146" i="8"/>
  <c r="AJ127" i="8"/>
  <c r="AJ147" i="8"/>
  <c r="AJ97" i="8"/>
  <c r="AJ39" i="8"/>
  <c r="AK5" i="8"/>
  <c r="AJ48" i="8"/>
  <c r="AJ57" i="8" s="1"/>
  <c r="AJ71" i="8" s="1"/>
  <c r="AJ36" i="8"/>
  <c r="AJ32" i="8"/>
  <c r="AJ15" i="8"/>
  <c r="AJ12" i="8"/>
  <c r="AJ26" i="8"/>
  <c r="AJ85" i="8"/>
  <c r="AJ34" i="8"/>
  <c r="AJ33" i="8"/>
  <c r="AJ30" i="8"/>
  <c r="AJ35" i="8"/>
  <c r="AJ28" i="8"/>
  <c r="AJ22" i="8"/>
  <c r="AJ76" i="8"/>
  <c r="AJ38" i="8"/>
  <c r="AJ31" i="8"/>
  <c r="AJ25" i="8"/>
  <c r="AJ92" i="8"/>
  <c r="AJ91" i="8" s="1"/>
  <c r="AJ29" i="8"/>
  <c r="AJ16" i="8"/>
  <c r="AJ18" i="8"/>
  <c r="AJ11" i="8"/>
  <c r="AJ13" i="8"/>
  <c r="AJ6" i="8"/>
  <c r="AH66" i="8"/>
  <c r="AH181" i="8" s="1"/>
  <c r="AG53" i="8"/>
  <c r="AF66" i="8"/>
  <c r="AI19" i="8"/>
  <c r="AG5" i="9"/>
  <c r="AH4" i="9"/>
  <c r="AE4" i="10"/>
  <c r="AE3" i="10" s="1"/>
  <c r="AJ17" i="8"/>
  <c r="AJ19" i="8" s="1"/>
  <c r="AJ49" i="8"/>
  <c r="AJ56" i="8" s="1"/>
  <c r="AI42" i="8"/>
  <c r="AJ42" i="8" l="1"/>
  <c r="AK49" i="8"/>
  <c r="AK56" i="8" s="1"/>
  <c r="AK172" i="8"/>
  <c r="AK167" i="8"/>
  <c r="AK157" i="8"/>
  <c r="AK148" i="8"/>
  <c r="AK138" i="8"/>
  <c r="AK175" i="8" s="1" a="1"/>
  <c r="AK175" i="8" s="1"/>
  <c r="AK134" i="8"/>
  <c r="AK132" i="8"/>
  <c r="AK130" i="8"/>
  <c r="AK189" i="8"/>
  <c r="AL185" i="8" s="1"/>
  <c r="AK165" i="8"/>
  <c r="AK155" i="8"/>
  <c r="AK146" i="8"/>
  <c r="AK136" i="8"/>
  <c r="AK163" i="8"/>
  <c r="AK153" i="8"/>
  <c r="AK169" i="8"/>
  <c r="AK162" i="8"/>
  <c r="AK150" i="8"/>
  <c r="AK156" i="8"/>
  <c r="AK142" i="8"/>
  <c r="AK124" i="8"/>
  <c r="AK96" i="8"/>
  <c r="AK75" i="8"/>
  <c r="AK73" i="8"/>
  <c r="AK39" i="8"/>
  <c r="AK166" i="8"/>
  <c r="AK149" i="8"/>
  <c r="AK144" i="8"/>
  <c r="AK129" i="8"/>
  <c r="AK122" i="8"/>
  <c r="AK143" i="8"/>
  <c r="AK127" i="8"/>
  <c r="AK99" i="8"/>
  <c r="AK158" i="8"/>
  <c r="AK168" i="8"/>
  <c r="AK173" i="8"/>
  <c r="AK171" i="8"/>
  <c r="AK164" i="8"/>
  <c r="AK170" i="8"/>
  <c r="AK152" i="8"/>
  <c r="AK151" i="8"/>
  <c r="AK137" i="8"/>
  <c r="AK131" i="8"/>
  <c r="AK126" i="8"/>
  <c r="AK98" i="8"/>
  <c r="AK154" i="8"/>
  <c r="AK145" i="8"/>
  <c r="AK133" i="8"/>
  <c r="AK27" i="8"/>
  <c r="AK25" i="8"/>
  <c r="AK37" i="8"/>
  <c r="AK35" i="8"/>
  <c r="AK33" i="8"/>
  <c r="AK31" i="8"/>
  <c r="AK29" i="8"/>
  <c r="AK135" i="8"/>
  <c r="AK125" i="8"/>
  <c r="AK92" i="8"/>
  <c r="AK91" i="8" s="1"/>
  <c r="AK85" i="8"/>
  <c r="AK128" i="8"/>
  <c r="AK147" i="8"/>
  <c r="AK97" i="8"/>
  <c r="AK123" i="8"/>
  <c r="AK74" i="8"/>
  <c r="AK63" i="8"/>
  <c r="AK48" i="8"/>
  <c r="AK57" i="8" s="1"/>
  <c r="AK71" i="8" s="1"/>
  <c r="AK36" i="8"/>
  <c r="AK32" i="8"/>
  <c r="AK15" i="8"/>
  <c r="AK12" i="8"/>
  <c r="AK26" i="8"/>
  <c r="AK34" i="8"/>
  <c r="AK30" i="8"/>
  <c r="AK28" i="8"/>
  <c r="AK76" i="8"/>
  <c r="AK38" i="8"/>
  <c r="AL5" i="8"/>
  <c r="AK16" i="8"/>
  <c r="AK22" i="8"/>
  <c r="AK18" i="8"/>
  <c r="AK11" i="8"/>
  <c r="AK13" i="8"/>
  <c r="AK6" i="8"/>
  <c r="AH215" i="8"/>
  <c r="AI213" i="8"/>
  <c r="AJ55" i="8"/>
  <c r="AJ70" i="8"/>
  <c r="AJ69" i="8" s="1"/>
  <c r="AH5" i="9"/>
  <c r="AI4" i="9"/>
  <c r="AF4" i="10"/>
  <c r="AF3" i="10" s="1"/>
  <c r="AH180" i="8"/>
  <c r="AH179" i="8"/>
  <c r="AJ201" i="8"/>
  <c r="AJ205" i="8" s="1"/>
  <c r="AI44" i="8"/>
  <c r="AI88" i="8"/>
  <c r="AG181" i="8"/>
  <c r="AG179" i="8"/>
  <c r="AG180" i="8"/>
  <c r="AK188" i="8"/>
  <c r="AK187" i="8"/>
  <c r="AI45" i="8"/>
  <c r="AI206" i="8"/>
  <c r="AI214" i="8"/>
  <c r="AF180" i="8"/>
  <c r="AF179" i="8"/>
  <c r="AF181" i="8"/>
  <c r="AK17" i="8"/>
  <c r="AK19" i="8" s="1"/>
  <c r="AJ43" i="8" a="1"/>
  <c r="AJ43" i="8" s="1"/>
  <c r="AJ45" i="8" s="1"/>
  <c r="AL189" i="8" l="1"/>
  <c r="AM185" i="8" s="1"/>
  <c r="AL173" i="8"/>
  <c r="AL171" i="8"/>
  <c r="AL169" i="8"/>
  <c r="AL167" i="8"/>
  <c r="AL165" i="8"/>
  <c r="AL163" i="8"/>
  <c r="AL158" i="8"/>
  <c r="AL156" i="8"/>
  <c r="AL154" i="8"/>
  <c r="AL152" i="8"/>
  <c r="AL150" i="8"/>
  <c r="AL148" i="8"/>
  <c r="AL146" i="8"/>
  <c r="AL144" i="8"/>
  <c r="AL142" i="8"/>
  <c r="AL137" i="8"/>
  <c r="AL155" i="8"/>
  <c r="AL136" i="8"/>
  <c r="AL153" i="8"/>
  <c r="AL170" i="8"/>
  <c r="AL157" i="8"/>
  <c r="AL166" i="8"/>
  <c r="AL149" i="8"/>
  <c r="AL138" i="8"/>
  <c r="AL175" i="8" s="1" a="1"/>
  <c r="AL175" i="8" s="1"/>
  <c r="AL134" i="8"/>
  <c r="AL129" i="8"/>
  <c r="AL122" i="8"/>
  <c r="AL143" i="8"/>
  <c r="AL127" i="8"/>
  <c r="AL99" i="8"/>
  <c r="AL162" i="8"/>
  <c r="AL147" i="8"/>
  <c r="AL135" i="8"/>
  <c r="AL132" i="8"/>
  <c r="AL125" i="8"/>
  <c r="AL97" i="8"/>
  <c r="AL92" i="8"/>
  <c r="AL91" i="8" s="1"/>
  <c r="AL85" i="8"/>
  <c r="AL172" i="8"/>
  <c r="AL168" i="8"/>
  <c r="AL164" i="8"/>
  <c r="AL124" i="8"/>
  <c r="AL96" i="8"/>
  <c r="AL75" i="8"/>
  <c r="AL73" i="8"/>
  <c r="AL37" i="8"/>
  <c r="AL35" i="8"/>
  <c r="AL33" i="8"/>
  <c r="AL31" i="8"/>
  <c r="AL29" i="8"/>
  <c r="AL126" i="8"/>
  <c r="AL76" i="8"/>
  <c r="AL130" i="8"/>
  <c r="AL128" i="8"/>
  <c r="AL151" i="8"/>
  <c r="AL131" i="8"/>
  <c r="AL98" i="8"/>
  <c r="AL123" i="8"/>
  <c r="AL145" i="8"/>
  <c r="AL133" i="8"/>
  <c r="AL27" i="8"/>
  <c r="AL26" i="8"/>
  <c r="AL43" i="8" s="1" a="1"/>
  <c r="AL43" i="8" s="1"/>
  <c r="AL34" i="8"/>
  <c r="AL30" i="8"/>
  <c r="AL28" i="8"/>
  <c r="AL22" i="8"/>
  <c r="AL16" i="8"/>
  <c r="AL74" i="8"/>
  <c r="AL38" i="8"/>
  <c r="AL63" i="8"/>
  <c r="AL25" i="8"/>
  <c r="AL48" i="8"/>
  <c r="AL57" i="8" s="1"/>
  <c r="AL71" i="8" s="1"/>
  <c r="AL39" i="8"/>
  <c r="AL36" i="8"/>
  <c r="AL32" i="8"/>
  <c r="AL15" i="8"/>
  <c r="AL12" i="8"/>
  <c r="AL18" i="8"/>
  <c r="AL11" i="8"/>
  <c r="AL13" i="8"/>
  <c r="AM5" i="8"/>
  <c r="AL6" i="8"/>
  <c r="AL187" i="8"/>
  <c r="AL188" i="8"/>
  <c r="AK55" i="8"/>
  <c r="AK53" i="8" s="1"/>
  <c r="AK70" i="8"/>
  <c r="AK69" i="8" s="1"/>
  <c r="AK67" i="8" s="1"/>
  <c r="AJ67" i="8"/>
  <c r="AK95" i="8"/>
  <c r="AJ44" i="8"/>
  <c r="AK201" i="8" s="1"/>
  <c r="AK205" i="8" s="1"/>
  <c r="AG4" i="10"/>
  <c r="AG3" i="10" s="1"/>
  <c r="AJ4" i="9"/>
  <c r="AI5" i="9"/>
  <c r="AJ213" i="8"/>
  <c r="AI215" i="8"/>
  <c r="AI87" i="8"/>
  <c r="AJ206" i="8"/>
  <c r="AJ214" i="8"/>
  <c r="AJ53" i="8"/>
  <c r="AK43" i="8" a="1"/>
  <c r="AK43" i="8" s="1"/>
  <c r="AK45" i="8" s="1"/>
  <c r="AL17" i="8"/>
  <c r="AL19" i="8" s="1"/>
  <c r="AL49" i="8"/>
  <c r="AL56" i="8" s="1"/>
  <c r="AK42" i="8"/>
  <c r="AJ88" i="8"/>
  <c r="AJ87" i="8" s="1"/>
  <c r="AK214" i="8" l="1"/>
  <c r="AK206" i="8"/>
  <c r="AJ215" i="8"/>
  <c r="AK213" i="8"/>
  <c r="AI66" i="8"/>
  <c r="AL95" i="8"/>
  <c r="AJ66" i="8"/>
  <c r="AK66" i="8"/>
  <c r="AM17" i="8"/>
  <c r="AM49" i="8"/>
  <c r="AM56" i="8" s="1"/>
  <c r="AL42" i="8"/>
  <c r="AL201" i="8"/>
  <c r="AL205" i="8" s="1"/>
  <c r="AK44" i="8"/>
  <c r="AK88" i="8"/>
  <c r="AK87" i="8" s="1"/>
  <c r="AM189" i="8"/>
  <c r="AN185" i="8" s="1"/>
  <c r="AM165" i="8"/>
  <c r="AM153" i="8"/>
  <c r="AM146" i="8"/>
  <c r="AM170" i="8"/>
  <c r="AM163" i="8"/>
  <c r="AM151" i="8"/>
  <c r="AM144" i="8"/>
  <c r="AM99" i="8"/>
  <c r="AM97" i="8"/>
  <c r="AM172" i="8"/>
  <c r="AM168" i="8"/>
  <c r="AM158" i="8"/>
  <c r="AM167" i="8"/>
  <c r="AM155" i="8"/>
  <c r="AM148" i="8"/>
  <c r="AM150" i="8"/>
  <c r="AM143" i="8"/>
  <c r="AM127" i="8"/>
  <c r="AM162" i="8"/>
  <c r="AM147" i="8"/>
  <c r="AM135" i="8"/>
  <c r="AM132" i="8"/>
  <c r="AM125" i="8"/>
  <c r="AM92" i="8"/>
  <c r="AM91" i="8" s="1"/>
  <c r="AM85" i="8"/>
  <c r="AM169" i="8"/>
  <c r="AM123" i="8"/>
  <c r="AM76" i="8"/>
  <c r="AM74" i="8"/>
  <c r="AM164" i="8"/>
  <c r="AM173" i="8"/>
  <c r="AM171" i="8"/>
  <c r="AM157" i="8"/>
  <c r="AM166" i="8"/>
  <c r="AM156" i="8"/>
  <c r="AM149" i="8"/>
  <c r="AM142" i="8"/>
  <c r="AM138" i="8"/>
  <c r="AM175" i="8" s="1" a="1"/>
  <c r="AM175" i="8" s="1"/>
  <c r="AM134" i="8"/>
  <c r="AM129" i="8"/>
  <c r="AM122" i="8"/>
  <c r="AM126" i="8"/>
  <c r="AM73" i="8"/>
  <c r="AM137" i="8"/>
  <c r="AM96" i="8"/>
  <c r="AM75" i="8"/>
  <c r="AM130" i="8"/>
  <c r="AM128" i="8"/>
  <c r="AM131" i="8"/>
  <c r="AM98" i="8"/>
  <c r="AM152" i="8"/>
  <c r="AM136" i="8"/>
  <c r="AM124" i="8"/>
  <c r="AM145" i="8"/>
  <c r="AM133" i="8"/>
  <c r="AM154" i="8"/>
  <c r="AM37" i="8"/>
  <c r="AM35" i="8"/>
  <c r="AM34" i="8"/>
  <c r="AM30" i="8"/>
  <c r="AM28" i="8"/>
  <c r="AM22" i="8"/>
  <c r="AM16" i="8"/>
  <c r="AM38" i="8"/>
  <c r="AM33" i="8"/>
  <c r="AM18" i="8"/>
  <c r="AM13" i="8"/>
  <c r="AM63" i="8"/>
  <c r="AM31" i="8"/>
  <c r="AM25" i="8"/>
  <c r="AM48" i="8"/>
  <c r="AM57" i="8" s="1"/>
  <c r="AM71" i="8" s="1"/>
  <c r="AM39" i="8"/>
  <c r="AM36" i="8"/>
  <c r="AM32" i="8"/>
  <c r="AM29" i="8"/>
  <c r="AM27" i="8"/>
  <c r="AM26" i="8"/>
  <c r="AM11" i="8"/>
  <c r="AM12" i="8"/>
  <c r="AN5" i="8"/>
  <c r="AM15" i="8"/>
  <c r="AM6" i="8"/>
  <c r="AL55" i="8"/>
  <c r="AL53" i="8" s="1"/>
  <c r="AL70" i="8"/>
  <c r="AL69" i="8" s="1"/>
  <c r="AJ181" i="8"/>
  <c r="AJ180" i="8"/>
  <c r="AJ179" i="8"/>
  <c r="AJ5" i="9"/>
  <c r="AK4" i="9"/>
  <c r="AH4" i="10"/>
  <c r="AH3" i="10" s="1"/>
  <c r="AK180" i="8"/>
  <c r="AK179" i="8"/>
  <c r="AK181" i="8"/>
  <c r="AM187" i="8"/>
  <c r="AM188" i="8"/>
  <c r="AL214" i="8" l="1"/>
  <c r="AL206" i="8"/>
  <c r="AN173" i="8"/>
  <c r="AN189" i="8"/>
  <c r="AO185" i="8" s="1"/>
  <c r="AN170" i="8"/>
  <c r="AN163" i="8"/>
  <c r="AN151" i="8"/>
  <c r="AN144" i="8"/>
  <c r="AN172" i="8"/>
  <c r="AN168" i="8"/>
  <c r="AN158" i="8"/>
  <c r="AN149" i="8"/>
  <c r="AN142" i="8"/>
  <c r="AN135" i="8"/>
  <c r="AN133" i="8"/>
  <c r="AN131" i="8"/>
  <c r="AN129" i="8"/>
  <c r="AN127" i="8"/>
  <c r="AN125" i="8"/>
  <c r="AN123" i="8"/>
  <c r="AN166" i="8"/>
  <c r="AN156" i="8"/>
  <c r="AN165" i="8"/>
  <c r="AN153" i="8"/>
  <c r="AN146" i="8"/>
  <c r="AN162" i="8"/>
  <c r="AN147" i="8"/>
  <c r="AN132" i="8"/>
  <c r="AN99" i="8"/>
  <c r="Q55" i="7" s="1"/>
  <c r="AN92" i="8"/>
  <c r="AN91" i="8" s="1"/>
  <c r="Q50" i="7" s="1"/>
  <c r="AN85" i="8"/>
  <c r="AN48" i="8"/>
  <c r="AN169" i="8"/>
  <c r="AN148" i="8"/>
  <c r="AN97" i="8"/>
  <c r="Q53" i="7" s="1"/>
  <c r="AN76" i="8"/>
  <c r="AN74" i="8"/>
  <c r="AN155" i="8"/>
  <c r="AN145" i="8"/>
  <c r="AN130" i="8"/>
  <c r="AN164" i="8"/>
  <c r="AN171" i="8"/>
  <c r="AN157" i="8"/>
  <c r="AN167" i="8"/>
  <c r="AN150" i="8"/>
  <c r="AN143" i="8"/>
  <c r="AN137" i="8"/>
  <c r="AN96" i="8"/>
  <c r="AN75" i="8"/>
  <c r="AN134" i="8"/>
  <c r="AN122" i="8"/>
  <c r="AN28" i="8"/>
  <c r="AN43" i="8" s="1" a="1"/>
  <c r="AN43" i="8" s="1"/>
  <c r="AN128" i="8"/>
  <c r="AN39" i="8"/>
  <c r="AN38" i="8"/>
  <c r="AN36" i="8"/>
  <c r="AN98" i="8"/>
  <c r="Q54" i="7" s="1"/>
  <c r="AN152" i="8"/>
  <c r="AN136" i="8"/>
  <c r="AN124" i="8"/>
  <c r="AN138" i="8"/>
  <c r="AN175" i="8" s="1" a="1"/>
  <c r="AN175" i="8" s="1"/>
  <c r="Q38" i="7" s="1"/>
  <c r="AN154" i="8"/>
  <c r="AN126" i="8"/>
  <c r="AN73" i="8"/>
  <c r="AN22" i="8"/>
  <c r="AN16" i="8"/>
  <c r="AN37" i="8"/>
  <c r="AN33" i="8"/>
  <c r="AN18" i="8"/>
  <c r="AN13" i="8"/>
  <c r="AN11" i="8"/>
  <c r="AN63" i="8"/>
  <c r="Q37" i="7" s="1"/>
  <c r="AN35" i="8"/>
  <c r="AN31" i="8"/>
  <c r="AN32" i="8"/>
  <c r="AN29" i="8"/>
  <c r="AN27" i="8"/>
  <c r="AN26" i="8"/>
  <c r="AN34" i="8"/>
  <c r="AN30" i="8"/>
  <c r="AN25" i="8"/>
  <c r="AN12" i="8"/>
  <c r="AO5" i="8"/>
  <c r="AN15" i="8"/>
  <c r="AN6" i="8"/>
  <c r="AL67" i="8"/>
  <c r="AM95" i="8"/>
  <c r="AI179" i="8"/>
  <c r="AI180" i="8"/>
  <c r="AI181" i="8"/>
  <c r="AM201" i="8"/>
  <c r="AM205" i="8" s="1"/>
  <c r="AL44" i="8"/>
  <c r="AL88" i="8"/>
  <c r="AL87" i="8" s="1"/>
  <c r="AI4" i="10"/>
  <c r="AI3" i="10" s="1"/>
  <c r="AL4" i="9"/>
  <c r="AK5" i="9"/>
  <c r="AN17" i="8"/>
  <c r="AN19" i="8" s="1"/>
  <c r="AM42" i="8"/>
  <c r="AN49" i="8"/>
  <c r="AN56" i="8" s="1"/>
  <c r="AM43" i="8" a="1"/>
  <c r="AM43" i="8" s="1"/>
  <c r="AN187" i="8"/>
  <c r="AN188" i="8"/>
  <c r="AK215" i="8"/>
  <c r="AL213" i="8"/>
  <c r="AM70" i="8"/>
  <c r="AM69" i="8" s="1"/>
  <c r="AM67" i="8" s="1"/>
  <c r="AM55" i="8"/>
  <c r="AM53" i="8" s="1"/>
  <c r="AM19" i="8"/>
  <c r="AL45" i="8"/>
  <c r="AM45" i="8" l="1"/>
  <c r="Q16" i="7"/>
  <c r="AM214" i="8"/>
  <c r="AM206" i="8"/>
  <c r="AM44" i="8"/>
  <c r="AN201" i="8" s="1"/>
  <c r="AN205" i="8" s="1"/>
  <c r="AO188" i="8"/>
  <c r="AO187" i="8"/>
  <c r="AM4" i="9"/>
  <c r="AL5" i="9"/>
  <c r="AJ4" i="10"/>
  <c r="AJ3" i="10" s="1"/>
  <c r="Q15" i="7"/>
  <c r="AO173" i="8"/>
  <c r="AO172" i="8"/>
  <c r="AO168" i="8"/>
  <c r="AO158" i="8"/>
  <c r="AO149" i="8"/>
  <c r="AO142" i="8"/>
  <c r="AO135" i="8"/>
  <c r="AO133" i="8"/>
  <c r="AO131" i="8"/>
  <c r="AO129" i="8"/>
  <c r="AO166" i="8"/>
  <c r="AO156" i="8"/>
  <c r="AO147" i="8"/>
  <c r="AO137" i="8"/>
  <c r="AO164" i="8"/>
  <c r="AO154" i="8"/>
  <c r="AO189" i="8"/>
  <c r="AP185" i="8" s="1"/>
  <c r="AO170" i="8"/>
  <c r="AO163" i="8"/>
  <c r="AO151" i="8"/>
  <c r="AO169" i="8"/>
  <c r="AO148" i="8"/>
  <c r="AO144" i="8"/>
  <c r="AO125" i="8"/>
  <c r="AO97" i="8"/>
  <c r="AO76" i="8"/>
  <c r="AO74" i="8"/>
  <c r="AO155" i="8"/>
  <c r="AO145" i="8"/>
  <c r="AO130" i="8"/>
  <c r="AO123" i="8"/>
  <c r="AO165" i="8"/>
  <c r="AO146" i="8"/>
  <c r="AO128" i="8"/>
  <c r="AO171" i="8"/>
  <c r="AO157" i="8"/>
  <c r="AO167" i="8"/>
  <c r="AO162" i="8"/>
  <c r="AO132" i="8"/>
  <c r="AO127" i="8"/>
  <c r="AO99" i="8"/>
  <c r="AO92" i="8"/>
  <c r="AO91" i="8" s="1"/>
  <c r="AO85" i="8"/>
  <c r="AO134" i="8"/>
  <c r="AO122" i="8"/>
  <c r="AO28" i="8"/>
  <c r="AO26" i="8"/>
  <c r="AO39" i="8"/>
  <c r="AO38" i="8"/>
  <c r="AO36" i="8"/>
  <c r="AO34" i="8"/>
  <c r="AO32" i="8"/>
  <c r="AO30" i="8"/>
  <c r="AO98" i="8"/>
  <c r="AO48" i="8"/>
  <c r="AO152" i="8"/>
  <c r="AO136" i="8"/>
  <c r="AO124" i="8"/>
  <c r="AO138" i="8"/>
  <c r="AO175" i="8" s="1" a="1"/>
  <c r="AO175" i="8" s="1"/>
  <c r="AO153" i="8"/>
  <c r="AO150" i="8"/>
  <c r="AO143" i="8"/>
  <c r="AO126" i="8"/>
  <c r="AO96" i="8"/>
  <c r="AO75" i="8"/>
  <c r="AO37" i="8"/>
  <c r="AO33" i="8"/>
  <c r="AO18" i="8"/>
  <c r="AO13" i="8"/>
  <c r="AO11" i="8"/>
  <c r="AO63" i="8"/>
  <c r="AO35" i="8"/>
  <c r="AO31" i="8"/>
  <c r="AO25" i="8"/>
  <c r="AO73" i="8"/>
  <c r="AO29" i="8"/>
  <c r="AO27" i="8"/>
  <c r="AO22" i="8"/>
  <c r="AO16" i="8"/>
  <c r="AO12" i="8"/>
  <c r="AP5" i="8"/>
  <c r="AO15" i="8"/>
  <c r="AO6" i="8"/>
  <c r="AN42" i="8"/>
  <c r="AO49" i="8"/>
  <c r="AO56" i="8" s="1"/>
  <c r="AO17" i="8"/>
  <c r="AN95" i="8"/>
  <c r="Q52" i="7"/>
  <c r="AN57" i="8"/>
  <c r="Q29" i="7"/>
  <c r="Q11" i="7" s="1"/>
  <c r="AL215" i="8"/>
  <c r="AM213" i="8"/>
  <c r="AN70" i="8"/>
  <c r="Q32" i="7"/>
  <c r="AL66" i="8"/>
  <c r="AM88" i="8"/>
  <c r="AM87" i="8" s="1"/>
  <c r="AM66" i="8" s="1"/>
  <c r="AM180" i="8" l="1"/>
  <c r="AM179" i="8"/>
  <c r="AM181" i="8"/>
  <c r="AN214" i="8"/>
  <c r="AN206" i="8"/>
  <c r="AO201" i="8"/>
  <c r="AO205" i="8" s="1"/>
  <c r="AN44" i="8"/>
  <c r="AN88" i="8"/>
  <c r="AN213" i="8"/>
  <c r="AM215" i="8"/>
  <c r="AN71" i="8"/>
  <c r="Q33" i="7"/>
  <c r="AP49" i="8"/>
  <c r="AP56" i="8" s="1"/>
  <c r="AO42" i="8"/>
  <c r="AP172" i="8"/>
  <c r="AP170" i="8"/>
  <c r="AP168" i="8"/>
  <c r="AP166" i="8"/>
  <c r="AP164" i="8"/>
  <c r="AP162" i="8"/>
  <c r="AP157" i="8"/>
  <c r="AP155" i="8"/>
  <c r="AP153" i="8"/>
  <c r="AP151" i="8"/>
  <c r="AP149" i="8"/>
  <c r="AP147" i="8"/>
  <c r="AP145" i="8"/>
  <c r="AP143" i="8"/>
  <c r="AP138" i="8"/>
  <c r="AP175" i="8" s="1" a="1"/>
  <c r="AP175" i="8" s="1"/>
  <c r="AP136" i="8"/>
  <c r="AP189" i="8"/>
  <c r="AQ185" i="8" s="1"/>
  <c r="AP156" i="8"/>
  <c r="AP137" i="8"/>
  <c r="AP154" i="8"/>
  <c r="AP171" i="8"/>
  <c r="AP158" i="8"/>
  <c r="AP135" i="8"/>
  <c r="AP130" i="8"/>
  <c r="AP123" i="8"/>
  <c r="AP63" i="8"/>
  <c r="AP165" i="8"/>
  <c r="AP146" i="8"/>
  <c r="AP128" i="8"/>
  <c r="AP133" i="8"/>
  <c r="AP126" i="8"/>
  <c r="AP98" i="8"/>
  <c r="AP173" i="8"/>
  <c r="AP167" i="8"/>
  <c r="AP163" i="8"/>
  <c r="AP169" i="8"/>
  <c r="AP148" i="8"/>
  <c r="AP144" i="8"/>
  <c r="AP125" i="8"/>
  <c r="AP97" i="8"/>
  <c r="AP76" i="8"/>
  <c r="AP74" i="8"/>
  <c r="AP39" i="8"/>
  <c r="AP38" i="8"/>
  <c r="AP36" i="8"/>
  <c r="AP34" i="8"/>
  <c r="AP32" i="8"/>
  <c r="AP43" i="8" s="1" a="1"/>
  <c r="AP43" i="8" s="1"/>
  <c r="AP30" i="8"/>
  <c r="AP22" i="8"/>
  <c r="AP18" i="8"/>
  <c r="AP142" i="8"/>
  <c r="AP129" i="8"/>
  <c r="AP99" i="8"/>
  <c r="AP92" i="8"/>
  <c r="AP91" i="8" s="1"/>
  <c r="AP85" i="8"/>
  <c r="AP48" i="8"/>
  <c r="AP57" i="8" s="1"/>
  <c r="AP71" i="8" s="1"/>
  <c r="AP152" i="8"/>
  <c r="AP124" i="8"/>
  <c r="AP131" i="8"/>
  <c r="AP150" i="8"/>
  <c r="AP132" i="8"/>
  <c r="AP127" i="8"/>
  <c r="AP134" i="8"/>
  <c r="AP122" i="8"/>
  <c r="AP28" i="8"/>
  <c r="AP11" i="8"/>
  <c r="AP35" i="8"/>
  <c r="AP31" i="8"/>
  <c r="AP25" i="8"/>
  <c r="AP96" i="8"/>
  <c r="AP95" i="8" s="1"/>
  <c r="AP73" i="8"/>
  <c r="AQ5" i="8"/>
  <c r="AP75" i="8"/>
  <c r="AP29" i="8"/>
  <c r="AP27" i="8"/>
  <c r="AP26" i="8"/>
  <c r="AP37" i="8"/>
  <c r="AP33" i="8"/>
  <c r="AP13" i="8"/>
  <c r="AP12" i="8"/>
  <c r="AP15" i="8"/>
  <c r="AP16" i="8"/>
  <c r="AP6" i="8"/>
  <c r="AK4" i="10"/>
  <c r="AK3" i="10" s="1"/>
  <c r="AN4" i="9"/>
  <c r="AM5" i="9"/>
  <c r="AO95" i="8"/>
  <c r="AP187" i="8"/>
  <c r="AP188" i="8"/>
  <c r="AL180" i="8"/>
  <c r="AL181" i="8"/>
  <c r="AL179" i="8"/>
  <c r="Q51" i="7"/>
  <c r="AN55" i="8"/>
  <c r="AO19" i="8"/>
  <c r="AP17" i="8"/>
  <c r="AP19" i="8" s="1"/>
  <c r="AO57" i="8"/>
  <c r="AN69" i="8"/>
  <c r="AO70" i="8"/>
  <c r="AO55" i="8"/>
  <c r="AO43" i="8" a="1"/>
  <c r="AO43" i="8" s="1"/>
  <c r="AO45" i="8" s="1"/>
  <c r="AN45" i="8"/>
  <c r="AL4" i="10" l="1"/>
  <c r="AL3" i="10" s="1"/>
  <c r="AN5" i="9"/>
  <c r="AO4" i="9"/>
  <c r="AQ189" i="8"/>
  <c r="AR185" i="8" s="1"/>
  <c r="AQ166" i="8"/>
  <c r="AQ154" i="8"/>
  <c r="AQ147" i="8"/>
  <c r="AQ171" i="8"/>
  <c r="AQ164" i="8"/>
  <c r="AQ152" i="8"/>
  <c r="AQ145" i="8"/>
  <c r="AQ98" i="8"/>
  <c r="AQ96" i="8"/>
  <c r="AQ169" i="8"/>
  <c r="AQ162" i="8"/>
  <c r="AQ172" i="8"/>
  <c r="AQ168" i="8"/>
  <c r="AQ156" i="8"/>
  <c r="AQ149" i="8"/>
  <c r="AQ165" i="8"/>
  <c r="AQ155" i="8"/>
  <c r="AQ146" i="8"/>
  <c r="AQ128" i="8"/>
  <c r="AQ133" i="8"/>
  <c r="AQ126" i="8"/>
  <c r="AQ158" i="8"/>
  <c r="AQ124" i="8"/>
  <c r="AQ75" i="8"/>
  <c r="AQ173" i="8"/>
  <c r="AQ167" i="8"/>
  <c r="AQ157" i="8"/>
  <c r="AQ163" i="8"/>
  <c r="AQ170" i="8"/>
  <c r="AQ135" i="8"/>
  <c r="AQ130" i="8"/>
  <c r="AQ123" i="8"/>
  <c r="AQ142" i="8"/>
  <c r="AQ129" i="8"/>
  <c r="AQ99" i="8"/>
  <c r="AQ92" i="8"/>
  <c r="AQ91" i="8" s="1"/>
  <c r="AQ85" i="8"/>
  <c r="AQ48" i="8"/>
  <c r="AQ144" i="8"/>
  <c r="AQ125" i="8"/>
  <c r="AQ76" i="8"/>
  <c r="AQ136" i="8"/>
  <c r="AQ131" i="8"/>
  <c r="AQ63" i="8"/>
  <c r="AQ150" i="8"/>
  <c r="AQ138" i="8"/>
  <c r="AQ175" i="8" s="1" a="1"/>
  <c r="AQ175" i="8" s="1"/>
  <c r="AQ153" i="8"/>
  <c r="AQ151" i="8"/>
  <c r="AQ143" i="8"/>
  <c r="AQ132" i="8"/>
  <c r="AQ127" i="8"/>
  <c r="AQ148" i="8"/>
  <c r="AQ134" i="8"/>
  <c r="AQ122" i="8"/>
  <c r="AQ137" i="8"/>
  <c r="AQ39" i="8"/>
  <c r="AQ38" i="8"/>
  <c r="AQ36" i="8"/>
  <c r="AQ34" i="8"/>
  <c r="AQ35" i="8"/>
  <c r="AQ31" i="8"/>
  <c r="AQ25" i="8"/>
  <c r="AQ73" i="8"/>
  <c r="AR5" i="8"/>
  <c r="AQ74" i="8"/>
  <c r="AQ29" i="8"/>
  <c r="AQ15" i="8"/>
  <c r="AQ12" i="8"/>
  <c r="AQ27" i="8"/>
  <c r="AQ43" i="8" s="1" a="1"/>
  <c r="AQ43" i="8" s="1"/>
  <c r="AQ32" i="8"/>
  <c r="AQ26" i="8"/>
  <c r="AQ97" i="8"/>
  <c r="AQ37" i="8"/>
  <c r="AQ33" i="8"/>
  <c r="AQ30" i="8"/>
  <c r="AQ22" i="8"/>
  <c r="AQ28" i="8"/>
  <c r="AQ18" i="8"/>
  <c r="AQ11" i="8"/>
  <c r="AQ13" i="8"/>
  <c r="AQ16" i="8"/>
  <c r="AQ6" i="8"/>
  <c r="AO44" i="8"/>
  <c r="AP201" i="8" s="1"/>
  <c r="AP205" i="8" s="1"/>
  <c r="AO206" i="8"/>
  <c r="AO214" i="8"/>
  <c r="AO53" i="8"/>
  <c r="AO213" i="8"/>
  <c r="AN215" i="8"/>
  <c r="AN53" i="8"/>
  <c r="Q31" i="7"/>
  <c r="AO69" i="8"/>
  <c r="Q21" i="7"/>
  <c r="AO71" i="8"/>
  <c r="AQ17" i="8"/>
  <c r="AQ19" i="8" s="1"/>
  <c r="AP70" i="8"/>
  <c r="AP69" i="8" s="1"/>
  <c r="AP67" i="8" s="1"/>
  <c r="AP55" i="8"/>
  <c r="AP53" i="8" s="1"/>
  <c r="AQ49" i="8"/>
  <c r="AQ56" i="8" s="1"/>
  <c r="AP42" i="8"/>
  <c r="AP45" i="8" s="1"/>
  <c r="AN67" i="8"/>
  <c r="Q42" i="7"/>
  <c r="AQ188" i="8"/>
  <c r="AQ187" i="8"/>
  <c r="AN87" i="8"/>
  <c r="Q48" i="7"/>
  <c r="AO88" i="8"/>
  <c r="AP214" i="8" l="1"/>
  <c r="AP206" i="8"/>
  <c r="AP66" i="8"/>
  <c r="AP181" i="8" s="1"/>
  <c r="AQ57" i="8"/>
  <c r="AO87" i="8"/>
  <c r="Q47" i="7"/>
  <c r="AQ70" i="8"/>
  <c r="AO181" i="8"/>
  <c r="AO179" i="8"/>
  <c r="AR17" i="8"/>
  <c r="AR171" i="8"/>
  <c r="AR164" i="8"/>
  <c r="AR152" i="8"/>
  <c r="AR145" i="8"/>
  <c r="AR169" i="8"/>
  <c r="AR162" i="8"/>
  <c r="AR150" i="8"/>
  <c r="AR143" i="8"/>
  <c r="AR134" i="8"/>
  <c r="AR132" i="8"/>
  <c r="AR130" i="8"/>
  <c r="AR128" i="8"/>
  <c r="AR126" i="8"/>
  <c r="AR124" i="8"/>
  <c r="AR122" i="8"/>
  <c r="AR173" i="8"/>
  <c r="AR167" i="8"/>
  <c r="AR157" i="8"/>
  <c r="AR166" i="8"/>
  <c r="AR154" i="8"/>
  <c r="AR147" i="8"/>
  <c r="AR133" i="8"/>
  <c r="AR158" i="8"/>
  <c r="AR98" i="8"/>
  <c r="AR75" i="8"/>
  <c r="AR73" i="8"/>
  <c r="AR189" i="8"/>
  <c r="AS185" i="8" s="1"/>
  <c r="AR172" i="8"/>
  <c r="AR168" i="8"/>
  <c r="AR136" i="8"/>
  <c r="AR131" i="8"/>
  <c r="AR96" i="8"/>
  <c r="AR163" i="8"/>
  <c r="AR170" i="8"/>
  <c r="AR156" i="8"/>
  <c r="AR165" i="8"/>
  <c r="AR155" i="8"/>
  <c r="AR146" i="8"/>
  <c r="AR144" i="8"/>
  <c r="AR125" i="8"/>
  <c r="AR76" i="8"/>
  <c r="AR135" i="8"/>
  <c r="AR63" i="8"/>
  <c r="AR27" i="8"/>
  <c r="AR138" i="8"/>
  <c r="AR175" i="8" s="1" a="1"/>
  <c r="AR175" i="8" s="1"/>
  <c r="AR37" i="8"/>
  <c r="AR153" i="8"/>
  <c r="AR151" i="8"/>
  <c r="AR127" i="8"/>
  <c r="AR148" i="8"/>
  <c r="AR97" i="8"/>
  <c r="AR149" i="8"/>
  <c r="AR123" i="8"/>
  <c r="AR137" i="8"/>
  <c r="AR142" i="8"/>
  <c r="AR129" i="8"/>
  <c r="AR99" i="8"/>
  <c r="AR92" i="8"/>
  <c r="AR91" i="8" s="1"/>
  <c r="AR85" i="8"/>
  <c r="AR48" i="8"/>
  <c r="AR57" i="8" s="1"/>
  <c r="AR71" i="8" s="1"/>
  <c r="AS5" i="8"/>
  <c r="AR74" i="8"/>
  <c r="AR38" i="8"/>
  <c r="AR29" i="8"/>
  <c r="AR15" i="8"/>
  <c r="AR12" i="8"/>
  <c r="AR32" i="8"/>
  <c r="AR39" i="8"/>
  <c r="AR36" i="8"/>
  <c r="AR33" i="8"/>
  <c r="AR30" i="8"/>
  <c r="AR22" i="8"/>
  <c r="AR34" i="8"/>
  <c r="AR28" i="8"/>
  <c r="AR35" i="8"/>
  <c r="AR31" i="8"/>
  <c r="AR25" i="8"/>
  <c r="AR13" i="8"/>
  <c r="AR26" i="8"/>
  <c r="AR43" i="8" s="1" a="1"/>
  <c r="AR43" i="8" s="1"/>
  <c r="AR16" i="8"/>
  <c r="AR18" i="8"/>
  <c r="AR11" i="8"/>
  <c r="AR6" i="8"/>
  <c r="AQ95" i="8"/>
  <c r="Q13" i="7"/>
  <c r="Q12" i="7" s="1"/>
  <c r="AO215" i="8"/>
  <c r="AP213" i="8"/>
  <c r="Q30" i="7"/>
  <c r="AR188" i="8"/>
  <c r="AR187" i="8"/>
  <c r="AO67" i="8"/>
  <c r="AO66" i="8" s="1"/>
  <c r="AO180" i="8" s="1"/>
  <c r="AR49" i="8"/>
  <c r="AR56" i="8" s="1"/>
  <c r="AQ42" i="8"/>
  <c r="AO5" i="9"/>
  <c r="AP4" i="9"/>
  <c r="AM4" i="10"/>
  <c r="AM3" i="10" s="1"/>
  <c r="Q40" i="7"/>
  <c r="AN66" i="8"/>
  <c r="AN179" i="8" s="1"/>
  <c r="AP44" i="8"/>
  <c r="AQ201" i="8" s="1"/>
  <c r="AQ205" i="8" s="1"/>
  <c r="AP88" i="8"/>
  <c r="AP87" i="8" s="1"/>
  <c r="AQ214" i="8" l="1"/>
  <c r="AQ206" i="8"/>
  <c r="AP5" i="9"/>
  <c r="AQ4" i="9"/>
  <c r="AN4" i="10"/>
  <c r="AN3" i="10" s="1"/>
  <c r="AQ44" i="8"/>
  <c r="AR201" i="8" s="1"/>
  <c r="AR205" i="8" s="1"/>
  <c r="Q39" i="7"/>
  <c r="Q18" i="7"/>
  <c r="Q17" i="7" s="1"/>
  <c r="Q22" i="7" s="1"/>
  <c r="Q23" i="7" s="1"/>
  <c r="AP180" i="8"/>
  <c r="AN180" i="8"/>
  <c r="AS17" i="8"/>
  <c r="AS187" i="8"/>
  <c r="AS188" i="8"/>
  <c r="AQ71" i="8"/>
  <c r="AQ69" i="8" s="1"/>
  <c r="AQ55" i="8"/>
  <c r="AQ88" i="8"/>
  <c r="AQ87" i="8" s="1"/>
  <c r="AP179" i="8"/>
  <c r="AR42" i="8"/>
  <c r="AR45" i="8" s="1"/>
  <c r="AS49" i="8"/>
  <c r="AS56" i="8" s="1"/>
  <c r="Q20" i="7"/>
  <c r="AS189" i="8"/>
  <c r="AT185" i="8" s="1"/>
  <c r="AS169" i="8"/>
  <c r="AS162" i="8"/>
  <c r="AS150" i="8"/>
  <c r="AS143" i="8"/>
  <c r="AS134" i="8"/>
  <c r="AS132" i="8"/>
  <c r="AS130" i="8"/>
  <c r="AS173" i="8"/>
  <c r="AS167" i="8"/>
  <c r="AS157" i="8"/>
  <c r="AS148" i="8"/>
  <c r="AS138" i="8"/>
  <c r="AS175" i="8" s="1" a="1"/>
  <c r="AS175" i="8" s="1"/>
  <c r="AS165" i="8"/>
  <c r="AS155" i="8"/>
  <c r="AS171" i="8"/>
  <c r="AS164" i="8"/>
  <c r="AS152" i="8"/>
  <c r="AS145" i="8"/>
  <c r="AS158" i="8"/>
  <c r="AS126" i="8"/>
  <c r="AS98" i="8"/>
  <c r="AS75" i="8"/>
  <c r="AS73" i="8"/>
  <c r="AS39" i="8"/>
  <c r="AS172" i="8"/>
  <c r="AS168" i="8"/>
  <c r="AS136" i="8"/>
  <c r="AS131" i="8"/>
  <c r="AS124" i="8"/>
  <c r="AS96" i="8"/>
  <c r="AS154" i="8"/>
  <c r="AS137" i="8"/>
  <c r="AS122" i="8"/>
  <c r="AS163" i="8"/>
  <c r="AS170" i="8"/>
  <c r="AS156" i="8"/>
  <c r="AS166" i="8"/>
  <c r="AS147" i="8"/>
  <c r="AS133" i="8"/>
  <c r="AS128" i="8"/>
  <c r="AS135" i="8"/>
  <c r="AS63" i="8"/>
  <c r="AS27" i="8"/>
  <c r="AS25" i="8"/>
  <c r="AS37" i="8"/>
  <c r="AS35" i="8"/>
  <c r="AS33" i="8"/>
  <c r="AS31" i="8"/>
  <c r="AS29" i="8"/>
  <c r="AS153" i="8"/>
  <c r="AS151" i="8"/>
  <c r="AS127" i="8"/>
  <c r="AS97" i="8"/>
  <c r="AS149" i="8"/>
  <c r="AS123" i="8"/>
  <c r="AS146" i="8"/>
  <c r="AS142" i="8"/>
  <c r="AS129" i="8"/>
  <c r="AS99" i="8"/>
  <c r="AS144" i="8"/>
  <c r="AS125" i="8"/>
  <c r="AS76" i="8"/>
  <c r="AS74" i="8"/>
  <c r="AS38" i="8"/>
  <c r="AS15" i="8"/>
  <c r="AS12" i="8"/>
  <c r="AS85" i="8"/>
  <c r="AS32" i="8"/>
  <c r="AS26" i="8"/>
  <c r="AS36" i="8"/>
  <c r="AS30" i="8"/>
  <c r="AS22" i="8"/>
  <c r="AS48" i="8"/>
  <c r="AS34" i="8"/>
  <c r="AS28" i="8"/>
  <c r="AS92" i="8"/>
  <c r="AS91" i="8" s="1"/>
  <c r="AT5" i="8"/>
  <c r="AS13" i="8"/>
  <c r="AS16" i="8"/>
  <c r="AS18" i="8"/>
  <c r="AS11" i="8"/>
  <c r="AS6" i="8"/>
  <c r="AR95" i="8"/>
  <c r="AR19" i="8"/>
  <c r="AQ45" i="8"/>
  <c r="AR55" i="8"/>
  <c r="AR53" i="8" s="1"/>
  <c r="AR70" i="8"/>
  <c r="AR69" i="8" s="1"/>
  <c r="AR67" i="8" s="1"/>
  <c r="AN181" i="8"/>
  <c r="Q56" i="7" s="1"/>
  <c r="AQ213" i="8"/>
  <c r="AP215" i="8"/>
  <c r="AQ67" i="8" l="1"/>
  <c r="AQ66" i="8" s="1"/>
  <c r="AR206" i="8"/>
  <c r="AR214" i="8"/>
  <c r="AS70" i="8"/>
  <c r="AS42" i="8"/>
  <c r="AS88" i="8" s="1"/>
  <c r="AS87" i="8" s="1"/>
  <c r="AT49" i="8"/>
  <c r="AT56" i="8" s="1"/>
  <c r="AT17" i="8"/>
  <c r="AT19" i="8" s="1"/>
  <c r="AS57" i="8"/>
  <c r="AS43" i="8" a="1"/>
  <c r="AS43" i="8" s="1"/>
  <c r="AT188" i="8"/>
  <c r="AT187" i="8"/>
  <c r="AS19" i="8"/>
  <c r="AR44" i="8"/>
  <c r="AS201" i="8" s="1"/>
  <c r="AS205" i="8" s="1"/>
  <c r="AR88" i="8"/>
  <c r="AO4" i="10"/>
  <c r="AO3" i="10" s="1"/>
  <c r="AQ5" i="9"/>
  <c r="AR4" i="9"/>
  <c r="AT189" i="8"/>
  <c r="AU185" i="8" s="1"/>
  <c r="AT173" i="8"/>
  <c r="AT171" i="8"/>
  <c r="AT169" i="8"/>
  <c r="AT167" i="8"/>
  <c r="AT165" i="8"/>
  <c r="AT163" i="8"/>
  <c r="AT158" i="8"/>
  <c r="AT156" i="8"/>
  <c r="AT154" i="8"/>
  <c r="AT152" i="8"/>
  <c r="AT150" i="8"/>
  <c r="AT148" i="8"/>
  <c r="AT146" i="8"/>
  <c r="AT144" i="8"/>
  <c r="AT142" i="8"/>
  <c r="AT137" i="8"/>
  <c r="AT172" i="8"/>
  <c r="AT157" i="8"/>
  <c r="AT138" i="8"/>
  <c r="AT175" i="8" s="1" a="1"/>
  <c r="AT175" i="8" s="1"/>
  <c r="AT155" i="8"/>
  <c r="AT136" i="8"/>
  <c r="AT153" i="8"/>
  <c r="AT162" i="8"/>
  <c r="AT168" i="8"/>
  <c r="AT145" i="8"/>
  <c r="AT131" i="8"/>
  <c r="AT124" i="8"/>
  <c r="AT96" i="8"/>
  <c r="AT122" i="8"/>
  <c r="AT164" i="8"/>
  <c r="AT151" i="8"/>
  <c r="AT134" i="8"/>
  <c r="AT129" i="8"/>
  <c r="AT127" i="8"/>
  <c r="AT99" i="8"/>
  <c r="AT92" i="8"/>
  <c r="AT91" i="8" s="1"/>
  <c r="AT85" i="8"/>
  <c r="AT170" i="8"/>
  <c r="AT166" i="8"/>
  <c r="AT126" i="8"/>
  <c r="AT98" i="8"/>
  <c r="AT75" i="8"/>
  <c r="AT73" i="8"/>
  <c r="AT37" i="8"/>
  <c r="AT35" i="8"/>
  <c r="AT33" i="8"/>
  <c r="AT31" i="8"/>
  <c r="AT29" i="8"/>
  <c r="AT130" i="8"/>
  <c r="AT128" i="8"/>
  <c r="AT97" i="8"/>
  <c r="AT74" i="8"/>
  <c r="AT149" i="8"/>
  <c r="AT143" i="8"/>
  <c r="AT132" i="8"/>
  <c r="AT123" i="8"/>
  <c r="AT147" i="8"/>
  <c r="AT133" i="8"/>
  <c r="AT125" i="8"/>
  <c r="AT135" i="8"/>
  <c r="AT63" i="8"/>
  <c r="AT32" i="8"/>
  <c r="AT26" i="8"/>
  <c r="AT43" i="8" s="1" a="1"/>
  <c r="AT43" i="8" s="1"/>
  <c r="AT27" i="8"/>
  <c r="AT16" i="8"/>
  <c r="AT76" i="8"/>
  <c r="AT36" i="8"/>
  <c r="AT30" i="8"/>
  <c r="AT48" i="8"/>
  <c r="AT57" i="8" s="1"/>
  <c r="AT71" i="8" s="1"/>
  <c r="AT39" i="8"/>
  <c r="AT34" i="8"/>
  <c r="AT28" i="8"/>
  <c r="AT25" i="8"/>
  <c r="AT38" i="8"/>
  <c r="AT15" i="8"/>
  <c r="AT12" i="8"/>
  <c r="AT22" i="8"/>
  <c r="AT13" i="8"/>
  <c r="AU5" i="8"/>
  <c r="AT18" i="8"/>
  <c r="AT11" i="8"/>
  <c r="AU17" i="8" s="1"/>
  <c r="AT6" i="8"/>
  <c r="AS95" i="8"/>
  <c r="AQ53" i="8"/>
  <c r="AR213" i="8"/>
  <c r="AQ215" i="8"/>
  <c r="AS214" i="8" l="1"/>
  <c r="AS206" i="8"/>
  <c r="AT45" i="8"/>
  <c r="AQ181" i="8"/>
  <c r="AQ179" i="8"/>
  <c r="AQ180" i="8"/>
  <c r="AR215" i="8"/>
  <c r="AS213" i="8"/>
  <c r="AU173" i="8"/>
  <c r="AU167" i="8"/>
  <c r="AU155" i="8"/>
  <c r="AU148" i="8"/>
  <c r="AU136" i="8"/>
  <c r="AU165" i="8"/>
  <c r="AU153" i="8"/>
  <c r="AU146" i="8"/>
  <c r="AU99" i="8"/>
  <c r="AU97" i="8"/>
  <c r="AU170" i="8"/>
  <c r="AU163" i="8"/>
  <c r="AU169" i="8"/>
  <c r="AU157" i="8"/>
  <c r="AU150" i="8"/>
  <c r="AU172" i="8"/>
  <c r="AU122" i="8"/>
  <c r="AU189" i="8"/>
  <c r="AV185" i="8" s="1"/>
  <c r="AU164" i="8"/>
  <c r="AU154" i="8"/>
  <c r="AU151" i="8"/>
  <c r="AU137" i="8"/>
  <c r="AU134" i="8"/>
  <c r="AU129" i="8"/>
  <c r="AU127" i="8"/>
  <c r="AU92" i="8"/>
  <c r="AU91" i="8" s="1"/>
  <c r="AU85" i="8"/>
  <c r="AU171" i="8"/>
  <c r="AU152" i="8"/>
  <c r="AU142" i="8"/>
  <c r="AU138" i="8"/>
  <c r="AU175" i="8" s="1" a="1"/>
  <c r="AU175" i="8" s="1"/>
  <c r="AU125" i="8"/>
  <c r="AU76" i="8"/>
  <c r="AU74" i="8"/>
  <c r="AU166" i="8"/>
  <c r="AU156" i="8"/>
  <c r="AU162" i="8"/>
  <c r="AU168" i="8"/>
  <c r="AU158" i="8"/>
  <c r="AU145" i="8"/>
  <c r="AU131" i="8"/>
  <c r="AU124" i="8"/>
  <c r="AU96" i="8"/>
  <c r="AU95" i="8" s="1"/>
  <c r="AU130" i="8"/>
  <c r="AU128" i="8"/>
  <c r="AU98" i="8"/>
  <c r="AU149" i="8"/>
  <c r="AU143" i="8"/>
  <c r="AU132" i="8"/>
  <c r="AU123" i="8"/>
  <c r="AU147" i="8"/>
  <c r="AU133" i="8"/>
  <c r="AU126" i="8"/>
  <c r="AU144" i="8"/>
  <c r="AU135" i="8"/>
  <c r="AU37" i="8"/>
  <c r="AU35" i="8"/>
  <c r="AU73" i="8"/>
  <c r="AU32" i="8"/>
  <c r="AU43" i="8" s="1" a="1"/>
  <c r="AU43" i="8" s="1"/>
  <c r="AU29" i="8"/>
  <c r="AU26" i="8"/>
  <c r="AU63" i="8"/>
  <c r="AU27" i="8"/>
  <c r="AU16" i="8"/>
  <c r="AU75" i="8"/>
  <c r="AU36" i="8"/>
  <c r="AU30" i="8"/>
  <c r="AU22" i="8"/>
  <c r="AU13" i="8"/>
  <c r="AU48" i="8"/>
  <c r="AU57" i="8" s="1"/>
  <c r="AU71" i="8" s="1"/>
  <c r="AU39" i="8"/>
  <c r="AU34" i="8"/>
  <c r="AU28" i="8"/>
  <c r="AU33" i="8"/>
  <c r="AU25" i="8"/>
  <c r="AU38" i="8"/>
  <c r="AU31" i="8"/>
  <c r="AV5" i="8"/>
  <c r="AU15" i="8"/>
  <c r="AU18" i="8"/>
  <c r="AU11" i="8"/>
  <c r="AV17" i="8" s="1"/>
  <c r="AU12" i="8"/>
  <c r="AU6" i="8"/>
  <c r="AR87" i="8"/>
  <c r="AR66" i="8" s="1"/>
  <c r="AS71" i="8"/>
  <c r="AS69" i="8" s="1"/>
  <c r="AT95" i="8"/>
  <c r="AP4" i="10"/>
  <c r="AP3" i="10" s="1"/>
  <c r="AR5" i="9"/>
  <c r="AS4" i="9"/>
  <c r="AU188" i="8"/>
  <c r="AU187" i="8"/>
  <c r="AS44" i="8"/>
  <c r="AT201" i="8" s="1"/>
  <c r="AT205" i="8" s="1"/>
  <c r="AU19" i="8"/>
  <c r="AU49" i="8"/>
  <c r="AU56" i="8" s="1"/>
  <c r="AT42" i="8"/>
  <c r="AS45" i="8"/>
  <c r="AS55" i="8"/>
  <c r="AT55" i="8"/>
  <c r="AT53" i="8" s="1"/>
  <c r="AT70" i="8"/>
  <c r="AT69" i="8" s="1"/>
  <c r="AT67" i="8" s="1"/>
  <c r="AS67" i="8" l="1"/>
  <c r="AS66" i="8" s="1"/>
  <c r="AT214" i="8"/>
  <c r="AT206" i="8"/>
  <c r="AU45" i="8"/>
  <c r="AU88" i="8"/>
  <c r="AU87" i="8" s="1"/>
  <c r="AV189" i="8"/>
  <c r="AW185" i="8" s="1"/>
  <c r="AV165" i="8"/>
  <c r="AV153" i="8"/>
  <c r="AV146" i="8"/>
  <c r="AV170" i="8"/>
  <c r="AV163" i="8"/>
  <c r="AV151" i="8"/>
  <c r="AV144" i="8"/>
  <c r="AV135" i="8"/>
  <c r="AV133" i="8"/>
  <c r="AV131" i="8"/>
  <c r="AV129" i="8"/>
  <c r="AV127" i="8"/>
  <c r="AV125" i="8"/>
  <c r="AV123" i="8"/>
  <c r="AV168" i="8"/>
  <c r="AV158" i="8"/>
  <c r="AV173" i="8"/>
  <c r="AV167" i="8"/>
  <c r="AV155" i="8"/>
  <c r="AV148" i="8"/>
  <c r="AV164" i="8"/>
  <c r="AV154" i="8"/>
  <c r="AV137" i="8"/>
  <c r="AV136" i="8"/>
  <c r="AV134" i="8"/>
  <c r="AV92" i="8"/>
  <c r="AV91" i="8" s="1"/>
  <c r="AV85" i="8"/>
  <c r="AV48" i="8"/>
  <c r="AV171" i="8"/>
  <c r="AV152" i="8"/>
  <c r="AV142" i="8"/>
  <c r="AV138" i="8"/>
  <c r="AV175" i="8" s="1" a="1"/>
  <c r="AV175" i="8" s="1"/>
  <c r="AV99" i="8"/>
  <c r="AV76" i="8"/>
  <c r="AV74" i="8"/>
  <c r="AV157" i="8"/>
  <c r="AV149" i="8"/>
  <c r="AV143" i="8"/>
  <c r="AV132" i="8"/>
  <c r="AV97" i="8"/>
  <c r="AV166" i="8"/>
  <c r="AV156" i="8"/>
  <c r="AV162" i="8"/>
  <c r="AV169" i="8"/>
  <c r="AV172" i="8"/>
  <c r="AV122" i="8"/>
  <c r="AV98" i="8"/>
  <c r="AV124" i="8"/>
  <c r="AV150" i="8"/>
  <c r="AV73" i="8"/>
  <c r="AV38" i="8"/>
  <c r="AV36" i="8"/>
  <c r="AV147" i="8"/>
  <c r="AV126" i="8"/>
  <c r="AV145" i="8"/>
  <c r="AV130" i="8"/>
  <c r="AV128" i="8"/>
  <c r="AV63" i="8"/>
  <c r="AV27" i="8"/>
  <c r="AV43" i="8" s="1" a="1"/>
  <c r="AV43" i="8" s="1"/>
  <c r="AV16" i="8"/>
  <c r="AV96" i="8"/>
  <c r="AV75" i="8"/>
  <c r="AV30" i="8"/>
  <c r="AV22" i="8"/>
  <c r="AV13" i="8"/>
  <c r="AV39" i="8"/>
  <c r="AV34" i="8"/>
  <c r="AV18" i="8"/>
  <c r="AV19" i="8" s="1"/>
  <c r="AV11" i="8"/>
  <c r="AV33" i="8"/>
  <c r="AV25" i="8"/>
  <c r="AV37" i="8"/>
  <c r="AV31" i="8"/>
  <c r="AV35" i="8"/>
  <c r="AV32" i="8"/>
  <c r="AV29" i="8"/>
  <c r="AV26" i="8"/>
  <c r="AW5" i="8"/>
  <c r="AV15" i="8"/>
  <c r="AV12" i="8"/>
  <c r="AV6" i="8"/>
  <c r="AT44" i="8"/>
  <c r="AU201" i="8" s="1"/>
  <c r="AU205" i="8" s="1"/>
  <c r="AQ4" i="10"/>
  <c r="AQ3" i="10" s="1"/>
  <c r="AT4" i="9"/>
  <c r="AS5" i="9"/>
  <c r="AV49" i="8"/>
  <c r="AV56" i="8" s="1"/>
  <c r="AU42" i="8"/>
  <c r="AV187" i="8"/>
  <c r="AV188" i="8"/>
  <c r="AU55" i="8"/>
  <c r="AU53" i="8" s="1"/>
  <c r="AU70" i="8"/>
  <c r="AU69" i="8" s="1"/>
  <c r="AU67" i="8" s="1"/>
  <c r="AS215" i="8"/>
  <c r="AT213" i="8"/>
  <c r="AS53" i="8"/>
  <c r="AR181" i="8"/>
  <c r="AR179" i="8"/>
  <c r="AR180" i="8"/>
  <c r="AT88" i="8"/>
  <c r="AU214" i="8" l="1"/>
  <c r="AU206" i="8"/>
  <c r="AS181" i="8"/>
  <c r="AS180" i="8"/>
  <c r="AS179" i="8"/>
  <c r="AT215" i="8"/>
  <c r="AU213" i="8"/>
  <c r="AV57" i="8"/>
  <c r="AW173" i="8"/>
  <c r="AW170" i="8"/>
  <c r="AW163" i="8"/>
  <c r="AW151" i="8"/>
  <c r="AW144" i="8"/>
  <c r="AW135" i="8"/>
  <c r="AW133" i="8"/>
  <c r="AW131" i="8"/>
  <c r="AW129" i="8"/>
  <c r="AW168" i="8"/>
  <c r="AW158" i="8"/>
  <c r="AW149" i="8"/>
  <c r="AW142" i="8"/>
  <c r="AW172" i="8"/>
  <c r="AW166" i="8"/>
  <c r="AW156" i="8"/>
  <c r="AW189" i="8"/>
  <c r="AX185" i="8" s="1"/>
  <c r="AW165" i="8"/>
  <c r="AW153" i="8"/>
  <c r="AW146" i="8"/>
  <c r="AW171" i="8"/>
  <c r="AW152" i="8"/>
  <c r="AW138" i="8"/>
  <c r="AW175" i="8" s="1" a="1"/>
  <c r="AW175" i="8" s="1"/>
  <c r="AW127" i="8"/>
  <c r="AW99" i="8"/>
  <c r="AW76" i="8"/>
  <c r="AW74" i="8"/>
  <c r="AW157" i="8"/>
  <c r="AW143" i="8"/>
  <c r="AW132" i="8"/>
  <c r="AW125" i="8"/>
  <c r="AW97" i="8"/>
  <c r="AW167" i="8"/>
  <c r="AW150" i="8"/>
  <c r="AW123" i="8"/>
  <c r="AW162" i="8"/>
  <c r="AW169" i="8"/>
  <c r="AW155" i="8"/>
  <c r="AW164" i="8"/>
  <c r="AW154" i="8"/>
  <c r="AW137" i="8"/>
  <c r="AW136" i="8"/>
  <c r="AW134" i="8"/>
  <c r="AW92" i="8"/>
  <c r="AW91" i="8" s="1"/>
  <c r="AW85" i="8"/>
  <c r="AW124" i="8"/>
  <c r="AW43" i="8" a="1"/>
  <c r="AW43" i="8" s="1"/>
  <c r="AW26" i="8"/>
  <c r="AW73" i="8"/>
  <c r="AW38" i="8"/>
  <c r="AW36" i="8"/>
  <c r="AW34" i="8"/>
  <c r="AW32" i="8"/>
  <c r="AW30" i="8"/>
  <c r="AW28" i="8"/>
  <c r="AW147" i="8"/>
  <c r="AW39" i="8"/>
  <c r="AW148" i="8"/>
  <c r="AW126" i="8"/>
  <c r="AW145" i="8"/>
  <c r="AW122" i="8"/>
  <c r="AW130" i="8"/>
  <c r="AW128" i="8"/>
  <c r="AW98" i="8"/>
  <c r="AW96" i="8"/>
  <c r="AW75" i="8"/>
  <c r="AW22" i="8"/>
  <c r="AW13" i="8"/>
  <c r="AW18" i="8"/>
  <c r="AW11" i="8"/>
  <c r="AW48" i="8"/>
  <c r="AW57" i="8" s="1"/>
  <c r="AW71" i="8" s="1"/>
  <c r="AW33" i="8"/>
  <c r="AW37" i="8"/>
  <c r="AW31" i="8"/>
  <c r="AW35" i="8"/>
  <c r="AW29" i="8"/>
  <c r="AW63" i="8"/>
  <c r="AW27" i="8"/>
  <c r="AW16" i="8"/>
  <c r="AX5" i="8"/>
  <c r="AW25" i="8"/>
  <c r="AW15" i="8"/>
  <c r="AW12" i="8"/>
  <c r="AW6" i="8"/>
  <c r="AW187" i="8"/>
  <c r="AW188" i="8"/>
  <c r="AV201" i="8"/>
  <c r="AV205" i="8" s="1"/>
  <c r="AU44" i="8"/>
  <c r="AT87" i="8"/>
  <c r="AT66" i="8" s="1"/>
  <c r="AV70" i="8"/>
  <c r="AV42" i="8"/>
  <c r="AW49" i="8"/>
  <c r="AW56" i="8" s="1"/>
  <c r="AU66" i="8"/>
  <c r="AU180" i="8" s="1"/>
  <c r="AR4" i="10"/>
  <c r="AR3" i="10" s="1"/>
  <c r="AT5" i="9"/>
  <c r="AU4" i="9"/>
  <c r="AW17" i="8"/>
  <c r="AV95" i="8"/>
  <c r="AV44" i="8" l="1"/>
  <c r="AW201" i="8" s="1"/>
  <c r="AW205" i="8" s="1"/>
  <c r="AX17" i="8"/>
  <c r="AW19" i="8"/>
  <c r="AV214" i="8"/>
  <c r="AV206" i="8"/>
  <c r="AX172" i="8"/>
  <c r="AX170" i="8"/>
  <c r="AX168" i="8"/>
  <c r="AX166" i="8"/>
  <c r="AX164" i="8"/>
  <c r="AX162" i="8"/>
  <c r="AX157" i="8"/>
  <c r="AX155" i="8"/>
  <c r="AX153" i="8"/>
  <c r="AX151" i="8"/>
  <c r="AX149" i="8"/>
  <c r="AX147" i="8"/>
  <c r="AX145" i="8"/>
  <c r="AX143" i="8"/>
  <c r="AX138" i="8"/>
  <c r="AX175" i="8" s="1" a="1"/>
  <c r="AX175" i="8" s="1"/>
  <c r="AX136" i="8"/>
  <c r="AX173" i="8"/>
  <c r="AX158" i="8"/>
  <c r="AX142" i="8"/>
  <c r="AX156" i="8"/>
  <c r="AX137" i="8"/>
  <c r="AX154" i="8"/>
  <c r="AX163" i="8"/>
  <c r="AX189" i="8"/>
  <c r="AY185" i="8" s="1"/>
  <c r="AX132" i="8"/>
  <c r="AX129" i="8"/>
  <c r="AX125" i="8"/>
  <c r="AX97" i="8"/>
  <c r="AX63" i="8"/>
  <c r="AX167" i="8"/>
  <c r="AX150" i="8"/>
  <c r="AX123" i="8"/>
  <c r="AX144" i="8"/>
  <c r="AX135" i="8"/>
  <c r="AX130" i="8"/>
  <c r="AX128" i="8"/>
  <c r="AX169" i="8"/>
  <c r="AX165" i="8"/>
  <c r="AX171" i="8"/>
  <c r="AX152" i="8"/>
  <c r="AX127" i="8"/>
  <c r="AX99" i="8"/>
  <c r="AX76" i="8"/>
  <c r="AX74" i="8"/>
  <c r="AX73" i="8"/>
  <c r="AX38" i="8"/>
  <c r="AX36" i="8"/>
  <c r="AX34" i="8"/>
  <c r="AX32" i="8"/>
  <c r="AX30" i="8"/>
  <c r="AX28" i="8"/>
  <c r="AX22" i="8"/>
  <c r="AX18" i="8"/>
  <c r="AX131" i="8"/>
  <c r="AX39" i="8"/>
  <c r="AX148" i="8"/>
  <c r="AX126" i="8"/>
  <c r="AX75" i="8"/>
  <c r="AX48" i="8"/>
  <c r="AX57" i="8" s="1"/>
  <c r="AX71" i="8" s="1"/>
  <c r="AX133" i="8"/>
  <c r="AX146" i="8"/>
  <c r="AX122" i="8"/>
  <c r="AX134" i="8"/>
  <c r="AX98" i="8"/>
  <c r="AX124" i="8"/>
  <c r="AX11" i="8"/>
  <c r="AX85" i="8"/>
  <c r="AX33" i="8"/>
  <c r="AX25" i="8"/>
  <c r="AY5" i="8"/>
  <c r="AX37" i="8"/>
  <c r="AX31" i="8"/>
  <c r="AX35" i="8"/>
  <c r="AX92" i="8"/>
  <c r="AX91" i="8" s="1"/>
  <c r="AX29" i="8"/>
  <c r="AX27" i="8"/>
  <c r="AX26" i="8"/>
  <c r="AX96" i="8"/>
  <c r="AX95" i="8" s="1"/>
  <c r="AX13" i="8"/>
  <c r="AX15" i="8"/>
  <c r="AX16" i="8"/>
  <c r="AX12" i="8"/>
  <c r="AX6" i="8"/>
  <c r="AX187" i="8"/>
  <c r="AX188" i="8"/>
  <c r="AW45" i="8"/>
  <c r="AV88" i="8"/>
  <c r="AU181" i="8"/>
  <c r="AV45" i="8"/>
  <c r="AT181" i="8"/>
  <c r="AT180" i="8"/>
  <c r="AT179" i="8"/>
  <c r="AU179" i="8"/>
  <c r="AW70" i="8"/>
  <c r="AW69" i="8" s="1"/>
  <c r="AW67" i="8" s="1"/>
  <c r="AW55" i="8"/>
  <c r="AW53" i="8" s="1"/>
  <c r="AV71" i="8"/>
  <c r="AV69" i="8" s="1"/>
  <c r="AV55" i="8"/>
  <c r="AV4" i="9"/>
  <c r="AS4" i="10"/>
  <c r="AS3" i="10" s="1"/>
  <c r="AU5" i="9"/>
  <c r="AX49" i="8"/>
  <c r="AX56" i="8" s="1"/>
  <c r="AW42" i="8"/>
  <c r="AW95" i="8"/>
  <c r="AV213" i="8"/>
  <c r="AU215" i="8"/>
  <c r="AV67" i="8" l="1"/>
  <c r="AW214" i="8"/>
  <c r="AW206" i="8"/>
  <c r="AY168" i="8"/>
  <c r="AY156" i="8"/>
  <c r="AY149" i="8"/>
  <c r="AY137" i="8"/>
  <c r="AY172" i="8"/>
  <c r="AY166" i="8"/>
  <c r="AY154" i="8"/>
  <c r="AY147" i="8"/>
  <c r="AY98" i="8"/>
  <c r="AY96" i="8"/>
  <c r="AY95" i="8" s="1"/>
  <c r="AY189" i="8"/>
  <c r="AZ185" i="8" s="1"/>
  <c r="AY171" i="8"/>
  <c r="AY164" i="8"/>
  <c r="AY170" i="8"/>
  <c r="AY158" i="8"/>
  <c r="AY151" i="8"/>
  <c r="AY167" i="8"/>
  <c r="AY157" i="8"/>
  <c r="AY150" i="8"/>
  <c r="AY143" i="8"/>
  <c r="AY142" i="8"/>
  <c r="AY123" i="8"/>
  <c r="AY144" i="8"/>
  <c r="AY135" i="8"/>
  <c r="AY130" i="8"/>
  <c r="AY128" i="8"/>
  <c r="AY173" i="8"/>
  <c r="AY163" i="8"/>
  <c r="AY153" i="8"/>
  <c r="AY148" i="8"/>
  <c r="AY126" i="8"/>
  <c r="AY75" i="8"/>
  <c r="AY169" i="8"/>
  <c r="AY162" i="8"/>
  <c r="AY165" i="8"/>
  <c r="AY155" i="8"/>
  <c r="AY138" i="8"/>
  <c r="AY175" i="8" s="1" a="1"/>
  <c r="AY175" i="8" s="1"/>
  <c r="AY132" i="8"/>
  <c r="AY129" i="8"/>
  <c r="AY125" i="8"/>
  <c r="AY97" i="8"/>
  <c r="AY131" i="8"/>
  <c r="AY39" i="8"/>
  <c r="AY152" i="8"/>
  <c r="AY136" i="8"/>
  <c r="AY127" i="8"/>
  <c r="AY74" i="8"/>
  <c r="AY48" i="8"/>
  <c r="AY57" i="8" s="1"/>
  <c r="AY133" i="8"/>
  <c r="AY146" i="8"/>
  <c r="AY145" i="8"/>
  <c r="AY122" i="8"/>
  <c r="AY134" i="8"/>
  <c r="AY99" i="8"/>
  <c r="AY124" i="8"/>
  <c r="AY73" i="8"/>
  <c r="AY38" i="8"/>
  <c r="AY36" i="8"/>
  <c r="AY34" i="8"/>
  <c r="AY85" i="8"/>
  <c r="AY33" i="8"/>
  <c r="AY30" i="8"/>
  <c r="AY18" i="8"/>
  <c r="AY25" i="8"/>
  <c r="AZ5" i="8"/>
  <c r="AY76" i="8"/>
  <c r="AY37" i="8"/>
  <c r="AY31" i="8"/>
  <c r="AY28" i="8"/>
  <c r="AY15" i="8"/>
  <c r="AY12" i="8"/>
  <c r="AY35" i="8"/>
  <c r="AY92" i="8"/>
  <c r="AY91" i="8" s="1"/>
  <c r="AY29" i="8"/>
  <c r="AY27" i="8"/>
  <c r="AY26" i="8"/>
  <c r="AY63" i="8"/>
  <c r="AY32" i="8"/>
  <c r="AY22" i="8"/>
  <c r="AY11" i="8"/>
  <c r="AY16" i="8"/>
  <c r="AY13" i="8"/>
  <c r="AY6" i="8"/>
  <c r="AW213" i="8"/>
  <c r="AV215" i="8"/>
  <c r="AY188" i="8"/>
  <c r="AY187" i="8"/>
  <c r="AV53" i="8"/>
  <c r="AX201" i="8"/>
  <c r="AX205" i="8" s="1"/>
  <c r="AW44" i="8"/>
  <c r="AY17" i="8"/>
  <c r="AT4" i="10"/>
  <c r="AT3" i="10" s="1"/>
  <c r="AV5" i="9"/>
  <c r="AW4" i="9"/>
  <c r="AY49" i="8"/>
  <c r="AY56" i="8" s="1"/>
  <c r="AX42" i="8"/>
  <c r="AX43" i="8" a="1"/>
  <c r="AX43" i="8" s="1"/>
  <c r="AX19" i="8"/>
  <c r="AV87" i="8"/>
  <c r="AX70" i="8"/>
  <c r="AX69" i="8" s="1"/>
  <c r="AX67" i="8" s="1"/>
  <c r="AX55" i="8"/>
  <c r="AX53" i="8" s="1"/>
  <c r="AW88" i="8"/>
  <c r="AW87" i="8" s="1"/>
  <c r="AW66" i="8" s="1"/>
  <c r="AW181" i="8" l="1"/>
  <c r="AW180" i="8"/>
  <c r="AW179" i="8"/>
  <c r="AY70" i="8"/>
  <c r="AY69" i="8" s="1"/>
  <c r="AY67" i="8" s="1"/>
  <c r="AY55" i="8"/>
  <c r="AY53" i="8" s="1"/>
  <c r="AY71" i="8"/>
  <c r="AX45" i="8"/>
  <c r="AX214" i="8"/>
  <c r="AX206" i="8"/>
  <c r="AV181" i="8"/>
  <c r="AZ189" i="8"/>
  <c r="BA185" i="8" s="1"/>
  <c r="AZ172" i="8"/>
  <c r="AZ166" i="8"/>
  <c r="AZ154" i="8"/>
  <c r="AZ147" i="8"/>
  <c r="AZ171" i="8"/>
  <c r="AZ164" i="8"/>
  <c r="AZ152" i="8"/>
  <c r="AZ145" i="8"/>
  <c r="AZ134" i="8"/>
  <c r="AZ132" i="8"/>
  <c r="AZ130" i="8"/>
  <c r="AZ128" i="8"/>
  <c r="AZ126" i="8"/>
  <c r="AZ124" i="8"/>
  <c r="AZ122" i="8"/>
  <c r="AZ169" i="8"/>
  <c r="AZ162" i="8"/>
  <c r="AZ168" i="8"/>
  <c r="AZ156" i="8"/>
  <c r="AZ149" i="8"/>
  <c r="AZ151" i="8"/>
  <c r="AZ144" i="8"/>
  <c r="AZ135" i="8"/>
  <c r="AZ173" i="8"/>
  <c r="AZ163" i="8"/>
  <c r="AZ153" i="8"/>
  <c r="AZ148" i="8"/>
  <c r="AZ75" i="8"/>
  <c r="AZ73" i="8"/>
  <c r="AZ170" i="8"/>
  <c r="AZ133" i="8"/>
  <c r="AZ98" i="8"/>
  <c r="R54" i="7" s="1"/>
  <c r="AZ165" i="8"/>
  <c r="AZ155" i="8"/>
  <c r="AZ158" i="8"/>
  <c r="AZ167" i="8"/>
  <c r="AZ157" i="8"/>
  <c r="AZ150" i="8"/>
  <c r="AZ143" i="8"/>
  <c r="AZ142" i="8"/>
  <c r="AZ123" i="8"/>
  <c r="AZ136" i="8"/>
  <c r="AZ127" i="8"/>
  <c r="AZ74" i="8"/>
  <c r="AZ48" i="8"/>
  <c r="AZ138" i="8"/>
  <c r="AZ175" i="8" s="1" a="1"/>
  <c r="AZ175" i="8" s="1"/>
  <c r="R38" i="7" s="1"/>
  <c r="AZ97" i="8"/>
  <c r="R53" i="7" s="1"/>
  <c r="AZ27" i="8"/>
  <c r="AZ146" i="8"/>
  <c r="AZ96" i="8"/>
  <c r="AZ63" i="8"/>
  <c r="R37" i="7" s="1"/>
  <c r="AZ37" i="8"/>
  <c r="AZ99" i="8"/>
  <c r="R55" i="7" s="1"/>
  <c r="AZ137" i="8"/>
  <c r="AZ129" i="8"/>
  <c r="AZ125" i="8"/>
  <c r="AZ131" i="8"/>
  <c r="AZ39" i="8"/>
  <c r="AZ25" i="8"/>
  <c r="BA5" i="8"/>
  <c r="AZ76" i="8"/>
  <c r="AZ36" i="8"/>
  <c r="AZ34" i="8"/>
  <c r="AZ31" i="8"/>
  <c r="AZ28" i="8"/>
  <c r="AZ15" i="8"/>
  <c r="AZ12" i="8"/>
  <c r="AZ35" i="8"/>
  <c r="AZ92" i="8"/>
  <c r="AZ91" i="8" s="1"/>
  <c r="R50" i="7" s="1"/>
  <c r="AZ29" i="8"/>
  <c r="AZ26" i="8"/>
  <c r="AZ43" i="8" s="1" a="1"/>
  <c r="AZ43" i="8" s="1"/>
  <c r="AZ38" i="8"/>
  <c r="AZ32" i="8"/>
  <c r="AZ22" i="8"/>
  <c r="AZ85" i="8"/>
  <c r="AZ33" i="8"/>
  <c r="AZ30" i="8"/>
  <c r="AZ18" i="8"/>
  <c r="AZ16" i="8"/>
  <c r="AZ11" i="8"/>
  <c r="BA17" i="8" s="1"/>
  <c r="AZ13" i="8"/>
  <c r="AZ6" i="8"/>
  <c r="AZ49" i="8"/>
  <c r="AZ56" i="8" s="1"/>
  <c r="AY42" i="8"/>
  <c r="AW215" i="8"/>
  <c r="AX213" i="8"/>
  <c r="AX44" i="8"/>
  <c r="AY201" i="8" s="1"/>
  <c r="AY205" i="8" s="1"/>
  <c r="AX88" i="8"/>
  <c r="AX87" i="8" s="1"/>
  <c r="AX66" i="8" s="1"/>
  <c r="AZ188" i="8"/>
  <c r="AZ187" i="8"/>
  <c r="AW5" i="9"/>
  <c r="AX4" i="9"/>
  <c r="AU4" i="10"/>
  <c r="AU3" i="10" s="1"/>
  <c r="AY43" i="8" a="1"/>
  <c r="AY43" i="8" s="1"/>
  <c r="AY45" i="8" s="1"/>
  <c r="AY19" i="8"/>
  <c r="AZ17" i="8"/>
  <c r="AZ19" i="8" s="1"/>
  <c r="AV66" i="8"/>
  <c r="AV179" i="8" s="1"/>
  <c r="AX181" i="8" l="1"/>
  <c r="AX180" i="8"/>
  <c r="AX179" i="8"/>
  <c r="AY214" i="8"/>
  <c r="AY206" i="8"/>
  <c r="AZ45" i="8"/>
  <c r="AZ42" i="8"/>
  <c r="BA49" i="8"/>
  <c r="BA56" i="8" s="1"/>
  <c r="AV180" i="8"/>
  <c r="AZ70" i="8"/>
  <c r="R32" i="7"/>
  <c r="BA189" i="8"/>
  <c r="BB185" i="8" s="1"/>
  <c r="BA171" i="8"/>
  <c r="BA164" i="8"/>
  <c r="BA152" i="8"/>
  <c r="BA145" i="8"/>
  <c r="BA134" i="8"/>
  <c r="BA132" i="8"/>
  <c r="BA130" i="8"/>
  <c r="BA169" i="8"/>
  <c r="BA162" i="8"/>
  <c r="BA150" i="8"/>
  <c r="BA143" i="8"/>
  <c r="BA167" i="8"/>
  <c r="BA157" i="8"/>
  <c r="BA172" i="8"/>
  <c r="BA166" i="8"/>
  <c r="BA154" i="8"/>
  <c r="BA147" i="8"/>
  <c r="BA173" i="8"/>
  <c r="BA163" i="8"/>
  <c r="BA153" i="8"/>
  <c r="BA148" i="8"/>
  <c r="BA128" i="8"/>
  <c r="BA75" i="8"/>
  <c r="BA73" i="8"/>
  <c r="BA39" i="8"/>
  <c r="BA170" i="8"/>
  <c r="BA149" i="8"/>
  <c r="BA133" i="8"/>
  <c r="BA126" i="8"/>
  <c r="BA98" i="8"/>
  <c r="BA156" i="8"/>
  <c r="BA146" i="8"/>
  <c r="BA124" i="8"/>
  <c r="BA96" i="8"/>
  <c r="BA165" i="8"/>
  <c r="BA155" i="8"/>
  <c r="BA158" i="8"/>
  <c r="BA168" i="8"/>
  <c r="BA151" i="8"/>
  <c r="BA144" i="8"/>
  <c r="BA135" i="8"/>
  <c r="BA138" i="8"/>
  <c r="BA175" i="8" s="1" a="1"/>
  <c r="BA175" i="8" s="1"/>
  <c r="BA97" i="8"/>
  <c r="BA27" i="8"/>
  <c r="BA25" i="8"/>
  <c r="BA123" i="8"/>
  <c r="BA63" i="8"/>
  <c r="BA37" i="8"/>
  <c r="BA35" i="8"/>
  <c r="BA33" i="8"/>
  <c r="BA31" i="8"/>
  <c r="BA29" i="8"/>
  <c r="BA122" i="8"/>
  <c r="BA92" i="8"/>
  <c r="BA91" i="8" s="1"/>
  <c r="BA85" i="8"/>
  <c r="BA99" i="8"/>
  <c r="BA137" i="8"/>
  <c r="BA129" i="8"/>
  <c r="BA125" i="8"/>
  <c r="BA142" i="8"/>
  <c r="BA131" i="8"/>
  <c r="BA136" i="8"/>
  <c r="BA127" i="8"/>
  <c r="BA74" i="8"/>
  <c r="BA48" i="8"/>
  <c r="BA76" i="8"/>
  <c r="BA36" i="8"/>
  <c r="BA34" i="8"/>
  <c r="BA28" i="8"/>
  <c r="BA15" i="8"/>
  <c r="BA12" i="8"/>
  <c r="BA38" i="8"/>
  <c r="BA32" i="8"/>
  <c r="BA22" i="8"/>
  <c r="BA30" i="8"/>
  <c r="BB5" i="8"/>
  <c r="BA16" i="8"/>
  <c r="BA26" i="8"/>
  <c r="BA43" i="8" s="1" a="1"/>
  <c r="BA43" i="8" s="1"/>
  <c r="BA11" i="8"/>
  <c r="BB17" i="8" s="1"/>
  <c r="BA18" i="8"/>
  <c r="BA19" i="8" s="1"/>
  <c r="BA13" i="8"/>
  <c r="BA6" i="8"/>
  <c r="AZ57" i="8"/>
  <c r="R29" i="7"/>
  <c r="R11" i="7" s="1"/>
  <c r="R15" i="7"/>
  <c r="AX215" i="8"/>
  <c r="AY213" i="8"/>
  <c r="AZ95" i="8"/>
  <c r="R52" i="7"/>
  <c r="BA188" i="8"/>
  <c r="BA187" i="8"/>
  <c r="AY4" i="9"/>
  <c r="AX5" i="9"/>
  <c r="AV4" i="10"/>
  <c r="AV3" i="10" s="1"/>
  <c r="AY44" i="8"/>
  <c r="AZ201" i="8" s="1"/>
  <c r="AZ205" i="8" s="1"/>
  <c r="AY88" i="8"/>
  <c r="AY87" i="8" s="1"/>
  <c r="AY66" i="8" s="1"/>
  <c r="R16" i="7"/>
  <c r="AZ214" i="8" l="1"/>
  <c r="AZ206" i="8"/>
  <c r="AY179" i="8"/>
  <c r="AY181" i="8"/>
  <c r="AY180" i="8"/>
  <c r="BA45" i="8"/>
  <c r="BA95" i="8"/>
  <c r="BA201" i="8"/>
  <c r="BA205" i="8" s="1"/>
  <c r="AZ44" i="8"/>
  <c r="R51" i="7"/>
  <c r="BA57" i="8"/>
  <c r="BA55" i="8" s="1"/>
  <c r="AY215" i="8"/>
  <c r="AZ213" i="8"/>
  <c r="AZ69" i="8"/>
  <c r="AY5" i="9"/>
  <c r="AZ4" i="9"/>
  <c r="AW4" i="10"/>
  <c r="AW3" i="10" s="1"/>
  <c r="AZ71" i="8"/>
  <c r="R33" i="7"/>
  <c r="BA42" i="8"/>
  <c r="BB49" i="8"/>
  <c r="BB56" i="8" s="1"/>
  <c r="AZ55" i="8"/>
  <c r="BB188" i="8"/>
  <c r="BB187" i="8"/>
  <c r="BB189" i="8"/>
  <c r="BC185" i="8" s="1"/>
  <c r="BB173" i="8"/>
  <c r="BB171" i="8"/>
  <c r="BB169" i="8"/>
  <c r="BB167" i="8"/>
  <c r="BB165" i="8"/>
  <c r="BB163" i="8"/>
  <c r="BB158" i="8"/>
  <c r="BB156" i="8"/>
  <c r="BB154" i="8"/>
  <c r="BB152" i="8"/>
  <c r="BB150" i="8"/>
  <c r="BB148" i="8"/>
  <c r="BB146" i="8"/>
  <c r="BB144" i="8"/>
  <c r="BB142" i="8"/>
  <c r="BB137" i="8"/>
  <c r="BB162" i="8"/>
  <c r="BB143" i="8"/>
  <c r="BB157" i="8"/>
  <c r="BB138" i="8"/>
  <c r="BB175" i="8" s="1" a="1"/>
  <c r="BB175" i="8" s="1"/>
  <c r="BB155" i="8"/>
  <c r="BB164" i="8"/>
  <c r="BB145" i="8"/>
  <c r="BB170" i="8"/>
  <c r="BB149" i="8"/>
  <c r="BB133" i="8"/>
  <c r="BB130" i="8"/>
  <c r="BB126" i="8"/>
  <c r="BB98" i="8"/>
  <c r="BB124" i="8"/>
  <c r="BB96" i="8"/>
  <c r="BB166" i="8"/>
  <c r="BB147" i="8"/>
  <c r="BB131" i="8"/>
  <c r="BB122" i="8"/>
  <c r="BB92" i="8"/>
  <c r="BB91" i="8" s="1"/>
  <c r="BB85" i="8"/>
  <c r="BB168" i="8"/>
  <c r="BB172" i="8"/>
  <c r="BB153" i="8"/>
  <c r="BB128" i="8"/>
  <c r="BB75" i="8"/>
  <c r="BB73" i="8"/>
  <c r="BB123" i="8"/>
  <c r="BB63" i="8"/>
  <c r="BB37" i="8"/>
  <c r="BB35" i="8"/>
  <c r="BB33" i="8"/>
  <c r="BB31" i="8"/>
  <c r="BB29" i="8"/>
  <c r="BB151" i="8"/>
  <c r="BB132" i="8"/>
  <c r="BB99" i="8"/>
  <c r="BB76" i="8"/>
  <c r="BB134" i="8"/>
  <c r="BB129" i="8"/>
  <c r="BB125" i="8"/>
  <c r="BB135" i="8"/>
  <c r="BB136" i="8"/>
  <c r="BB127" i="8"/>
  <c r="BB97" i="8"/>
  <c r="BB48" i="8"/>
  <c r="BB57" i="8" s="1"/>
  <c r="BB71" i="8" s="1"/>
  <c r="BB39" i="8"/>
  <c r="BB26" i="8"/>
  <c r="BB16" i="8"/>
  <c r="BB38" i="8"/>
  <c r="BB32" i="8"/>
  <c r="BB27" i="8"/>
  <c r="BB22" i="8"/>
  <c r="BB30" i="8"/>
  <c r="BB74" i="8"/>
  <c r="BB36" i="8"/>
  <c r="BB34" i="8"/>
  <c r="BB28" i="8"/>
  <c r="BB25" i="8"/>
  <c r="BB43" i="8" s="1" a="1"/>
  <c r="BB43" i="8" s="1"/>
  <c r="BB15" i="8"/>
  <c r="BB12" i="8"/>
  <c r="BB11" i="8"/>
  <c r="BB18" i="8"/>
  <c r="BB19" i="8" s="1"/>
  <c r="BB13" i="8"/>
  <c r="BC5" i="8"/>
  <c r="BB6" i="8"/>
  <c r="BA70" i="8"/>
  <c r="AZ88" i="8"/>
  <c r="BB88" i="8" l="1"/>
  <c r="BB87" i="8" s="1"/>
  <c r="BA53" i="8"/>
  <c r="BB45" i="8"/>
  <c r="BB95" i="8"/>
  <c r="BA71" i="8"/>
  <c r="AZ67" i="8"/>
  <c r="R42" i="7"/>
  <c r="AZ87" i="8"/>
  <c r="R48" i="7"/>
  <c r="BA44" i="8"/>
  <c r="BB201" i="8" s="1"/>
  <c r="BB205" i="8" s="1"/>
  <c r="BA88" i="8"/>
  <c r="BB42" i="8"/>
  <c r="BC49" i="8"/>
  <c r="BC56" i="8" s="1"/>
  <c r="AZ53" i="8"/>
  <c r="R31" i="7"/>
  <c r="BC172" i="8"/>
  <c r="BC169" i="8"/>
  <c r="BC157" i="8"/>
  <c r="BC150" i="8"/>
  <c r="BC138" i="8"/>
  <c r="BC175" i="8" s="1" a="1"/>
  <c r="BC175" i="8" s="1"/>
  <c r="BC189" i="8"/>
  <c r="BD185" i="8" s="1"/>
  <c r="BC167" i="8"/>
  <c r="BC155" i="8"/>
  <c r="BC148" i="8"/>
  <c r="BC136" i="8"/>
  <c r="BC99" i="8"/>
  <c r="BC97" i="8"/>
  <c r="BC165" i="8"/>
  <c r="BC153" i="8"/>
  <c r="BC171" i="8"/>
  <c r="BC162" i="8"/>
  <c r="BC152" i="8"/>
  <c r="BC124" i="8"/>
  <c r="BC96" i="8"/>
  <c r="BC166" i="8"/>
  <c r="BC156" i="8"/>
  <c r="BC147" i="8"/>
  <c r="BC146" i="8"/>
  <c r="BC131" i="8"/>
  <c r="BC122" i="8"/>
  <c r="BC92" i="8"/>
  <c r="BC91" i="8" s="1"/>
  <c r="BC85" i="8"/>
  <c r="BC127" i="8"/>
  <c r="BC76" i="8"/>
  <c r="BC74" i="8"/>
  <c r="BC168" i="8"/>
  <c r="BC158" i="8"/>
  <c r="BC164" i="8"/>
  <c r="BC154" i="8"/>
  <c r="BC173" i="8"/>
  <c r="BC170" i="8"/>
  <c r="BC163" i="8"/>
  <c r="BC149" i="8"/>
  <c r="BC133" i="8"/>
  <c r="BC130" i="8"/>
  <c r="BC126" i="8"/>
  <c r="BC98" i="8"/>
  <c r="BC151" i="8"/>
  <c r="BC132" i="8"/>
  <c r="BC143" i="8"/>
  <c r="BC75" i="8"/>
  <c r="BC145" i="8"/>
  <c r="BC134" i="8"/>
  <c r="BC129" i="8"/>
  <c r="BC125" i="8"/>
  <c r="BC137" i="8"/>
  <c r="BC142" i="8"/>
  <c r="BC135" i="8"/>
  <c r="BC144" i="8"/>
  <c r="BC128" i="8"/>
  <c r="BC123" i="8"/>
  <c r="BC63" i="8"/>
  <c r="BC37" i="8"/>
  <c r="BC35" i="8"/>
  <c r="BC48" i="8"/>
  <c r="BC39" i="8"/>
  <c r="BC31" i="8"/>
  <c r="BC26" i="8"/>
  <c r="BC43" i="8" s="1" a="1"/>
  <c r="BC43" i="8" s="1"/>
  <c r="BC16" i="8"/>
  <c r="BC38" i="8"/>
  <c r="BC32" i="8"/>
  <c r="BC29" i="8"/>
  <c r="BC13" i="8"/>
  <c r="BC27" i="8"/>
  <c r="BC30" i="8"/>
  <c r="BC36" i="8"/>
  <c r="BC34" i="8"/>
  <c r="BC33" i="8"/>
  <c r="BC28" i="8"/>
  <c r="BC25" i="8"/>
  <c r="BC73" i="8"/>
  <c r="BC11" i="8"/>
  <c r="BC18" i="8"/>
  <c r="BC12" i="8"/>
  <c r="BD5" i="8"/>
  <c r="BC22" i="8"/>
  <c r="BC15" i="8"/>
  <c r="BC6" i="8"/>
  <c r="BA214" i="8"/>
  <c r="BA206" i="8"/>
  <c r="AX4" i="10"/>
  <c r="AX3" i="10" s="1"/>
  <c r="AZ5" i="9"/>
  <c r="BA4" i="9"/>
  <c r="R21" i="7"/>
  <c r="BB55" i="8"/>
  <c r="BB53" i="8" s="1"/>
  <c r="BB70" i="8"/>
  <c r="BB69" i="8" s="1"/>
  <c r="BB67" i="8" s="1"/>
  <c r="BA69" i="8"/>
  <c r="BC17" i="8"/>
  <c r="BC19" i="8" s="1"/>
  <c r="BC187" i="8"/>
  <c r="BC188" i="8"/>
  <c r="AZ215" i="8"/>
  <c r="BA213" i="8"/>
  <c r="BB214" i="8" l="1"/>
  <c r="BB206" i="8"/>
  <c r="BC88" i="8"/>
  <c r="BC87" i="8" s="1"/>
  <c r="BA87" i="8"/>
  <c r="AY4" i="10"/>
  <c r="AY3" i="10" s="1"/>
  <c r="BB4" i="9"/>
  <c r="BA5" i="9"/>
  <c r="BD189" i="8"/>
  <c r="BE185" i="8" s="1"/>
  <c r="BD167" i="8"/>
  <c r="BD155" i="8"/>
  <c r="BD148" i="8"/>
  <c r="BD136" i="8"/>
  <c r="BD165" i="8"/>
  <c r="BD153" i="8"/>
  <c r="BD146" i="8"/>
  <c r="BD135" i="8"/>
  <c r="BD133" i="8"/>
  <c r="BD131" i="8"/>
  <c r="BD129" i="8"/>
  <c r="BD127" i="8"/>
  <c r="BD125" i="8"/>
  <c r="BD123" i="8"/>
  <c r="BD173" i="8"/>
  <c r="BD170" i="8"/>
  <c r="BD163" i="8"/>
  <c r="BD169" i="8"/>
  <c r="BD157" i="8"/>
  <c r="BD150" i="8"/>
  <c r="BD166" i="8"/>
  <c r="BD156" i="8"/>
  <c r="BD147" i="8"/>
  <c r="BD122" i="8"/>
  <c r="BD92" i="8"/>
  <c r="BD91" i="8" s="1"/>
  <c r="BD85" i="8"/>
  <c r="BD48" i="8"/>
  <c r="BD57" i="8" s="1"/>
  <c r="BD71" i="8" s="1"/>
  <c r="BD76" i="8"/>
  <c r="BD74" i="8"/>
  <c r="BD162" i="8"/>
  <c r="BD145" i="8"/>
  <c r="BD134" i="8"/>
  <c r="BD99" i="8"/>
  <c r="BD168" i="8"/>
  <c r="BD158" i="8"/>
  <c r="BD172" i="8"/>
  <c r="BD164" i="8"/>
  <c r="BD154" i="8"/>
  <c r="BD171" i="8"/>
  <c r="BD124" i="8"/>
  <c r="BD96" i="8"/>
  <c r="BD152" i="8"/>
  <c r="BD143" i="8"/>
  <c r="BD75" i="8"/>
  <c r="BD149" i="8"/>
  <c r="BD126" i="8"/>
  <c r="BD137" i="8"/>
  <c r="BD38" i="8"/>
  <c r="BD36" i="8"/>
  <c r="BD142" i="8"/>
  <c r="BD144" i="8"/>
  <c r="BD128" i="8"/>
  <c r="BD130" i="8"/>
  <c r="BD98" i="8"/>
  <c r="BD97" i="8"/>
  <c r="BD151" i="8"/>
  <c r="BD138" i="8"/>
  <c r="BD175" i="8" s="1" a="1"/>
  <c r="BD175" i="8" s="1"/>
  <c r="BD132" i="8"/>
  <c r="BD26" i="8"/>
  <c r="BD16" i="8"/>
  <c r="BD37" i="8"/>
  <c r="BD35" i="8"/>
  <c r="BD32" i="8"/>
  <c r="BD29" i="8"/>
  <c r="BD43" i="8" s="1" a="1"/>
  <c r="BD43" i="8" s="1"/>
  <c r="BD13" i="8"/>
  <c r="BD27" i="8"/>
  <c r="BD22" i="8"/>
  <c r="BD11" i="8"/>
  <c r="BE17" i="8" s="1"/>
  <c r="BD30" i="8"/>
  <c r="BD63" i="8"/>
  <c r="BD34" i="8"/>
  <c r="BD33" i="8"/>
  <c r="BD28" i="8"/>
  <c r="BD25" i="8"/>
  <c r="BD73" i="8"/>
  <c r="BD39" i="8"/>
  <c r="BD31" i="8"/>
  <c r="BD18" i="8"/>
  <c r="BD12" i="8"/>
  <c r="BE5" i="8"/>
  <c r="BD15" i="8"/>
  <c r="BD6" i="8"/>
  <c r="BA67" i="8"/>
  <c r="BA66" i="8" s="1"/>
  <c r="BA179" i="8" s="1"/>
  <c r="R47" i="7"/>
  <c r="R13" i="7"/>
  <c r="R12" i="7" s="1"/>
  <c r="BD17" i="8"/>
  <c r="BB213" i="8"/>
  <c r="BA215" i="8"/>
  <c r="BD187" i="8"/>
  <c r="BD188" i="8"/>
  <c r="BC55" i="8"/>
  <c r="BC70" i="8"/>
  <c r="AZ66" i="8"/>
  <c r="BA181" i="8"/>
  <c r="BA180" i="8"/>
  <c r="AZ181" i="8"/>
  <c r="R56" i="7" s="1"/>
  <c r="AZ179" i="8"/>
  <c r="AZ180" i="8"/>
  <c r="R30" i="7"/>
  <c r="R40" i="7"/>
  <c r="BB66" i="8"/>
  <c r="BB180" i="8"/>
  <c r="BB181" i="8"/>
  <c r="BB179" i="8"/>
  <c r="BD49" i="8"/>
  <c r="BD56" i="8" s="1"/>
  <c r="BC42" i="8"/>
  <c r="BC57" i="8"/>
  <c r="BB44" i="8"/>
  <c r="BC201" i="8" s="1"/>
  <c r="BC205" i="8" s="1"/>
  <c r="BC95" i="8"/>
  <c r="BC214" i="8" l="1"/>
  <c r="BC206" i="8"/>
  <c r="BD55" i="8"/>
  <c r="BD53" i="8" s="1"/>
  <c r="BD70" i="8"/>
  <c r="BD69" i="8" s="1"/>
  <c r="BD67" i="8" s="1"/>
  <c r="BC69" i="8"/>
  <c r="BE189" i="8"/>
  <c r="BF185" i="8" s="1"/>
  <c r="BE165" i="8"/>
  <c r="BE153" i="8"/>
  <c r="BE146" i="8"/>
  <c r="BE135" i="8"/>
  <c r="BE133" i="8"/>
  <c r="BE131" i="8"/>
  <c r="BE129" i="8"/>
  <c r="BE173" i="8"/>
  <c r="BE170" i="8"/>
  <c r="BE163" i="8"/>
  <c r="BE151" i="8"/>
  <c r="BE144" i="8"/>
  <c r="BE168" i="8"/>
  <c r="BE158" i="8"/>
  <c r="BE167" i="8"/>
  <c r="BE155" i="8"/>
  <c r="BE148" i="8"/>
  <c r="BE76" i="8"/>
  <c r="BE74" i="8"/>
  <c r="BE162" i="8"/>
  <c r="BE145" i="8"/>
  <c r="BE134" i="8"/>
  <c r="BE127" i="8"/>
  <c r="BE99" i="8"/>
  <c r="BE169" i="8"/>
  <c r="BE137" i="8"/>
  <c r="BE136" i="8"/>
  <c r="BE125" i="8"/>
  <c r="BE97" i="8"/>
  <c r="BE172" i="8"/>
  <c r="BE164" i="8"/>
  <c r="BE154" i="8"/>
  <c r="BE171" i="8"/>
  <c r="BE157" i="8"/>
  <c r="BE166" i="8"/>
  <c r="BE156" i="8"/>
  <c r="BE147" i="8"/>
  <c r="BE122" i="8"/>
  <c r="BE92" i="8"/>
  <c r="BE91" i="8" s="1"/>
  <c r="BE85" i="8"/>
  <c r="BE149" i="8"/>
  <c r="BE126" i="8"/>
  <c r="BE26" i="8"/>
  <c r="BE150" i="8"/>
  <c r="BE96" i="8"/>
  <c r="BE95" i="8" s="1"/>
  <c r="BE38" i="8"/>
  <c r="BE36" i="8"/>
  <c r="BE34" i="8"/>
  <c r="BE32" i="8"/>
  <c r="BE30" i="8"/>
  <c r="BE28" i="8"/>
  <c r="BE142" i="8"/>
  <c r="BE128" i="8"/>
  <c r="BE130" i="8"/>
  <c r="BE98" i="8"/>
  <c r="BE124" i="8"/>
  <c r="BE138" i="8"/>
  <c r="BE175" i="8" s="1" a="1"/>
  <c r="BE175" i="8" s="1"/>
  <c r="BE132" i="8"/>
  <c r="BE123" i="8"/>
  <c r="BE152" i="8"/>
  <c r="BE143" i="8"/>
  <c r="BE75" i="8"/>
  <c r="BE37" i="8"/>
  <c r="BE35" i="8"/>
  <c r="BE29" i="8"/>
  <c r="BE13" i="8"/>
  <c r="BE27" i="8"/>
  <c r="BE22" i="8"/>
  <c r="BE11" i="8"/>
  <c r="BE18" i="8"/>
  <c r="BE63" i="8"/>
  <c r="BE33" i="8"/>
  <c r="BE25" i="8"/>
  <c r="BE73" i="8"/>
  <c r="BE39" i="8"/>
  <c r="BE31" i="8"/>
  <c r="BE43" i="8" s="1" a="1"/>
  <c r="BE43" i="8" s="1"/>
  <c r="BE48" i="8"/>
  <c r="BE16" i="8"/>
  <c r="BE12" i="8"/>
  <c r="BF5" i="8"/>
  <c r="BE15" i="8"/>
  <c r="BE6" i="8"/>
  <c r="BD95" i="8"/>
  <c r="BC53" i="8"/>
  <c r="BC213" i="8"/>
  <c r="BB215" i="8"/>
  <c r="BC44" i="8"/>
  <c r="BD201" i="8" s="1"/>
  <c r="BD205" i="8" s="1"/>
  <c r="R20" i="7"/>
  <c r="AZ4" i="10"/>
  <c r="AZ3" i="10" s="1"/>
  <c r="BB5" i="9"/>
  <c r="BC4" i="9"/>
  <c r="BE187" i="8"/>
  <c r="BE188" i="8"/>
  <c r="BE19" i="8"/>
  <c r="BC71" i="8"/>
  <c r="R18" i="7"/>
  <c r="R39" i="7"/>
  <c r="BD19" i="8"/>
  <c r="BD42" i="8"/>
  <c r="BE49" i="8"/>
  <c r="BE56" i="8" s="1"/>
  <c r="BC45" i="8"/>
  <c r="BE45" i="8" l="1"/>
  <c r="BD206" i="8"/>
  <c r="BD214" i="8"/>
  <c r="BC179" i="8"/>
  <c r="BE57" i="8"/>
  <c r="BF17" i="8"/>
  <c r="BE70" i="8"/>
  <c r="BE55" i="8"/>
  <c r="BE53" i="8" s="1"/>
  <c r="BE201" i="8"/>
  <c r="BE205" i="8" s="1"/>
  <c r="BD44" i="8"/>
  <c r="BD88" i="8"/>
  <c r="S32" i="7"/>
  <c r="N32" i="7" s="1"/>
  <c r="BC5" i="9"/>
  <c r="BD4" i="9"/>
  <c r="BA4" i="10"/>
  <c r="BA3" i="10" s="1"/>
  <c r="BF49" i="8"/>
  <c r="BF56" i="8" s="1"/>
  <c r="BE42" i="8"/>
  <c r="BF172" i="8"/>
  <c r="BF170" i="8"/>
  <c r="BF168" i="8"/>
  <c r="BF166" i="8"/>
  <c r="BF164" i="8"/>
  <c r="BF162" i="8"/>
  <c r="BF157" i="8"/>
  <c r="BF155" i="8"/>
  <c r="BF153" i="8"/>
  <c r="BF151" i="8"/>
  <c r="BF149" i="8"/>
  <c r="BF147" i="8"/>
  <c r="BF145" i="8"/>
  <c r="BF143" i="8"/>
  <c r="BF138" i="8"/>
  <c r="BF175" i="8" s="1" a="1"/>
  <c r="BF175" i="8" s="1"/>
  <c r="S38" i="7" s="1"/>
  <c r="BF136" i="8"/>
  <c r="BF173" i="8"/>
  <c r="BF189" i="8"/>
  <c r="BF163" i="8"/>
  <c r="BF144" i="8"/>
  <c r="BF158" i="8"/>
  <c r="BF142" i="8"/>
  <c r="BF156" i="8"/>
  <c r="BF165" i="8"/>
  <c r="BF146" i="8"/>
  <c r="BF134" i="8"/>
  <c r="BF131" i="8"/>
  <c r="BF127" i="8"/>
  <c r="BF99" i="8"/>
  <c r="S55" i="7" s="1"/>
  <c r="N55" i="7" s="1"/>
  <c r="BF63" i="8"/>
  <c r="S37" i="7" s="1"/>
  <c r="BF169" i="8"/>
  <c r="BF137" i="8"/>
  <c r="BF125" i="8"/>
  <c r="BF97" i="8"/>
  <c r="S53" i="7" s="1"/>
  <c r="N53" i="7" s="1"/>
  <c r="BF132" i="8"/>
  <c r="BF129" i="8"/>
  <c r="BF123" i="8"/>
  <c r="BF154" i="8"/>
  <c r="BF171" i="8"/>
  <c r="BF167" i="8"/>
  <c r="BF148" i="8"/>
  <c r="BF76" i="8"/>
  <c r="BF74" i="8"/>
  <c r="BF150" i="8"/>
  <c r="BF96" i="8"/>
  <c r="BF38" i="8"/>
  <c r="BF36" i="8"/>
  <c r="BF34" i="8"/>
  <c r="BF32" i="8"/>
  <c r="BF30" i="8"/>
  <c r="BF28" i="8"/>
  <c r="BF22" i="8"/>
  <c r="BF18" i="8"/>
  <c r="BF133" i="8"/>
  <c r="BF122" i="8"/>
  <c r="BF92" i="8"/>
  <c r="BF91" i="8" s="1"/>
  <c r="S50" i="7" s="1"/>
  <c r="N50" i="7" s="1"/>
  <c r="BF85" i="8"/>
  <c r="BF128" i="8"/>
  <c r="BF39" i="8"/>
  <c r="BF135" i="8"/>
  <c r="BF130" i="8"/>
  <c r="BF98" i="8"/>
  <c r="S54" i="7" s="1"/>
  <c r="N54" i="7" s="1"/>
  <c r="BF124" i="8"/>
  <c r="BF152" i="8"/>
  <c r="BF126" i="8"/>
  <c r="BF27" i="8"/>
  <c r="BF11" i="8"/>
  <c r="BG5" i="8"/>
  <c r="BF33" i="8"/>
  <c r="BF73" i="8"/>
  <c r="BF31" i="8"/>
  <c r="BF48" i="8"/>
  <c r="BF75" i="8"/>
  <c r="BF37" i="8"/>
  <c r="BF35" i="8"/>
  <c r="BF29" i="8"/>
  <c r="BF26" i="8"/>
  <c r="BF13" i="8"/>
  <c r="BF25" i="8"/>
  <c r="BF12" i="8"/>
  <c r="BF15" i="8"/>
  <c r="BF16" i="8"/>
  <c r="BF6" i="8"/>
  <c r="BD213" i="8"/>
  <c r="BC215" i="8"/>
  <c r="BC67" i="8"/>
  <c r="BC66" i="8" s="1"/>
  <c r="BC181" i="8" s="1"/>
  <c r="R17" i="7"/>
  <c r="R22" i="7" s="1"/>
  <c r="R23" i="7" s="1"/>
  <c r="BF187" i="8"/>
  <c r="BF188" i="8"/>
  <c r="BD45" i="8"/>
  <c r="T53" i="7" l="1"/>
  <c r="U53" i="7"/>
  <c r="BF88" i="8"/>
  <c r="BF87" i="8" s="1"/>
  <c r="U50" i="7"/>
  <c r="T50" i="7"/>
  <c r="BF57" i="8"/>
  <c r="BF71" i="8" s="1"/>
  <c r="N29" i="7"/>
  <c r="BG49" i="8"/>
  <c r="BG56" i="8" s="1"/>
  <c r="BF42" i="8"/>
  <c r="BG17" i="8"/>
  <c r="BG19" i="8" s="1"/>
  <c r="BF70" i="8"/>
  <c r="BF55" i="8"/>
  <c r="BE206" i="8"/>
  <c r="BE214" i="8"/>
  <c r="BC180" i="8"/>
  <c r="BE4" i="9"/>
  <c r="BB4" i="10"/>
  <c r="BB3" i="10" s="1"/>
  <c r="BD5" i="9"/>
  <c r="BD215" i="8"/>
  <c r="BE213" i="8"/>
  <c r="U32" i="7"/>
  <c r="T32" i="7"/>
  <c r="BF19" i="8"/>
  <c r="BE69" i="8"/>
  <c r="S15" i="7"/>
  <c r="N37" i="7"/>
  <c r="S29" i="7"/>
  <c r="S11" i="7" s="1"/>
  <c r="T54" i="7"/>
  <c r="U54" i="7"/>
  <c r="S16" i="7"/>
  <c r="N38" i="7"/>
  <c r="BG173" i="8"/>
  <c r="BG170" i="8"/>
  <c r="BG158" i="8"/>
  <c r="BG151" i="8"/>
  <c r="BG142" i="8"/>
  <c r="BG168" i="8"/>
  <c r="BG156" i="8"/>
  <c r="BG149" i="8"/>
  <c r="BG137" i="8"/>
  <c r="BG98" i="8"/>
  <c r="BG96" i="8"/>
  <c r="BG95" i="8" s="1"/>
  <c r="BG166" i="8"/>
  <c r="BG154" i="8"/>
  <c r="BG163" i="8"/>
  <c r="BG153" i="8"/>
  <c r="BG169" i="8"/>
  <c r="BG162" i="8"/>
  <c r="BG146" i="8"/>
  <c r="BG145" i="8"/>
  <c r="BG125" i="8"/>
  <c r="BG97" i="8"/>
  <c r="BG136" i="8"/>
  <c r="BG132" i="8"/>
  <c r="BG129" i="8"/>
  <c r="BG123" i="8"/>
  <c r="BG165" i="8"/>
  <c r="BG155" i="8"/>
  <c r="BG152" i="8"/>
  <c r="BG138" i="8"/>
  <c r="BG175" i="8" s="1" a="1"/>
  <c r="BG175" i="8" s="1"/>
  <c r="BG128" i="8"/>
  <c r="BG75" i="8"/>
  <c r="BG172" i="8"/>
  <c r="BG171" i="8"/>
  <c r="BG164" i="8"/>
  <c r="BG167" i="8"/>
  <c r="BG157" i="8"/>
  <c r="BG134" i="8"/>
  <c r="BG131" i="8"/>
  <c r="BG127" i="8"/>
  <c r="BG99" i="8"/>
  <c r="BG133" i="8"/>
  <c r="BG122" i="8"/>
  <c r="BG92" i="8"/>
  <c r="BG91" i="8" s="1"/>
  <c r="BG85" i="8"/>
  <c r="BG148" i="8"/>
  <c r="BG147" i="8"/>
  <c r="BG76" i="8"/>
  <c r="BG39" i="8"/>
  <c r="BG135" i="8"/>
  <c r="BG130" i="8"/>
  <c r="BG73" i="8"/>
  <c r="BG48" i="8"/>
  <c r="BG57" i="8" s="1"/>
  <c r="BG71" i="8" s="1"/>
  <c r="BG144" i="8"/>
  <c r="BG124" i="8"/>
  <c r="BG143" i="8"/>
  <c r="BG126" i="8"/>
  <c r="BG150" i="8"/>
  <c r="BG38" i="8"/>
  <c r="BG36" i="8"/>
  <c r="BG34" i="8"/>
  <c r="BG32" i="8"/>
  <c r="BG22" i="8"/>
  <c r="BG18" i="8"/>
  <c r="BH5" i="8"/>
  <c r="BG33" i="8"/>
  <c r="BG30" i="8"/>
  <c r="BG25" i="8"/>
  <c r="BG15" i="8"/>
  <c r="BG12" i="8"/>
  <c r="BG63" i="8"/>
  <c r="BG31" i="8"/>
  <c r="BG28" i="8"/>
  <c r="BG74" i="8"/>
  <c r="BG37" i="8"/>
  <c r="BG35" i="8"/>
  <c r="BG29" i="8"/>
  <c r="BG26" i="8"/>
  <c r="BG27" i="8"/>
  <c r="BG43" i="8" s="1" a="1"/>
  <c r="BG43" i="8" s="1"/>
  <c r="BG11" i="8"/>
  <c r="BG13" i="8"/>
  <c r="BG16" i="8"/>
  <c r="BG6" i="8"/>
  <c r="BF43" i="8" a="1"/>
  <c r="BF43" i="8" s="1"/>
  <c r="BF45" i="8" s="1"/>
  <c r="BF95" i="8"/>
  <c r="S52" i="7"/>
  <c r="U55" i="7"/>
  <c r="T55" i="7"/>
  <c r="BE44" i="8"/>
  <c r="BF201" i="8" s="1"/>
  <c r="BF205" i="8" s="1"/>
  <c r="BD87" i="8"/>
  <c r="BD66" i="8" s="1"/>
  <c r="BE71" i="8"/>
  <c r="S33" i="7"/>
  <c r="N33" i="7" s="1"/>
  <c r="BE88" i="8"/>
  <c r="BE87" i="8" s="1"/>
  <c r="BF214" i="8" l="1"/>
  <c r="BF215" i="8" s="1"/>
  <c r="BF206" i="8"/>
  <c r="BD179" i="8"/>
  <c r="BD180" i="8"/>
  <c r="BD181" i="8"/>
  <c r="BF213" i="8"/>
  <c r="BE215" i="8"/>
  <c r="BH17" i="8"/>
  <c r="BE67" i="8"/>
  <c r="BE66" i="8" s="1"/>
  <c r="BF69" i="8"/>
  <c r="BF67" i="8" s="1"/>
  <c r="BF66" i="8" s="1"/>
  <c r="BH173" i="8"/>
  <c r="BH168" i="8"/>
  <c r="BH156" i="8"/>
  <c r="BH149" i="8"/>
  <c r="BH137" i="8"/>
  <c r="BH166" i="8"/>
  <c r="BH154" i="8"/>
  <c r="BH147" i="8"/>
  <c r="BH134" i="8"/>
  <c r="BH132" i="8"/>
  <c r="BH130" i="8"/>
  <c r="BH128" i="8"/>
  <c r="BH126" i="8"/>
  <c r="BH124" i="8"/>
  <c r="BH122" i="8"/>
  <c r="BH172" i="8"/>
  <c r="BH171" i="8"/>
  <c r="BH164" i="8"/>
  <c r="BH170" i="8"/>
  <c r="BH158" i="8"/>
  <c r="BH151" i="8"/>
  <c r="BH136" i="8"/>
  <c r="BH129" i="8"/>
  <c r="BH123" i="8"/>
  <c r="BH165" i="8"/>
  <c r="BH155" i="8"/>
  <c r="BH152" i="8"/>
  <c r="BH138" i="8"/>
  <c r="BH175" i="8" s="1" a="1"/>
  <c r="BH175" i="8" s="1"/>
  <c r="BH75" i="8"/>
  <c r="BH73" i="8"/>
  <c r="BH143" i="8"/>
  <c r="BH142" i="8"/>
  <c r="BH135" i="8"/>
  <c r="BH167" i="8"/>
  <c r="BH157" i="8"/>
  <c r="BH163" i="8"/>
  <c r="BH169" i="8"/>
  <c r="BH162" i="8"/>
  <c r="BH146" i="8"/>
  <c r="BH145" i="8"/>
  <c r="BH125" i="8"/>
  <c r="BH97" i="8"/>
  <c r="BH148" i="8"/>
  <c r="BH76" i="8"/>
  <c r="BH39" i="8"/>
  <c r="BH153" i="8"/>
  <c r="BH99" i="8"/>
  <c r="BH48" i="8"/>
  <c r="BH57" i="8" s="1"/>
  <c r="BH71" i="8" s="1"/>
  <c r="BH27" i="8"/>
  <c r="BH144" i="8"/>
  <c r="BH98" i="8"/>
  <c r="BH37" i="8"/>
  <c r="BH131" i="8"/>
  <c r="BH127" i="8"/>
  <c r="BH150" i="8"/>
  <c r="BH133" i="8"/>
  <c r="BH96" i="8"/>
  <c r="BH92" i="8"/>
  <c r="BH91" i="8" s="1"/>
  <c r="BH85" i="8"/>
  <c r="BH18" i="8"/>
  <c r="BI5" i="8"/>
  <c r="BH38" i="8"/>
  <c r="BH33" i="8"/>
  <c r="BH30" i="8"/>
  <c r="BH25" i="8"/>
  <c r="BH15" i="8"/>
  <c r="BH12" i="8"/>
  <c r="BH63" i="8"/>
  <c r="BH31" i="8"/>
  <c r="BH28" i="8"/>
  <c r="BH34" i="8"/>
  <c r="BH74" i="8"/>
  <c r="BH36" i="8"/>
  <c r="BH35" i="8"/>
  <c r="BH29" i="8"/>
  <c r="BH26" i="8"/>
  <c r="BH32" i="8"/>
  <c r="BH22" i="8"/>
  <c r="BH13" i="8"/>
  <c r="BH16" i="8"/>
  <c r="BH11" i="8"/>
  <c r="BH6" i="8"/>
  <c r="BF44" i="8"/>
  <c r="S51" i="7"/>
  <c r="N52" i="7"/>
  <c r="BE5" i="9"/>
  <c r="BC4" i="10"/>
  <c r="BC3" i="10" s="1"/>
  <c r="BF4" i="9"/>
  <c r="BG70" i="8"/>
  <c r="BG69" i="8" s="1"/>
  <c r="BG67" i="8" s="1"/>
  <c r="BG55" i="8"/>
  <c r="BG53" i="8" s="1"/>
  <c r="U37" i="7"/>
  <c r="N15" i="7"/>
  <c r="T37" i="7"/>
  <c r="BF53" i="8"/>
  <c r="S31" i="7"/>
  <c r="U38" i="7"/>
  <c r="N16" i="7"/>
  <c r="T38" i="7"/>
  <c r="D93" i="7" s="1"/>
  <c r="D92" i="7"/>
  <c r="U33" i="7"/>
  <c r="T33" i="7"/>
  <c r="S48" i="7"/>
  <c r="BH49" i="8"/>
  <c r="BH56" i="8" s="1"/>
  <c r="BG42" i="8"/>
  <c r="BG44" i="8" s="1"/>
  <c r="U29" i="7"/>
  <c r="N11" i="7"/>
  <c r="T49" i="7"/>
  <c r="T43" i="7"/>
  <c r="T46" i="7"/>
  <c r="T36" i="7"/>
  <c r="T45" i="7"/>
  <c r="T35" i="7"/>
  <c r="T41" i="7"/>
  <c r="T44" i="7"/>
  <c r="T34" i="7"/>
  <c r="U16" i="7" l="1"/>
  <c r="T16" i="7"/>
  <c r="BI17" i="8"/>
  <c r="BI19" i="8" s="1"/>
  <c r="BG4" i="9"/>
  <c r="BD4" i="10"/>
  <c r="BD3" i="10" s="1"/>
  <c r="BF5" i="9"/>
  <c r="BH42" i="8"/>
  <c r="BI49" i="8"/>
  <c r="BI56" i="8" s="1"/>
  <c r="BH55" i="8"/>
  <c r="BH53" i="8" s="1"/>
  <c r="BH70" i="8"/>
  <c r="BH69" i="8" s="1"/>
  <c r="BH67" i="8" s="1"/>
  <c r="S13" i="7"/>
  <c r="S12" i="7" s="1"/>
  <c r="N31" i="7"/>
  <c r="BH95" i="8"/>
  <c r="S47" i="7"/>
  <c r="N48" i="7"/>
  <c r="BF181" i="8"/>
  <c r="S56" i="7" s="1"/>
  <c r="N56" i="7" s="1"/>
  <c r="BF179" i="8"/>
  <c r="BF180" i="8"/>
  <c r="S30" i="7"/>
  <c r="N30" i="7" s="1"/>
  <c r="T52" i="7"/>
  <c r="U52" i="7"/>
  <c r="S21" i="7"/>
  <c r="N51" i="7"/>
  <c r="BI173" i="8"/>
  <c r="BI166" i="8"/>
  <c r="BI154" i="8"/>
  <c r="BI147" i="8"/>
  <c r="BI134" i="8"/>
  <c r="BI132" i="8"/>
  <c r="BI130" i="8"/>
  <c r="BI172" i="8"/>
  <c r="BI171" i="8"/>
  <c r="BI164" i="8"/>
  <c r="BI152" i="8"/>
  <c r="BI145" i="8"/>
  <c r="BI169" i="8"/>
  <c r="BI162" i="8"/>
  <c r="BI168" i="8"/>
  <c r="BI156" i="8"/>
  <c r="BI149" i="8"/>
  <c r="BI165" i="8"/>
  <c r="BI155" i="8"/>
  <c r="BI138" i="8"/>
  <c r="BI175" i="8" s="1" a="1"/>
  <c r="BI175" i="8" s="1"/>
  <c r="BI137" i="8"/>
  <c r="BI75" i="8"/>
  <c r="BI73" i="8"/>
  <c r="BI39" i="8"/>
  <c r="BI143" i="8"/>
  <c r="BI142" i="8"/>
  <c r="BI135" i="8"/>
  <c r="BI128" i="8"/>
  <c r="BI158" i="8"/>
  <c r="BI150" i="8"/>
  <c r="BI144" i="8"/>
  <c r="BI126" i="8"/>
  <c r="BI98" i="8"/>
  <c r="BI167" i="8"/>
  <c r="BI157" i="8"/>
  <c r="BI163" i="8"/>
  <c r="BI170" i="8"/>
  <c r="BI136" i="8"/>
  <c r="BI129" i="8"/>
  <c r="BI123" i="8"/>
  <c r="BI153" i="8"/>
  <c r="BI99" i="8"/>
  <c r="BI48" i="8"/>
  <c r="BI57" i="8" s="1"/>
  <c r="BI71" i="8" s="1"/>
  <c r="BI27" i="8"/>
  <c r="BI25" i="8"/>
  <c r="BI43" i="8" s="1" a="1"/>
  <c r="BI43" i="8" s="1"/>
  <c r="BI146" i="8"/>
  <c r="BI125" i="8"/>
  <c r="BI37" i="8"/>
  <c r="BI35" i="8"/>
  <c r="BI33" i="8"/>
  <c r="BI31" i="8"/>
  <c r="BI29" i="8"/>
  <c r="BI124" i="8"/>
  <c r="BI63" i="8"/>
  <c r="BI131" i="8"/>
  <c r="BI127" i="8"/>
  <c r="BI97" i="8"/>
  <c r="BI151" i="8"/>
  <c r="BI133" i="8"/>
  <c r="BI148" i="8"/>
  <c r="BI122" i="8"/>
  <c r="BI76" i="8"/>
  <c r="BI38" i="8"/>
  <c r="BI30" i="8"/>
  <c r="BI15" i="8"/>
  <c r="BI12" i="8"/>
  <c r="BI92" i="8"/>
  <c r="BI91" i="8" s="1"/>
  <c r="BI28" i="8"/>
  <c r="BI34" i="8"/>
  <c r="BI74" i="8"/>
  <c r="BI36" i="8"/>
  <c r="BI26" i="8"/>
  <c r="BI96" i="8"/>
  <c r="BI85" i="8"/>
  <c r="BI32" i="8"/>
  <c r="BI22" i="8"/>
  <c r="BI18" i="8"/>
  <c r="BJ5" i="8"/>
  <c r="BI13" i="8"/>
  <c r="BI16" i="8"/>
  <c r="BI11" i="8"/>
  <c r="BI6" i="8"/>
  <c r="BE179" i="8"/>
  <c r="BE181" i="8"/>
  <c r="BE180" i="8"/>
  <c r="U15" i="7"/>
  <c r="T15" i="7"/>
  <c r="BH19" i="8"/>
  <c r="BG88" i="8"/>
  <c r="BG87" i="8" s="1"/>
  <c r="BG66" i="8" s="1"/>
  <c r="S42" i="7"/>
  <c r="U11" i="7"/>
  <c r="T19" i="7"/>
  <c r="T14" i="7"/>
  <c r="BH43" i="8" a="1"/>
  <c r="BH43" i="8" s="1"/>
  <c r="BH45" i="8" s="1"/>
  <c r="BG45" i="8"/>
  <c r="BG180" i="8" l="1"/>
  <c r="BG181" i="8"/>
  <c r="BG179" i="8"/>
  <c r="U56" i="7"/>
  <c r="T56" i="7"/>
  <c r="BI45" i="8"/>
  <c r="S20" i="7"/>
  <c r="N47" i="7"/>
  <c r="BH44" i="8"/>
  <c r="BH88" i="8"/>
  <c r="BH87" i="8" s="1"/>
  <c r="BH4" i="9"/>
  <c r="BE4" i="10"/>
  <c r="BE3" i="10" s="1"/>
  <c r="BG5" i="9"/>
  <c r="U30" i="7"/>
  <c r="T30" i="7"/>
  <c r="BI95" i="8"/>
  <c r="BI42" i="8"/>
  <c r="BJ49" i="8"/>
  <c r="BJ56" i="8" s="1"/>
  <c r="S40" i="7"/>
  <c r="N42" i="7"/>
  <c r="BJ17" i="8"/>
  <c r="U31" i="7"/>
  <c r="T31" i="7"/>
  <c r="N13" i="7"/>
  <c r="BH66" i="8"/>
  <c r="BH179" i="8" s="1"/>
  <c r="BJ173" i="8"/>
  <c r="BJ171" i="8"/>
  <c r="BJ169" i="8"/>
  <c r="BJ167" i="8"/>
  <c r="BJ165" i="8"/>
  <c r="BJ163" i="8"/>
  <c r="BJ158" i="8"/>
  <c r="BJ156" i="8"/>
  <c r="BJ154" i="8"/>
  <c r="BJ152" i="8"/>
  <c r="BJ150" i="8"/>
  <c r="BJ148" i="8"/>
  <c r="BJ146" i="8"/>
  <c r="BJ144" i="8"/>
  <c r="BJ142" i="8"/>
  <c r="BJ137" i="8"/>
  <c r="BJ172" i="8"/>
  <c r="BJ164" i="8"/>
  <c r="BJ145" i="8"/>
  <c r="BJ162" i="8"/>
  <c r="BJ143" i="8"/>
  <c r="BJ157" i="8"/>
  <c r="BJ166" i="8"/>
  <c r="BJ147" i="8"/>
  <c r="BJ135" i="8"/>
  <c r="BJ132" i="8"/>
  <c r="BJ128" i="8"/>
  <c r="BJ126" i="8"/>
  <c r="BJ98" i="8"/>
  <c r="BJ168" i="8"/>
  <c r="BJ151" i="8"/>
  <c r="BJ133" i="8"/>
  <c r="BJ130" i="8"/>
  <c r="BJ124" i="8"/>
  <c r="BJ96" i="8"/>
  <c r="BJ92" i="8"/>
  <c r="BJ91" i="8" s="1"/>
  <c r="BJ85" i="8"/>
  <c r="BJ170" i="8"/>
  <c r="BJ155" i="8"/>
  <c r="BJ138" i="8"/>
  <c r="BJ175" i="8" s="1" a="1"/>
  <c r="BJ175" i="8" s="1"/>
  <c r="BJ75" i="8"/>
  <c r="BJ73" i="8"/>
  <c r="BJ125" i="8"/>
  <c r="BJ37" i="8"/>
  <c r="BJ35" i="8"/>
  <c r="BJ33" i="8"/>
  <c r="BJ31" i="8"/>
  <c r="BJ29" i="8"/>
  <c r="BJ134" i="8"/>
  <c r="BJ129" i="8"/>
  <c r="BJ63" i="8"/>
  <c r="BJ74" i="8"/>
  <c r="BJ131" i="8"/>
  <c r="BJ127" i="8"/>
  <c r="BJ97" i="8"/>
  <c r="BJ136" i="8"/>
  <c r="BJ123" i="8"/>
  <c r="BJ122" i="8"/>
  <c r="BJ153" i="8"/>
  <c r="BJ149" i="8"/>
  <c r="BJ99" i="8"/>
  <c r="BJ48" i="8"/>
  <c r="BJ57" i="8" s="1"/>
  <c r="BJ71" i="8" s="1"/>
  <c r="BJ39" i="8"/>
  <c r="BJ25" i="8"/>
  <c r="BJ28" i="8"/>
  <c r="BJ34" i="8"/>
  <c r="BJ16" i="8"/>
  <c r="BJ36" i="8"/>
  <c r="BJ26" i="8"/>
  <c r="BJ32" i="8"/>
  <c r="BJ22" i="8"/>
  <c r="BJ27" i="8"/>
  <c r="BJ76" i="8"/>
  <c r="BJ38" i="8"/>
  <c r="BJ30" i="8"/>
  <c r="BJ15" i="8"/>
  <c r="BJ12" i="8"/>
  <c r="BJ13" i="8"/>
  <c r="BK5" i="8"/>
  <c r="BJ11" i="8"/>
  <c r="BK17" i="8" s="1"/>
  <c r="BJ18" i="8"/>
  <c r="BJ6" i="8"/>
  <c r="T51" i="7"/>
  <c r="N21" i="7"/>
  <c r="U51" i="7"/>
  <c r="U48" i="7"/>
  <c r="T48" i="7"/>
  <c r="BI70" i="8"/>
  <c r="BI69" i="8" s="1"/>
  <c r="BI67" i="8" s="1"/>
  <c r="BI55" i="8"/>
  <c r="BI53" i="8" s="1"/>
  <c r="BK19" i="8" l="1"/>
  <c r="BJ42" i="8"/>
  <c r="BK49" i="8"/>
  <c r="BK56" i="8" s="1"/>
  <c r="S18" i="7"/>
  <c r="S17" i="7" s="1"/>
  <c r="S22" i="7" s="1"/>
  <c r="S23" i="7" s="1"/>
  <c r="S39" i="7"/>
  <c r="N39" i="7" s="1"/>
  <c r="N40" i="7"/>
  <c r="BK171" i="8"/>
  <c r="BK162" i="8"/>
  <c r="BK152" i="8"/>
  <c r="BK143" i="8"/>
  <c r="BK169" i="8"/>
  <c r="BK157" i="8"/>
  <c r="BK150" i="8"/>
  <c r="BK138" i="8"/>
  <c r="BK175" i="8" s="1" a="1"/>
  <c r="BK175" i="8" s="1"/>
  <c r="BK99" i="8"/>
  <c r="BK97" i="8"/>
  <c r="BK167" i="8"/>
  <c r="BK155" i="8"/>
  <c r="BK173" i="8"/>
  <c r="BK172" i="8"/>
  <c r="BK164" i="8"/>
  <c r="BK154" i="8"/>
  <c r="BK145" i="8"/>
  <c r="BK142" i="8"/>
  <c r="BK126" i="8"/>
  <c r="BK98" i="8"/>
  <c r="BK168" i="8"/>
  <c r="BK158" i="8"/>
  <c r="BK151" i="8"/>
  <c r="BK144" i="8"/>
  <c r="BK133" i="8"/>
  <c r="BK130" i="8"/>
  <c r="BK124" i="8"/>
  <c r="BK96" i="8"/>
  <c r="BK95" i="8" s="1"/>
  <c r="BK92" i="8"/>
  <c r="BK91" i="8" s="1"/>
  <c r="BK85" i="8"/>
  <c r="BK122" i="8"/>
  <c r="BK76" i="8"/>
  <c r="BK74" i="8"/>
  <c r="BK170" i="8"/>
  <c r="BK163" i="8"/>
  <c r="BK166" i="8"/>
  <c r="BK156" i="8"/>
  <c r="BK165" i="8"/>
  <c r="BK137" i="8"/>
  <c r="BK135" i="8"/>
  <c r="BK132" i="8"/>
  <c r="BK128" i="8"/>
  <c r="BK147" i="8"/>
  <c r="BK146" i="8"/>
  <c r="BK134" i="8"/>
  <c r="BK129" i="8"/>
  <c r="BK63" i="8"/>
  <c r="BK73" i="8"/>
  <c r="BK131" i="8"/>
  <c r="BK127" i="8"/>
  <c r="BK136" i="8"/>
  <c r="BK123" i="8"/>
  <c r="BK153" i="8"/>
  <c r="BK149" i="8"/>
  <c r="BK148" i="8"/>
  <c r="BK125" i="8"/>
  <c r="BK37" i="8"/>
  <c r="BK35" i="8"/>
  <c r="BK33" i="8"/>
  <c r="BK28" i="8"/>
  <c r="BK34" i="8"/>
  <c r="BK16" i="8"/>
  <c r="BK36" i="8"/>
  <c r="BK31" i="8"/>
  <c r="BK26" i="8"/>
  <c r="BK13" i="8"/>
  <c r="BK32" i="8"/>
  <c r="BK29" i="8"/>
  <c r="BK22" i="8"/>
  <c r="BK48" i="8"/>
  <c r="BK57" i="8" s="1"/>
  <c r="BK71" i="8" s="1"/>
  <c r="BK39" i="8"/>
  <c r="BK27" i="8"/>
  <c r="BK75" i="8"/>
  <c r="BK38" i="8"/>
  <c r="BK30" i="8"/>
  <c r="BK25" i="8"/>
  <c r="BL5" i="8"/>
  <c r="BK15" i="8"/>
  <c r="BK11" i="8"/>
  <c r="BK18" i="8"/>
  <c r="BK12" i="8"/>
  <c r="BK6" i="8"/>
  <c r="BJ55" i="8"/>
  <c r="BJ53" i="8" s="1"/>
  <c r="BJ70" i="8"/>
  <c r="BJ69" i="8" s="1"/>
  <c r="BJ67" i="8" s="1"/>
  <c r="BJ95" i="8"/>
  <c r="U42" i="7"/>
  <c r="T42" i="7"/>
  <c r="BH5" i="9"/>
  <c r="BF4" i="10"/>
  <c r="BF3" i="10" s="1"/>
  <c r="BI4" i="9"/>
  <c r="U21" i="7"/>
  <c r="T21" i="7"/>
  <c r="BH180" i="8"/>
  <c r="BJ43" i="8" a="1"/>
  <c r="BJ43" i="8" s="1"/>
  <c r="BJ45" i="8" s="1"/>
  <c r="BH181" i="8"/>
  <c r="BI44" i="8"/>
  <c r="BI88" i="8"/>
  <c r="BI87" i="8" s="1"/>
  <c r="BI66" i="8" s="1"/>
  <c r="N12" i="7"/>
  <c r="T13" i="7"/>
  <c r="U13" i="7"/>
  <c r="BJ19" i="8"/>
  <c r="U47" i="7"/>
  <c r="N20" i="7"/>
  <c r="T47" i="7"/>
  <c r="BI179" i="8" l="1"/>
  <c r="BI181" i="8"/>
  <c r="BI180" i="8"/>
  <c r="BK88" i="8"/>
  <c r="BK87" i="8" s="1"/>
  <c r="BG4" i="10"/>
  <c r="BG3" i="10" s="1"/>
  <c r="BJ4" i="9"/>
  <c r="BI5" i="9"/>
  <c r="BK42" i="8"/>
  <c r="BL49" i="8"/>
  <c r="BL56" i="8" s="1"/>
  <c r="U20" i="7"/>
  <c r="T20" i="7"/>
  <c r="BL17" i="8"/>
  <c r="BL19" i="8" s="1"/>
  <c r="U40" i="7"/>
  <c r="T40" i="7"/>
  <c r="N18" i="7"/>
  <c r="BJ44" i="8"/>
  <c r="U12" i="7"/>
  <c r="T12" i="7"/>
  <c r="BL172" i="8"/>
  <c r="BL169" i="8"/>
  <c r="BL157" i="8"/>
  <c r="BL150" i="8"/>
  <c r="BL138" i="8"/>
  <c r="BL175" i="8" s="1" a="1"/>
  <c r="BL175" i="8" s="1"/>
  <c r="BL167" i="8"/>
  <c r="BL155" i="8"/>
  <c r="BL148" i="8"/>
  <c r="BL136" i="8"/>
  <c r="BL135" i="8"/>
  <c r="BL133" i="8"/>
  <c r="BL131" i="8"/>
  <c r="BL129" i="8"/>
  <c r="BL127" i="8"/>
  <c r="BL125" i="8"/>
  <c r="BL123" i="8"/>
  <c r="BL165" i="8"/>
  <c r="BL153" i="8"/>
  <c r="BL171" i="8"/>
  <c r="BL162" i="8"/>
  <c r="BL152" i="8"/>
  <c r="BL168" i="8"/>
  <c r="BL158" i="8"/>
  <c r="BL151" i="8"/>
  <c r="BL144" i="8"/>
  <c r="BL143" i="8"/>
  <c r="BL130" i="8"/>
  <c r="BL124" i="8"/>
  <c r="BL96" i="8"/>
  <c r="BL92" i="8"/>
  <c r="BL91" i="8" s="1"/>
  <c r="BL85" i="8"/>
  <c r="BL48" i="8"/>
  <c r="BL122" i="8"/>
  <c r="BL76" i="8"/>
  <c r="BL74" i="8"/>
  <c r="BL164" i="8"/>
  <c r="BL154" i="8"/>
  <c r="BL149" i="8"/>
  <c r="BL170" i="8"/>
  <c r="BL163" i="8"/>
  <c r="BL166" i="8"/>
  <c r="BL156" i="8"/>
  <c r="BL173" i="8"/>
  <c r="BL142" i="8"/>
  <c r="BL126" i="8"/>
  <c r="BL98" i="8"/>
  <c r="BL73" i="8"/>
  <c r="BL145" i="8"/>
  <c r="BL137" i="8"/>
  <c r="BL128" i="8"/>
  <c r="BL38" i="8"/>
  <c r="BL36" i="8"/>
  <c r="BL97" i="8"/>
  <c r="BL132" i="8"/>
  <c r="BL99" i="8"/>
  <c r="BL147" i="8"/>
  <c r="BL146" i="8"/>
  <c r="BL134" i="8"/>
  <c r="BL63" i="8"/>
  <c r="BL34" i="8"/>
  <c r="BL16" i="8"/>
  <c r="BL31" i="8"/>
  <c r="BL26" i="8"/>
  <c r="BL13" i="8"/>
  <c r="BL11" i="8"/>
  <c r="BL32" i="8"/>
  <c r="BL29" i="8"/>
  <c r="BL39" i="8"/>
  <c r="BL35" i="8"/>
  <c r="BL27" i="8"/>
  <c r="BL18" i="8"/>
  <c r="BL75" i="8"/>
  <c r="BL37" i="8"/>
  <c r="BL30" i="8"/>
  <c r="BL25" i="8"/>
  <c r="BL33" i="8"/>
  <c r="BL28" i="8"/>
  <c r="BL15" i="8"/>
  <c r="BL22" i="8"/>
  <c r="BL12" i="8"/>
  <c r="BL6" i="8"/>
  <c r="U39" i="7"/>
  <c r="T39" i="7"/>
  <c r="BK55" i="8"/>
  <c r="BK53" i="8" s="1"/>
  <c r="BK70" i="8"/>
  <c r="BK69" i="8" s="1"/>
  <c r="BK67" i="8" s="1"/>
  <c r="BK66" i="8" s="1"/>
  <c r="BK43" i="8" a="1"/>
  <c r="BK43" i="8" s="1"/>
  <c r="BK45" i="8" s="1"/>
  <c r="BJ88" i="8"/>
  <c r="BJ87" i="8" s="1"/>
  <c r="BJ66" i="8" s="1"/>
  <c r="BJ180" i="8" l="1"/>
  <c r="BJ179" i="8"/>
  <c r="BJ181" i="8"/>
  <c r="G36" i="10" a="1"/>
  <c r="G36" i="10" s="1"/>
  <c r="AJ36" i="10" a="1"/>
  <c r="AJ36" i="10" s="1"/>
  <c r="AB36" i="10" a="1"/>
  <c r="AB36" i="10" s="1"/>
  <c r="AG36" i="10" a="1"/>
  <c r="AG36" i="10" s="1"/>
  <c r="M36" i="10" a="1"/>
  <c r="M36" i="10" s="1"/>
  <c r="Q36" i="10" a="1"/>
  <c r="Q36" i="10" s="1"/>
  <c r="AL36" i="10" a="1"/>
  <c r="AL36" i="10" s="1"/>
  <c r="AM36" i="10" a="1"/>
  <c r="AM36" i="10" s="1"/>
  <c r="P36" i="10" a="1"/>
  <c r="P36" i="10" s="1"/>
  <c r="N36" i="10" a="1"/>
  <c r="N36" i="10" s="1"/>
  <c r="AC36" i="10" a="1"/>
  <c r="AC36" i="10" s="1"/>
  <c r="U36" i="10" a="1"/>
  <c r="U36" i="10" s="1"/>
  <c r="Y36" i="10" a="1"/>
  <c r="Y36" i="10" s="1"/>
  <c r="AI36" i="10" a="1"/>
  <c r="AI36" i="10" s="1"/>
  <c r="X36" i="10" a="1"/>
  <c r="X36" i="10" s="1"/>
  <c r="AE36" i="10" a="1"/>
  <c r="AE36" i="10" s="1"/>
  <c r="AN36" i="10" a="1"/>
  <c r="AN36" i="10" s="1"/>
  <c r="C36" i="10" a="1"/>
  <c r="C36" i="10" s="1"/>
  <c r="D36" i="10" a="1"/>
  <c r="D36" i="10" s="1"/>
  <c r="W36" i="10" a="1"/>
  <c r="W36" i="10" s="1"/>
  <c r="AH36" i="10" a="1"/>
  <c r="AH36" i="10" s="1"/>
  <c r="E36" i="10" a="1"/>
  <c r="E36" i="10" s="1"/>
  <c r="R36" i="10" a="1"/>
  <c r="R36" i="10" s="1"/>
  <c r="AS36" i="10" a="1"/>
  <c r="AS36" i="10" s="1"/>
  <c r="J36" i="10" a="1"/>
  <c r="J36" i="10" s="1"/>
  <c r="T36" i="10" a="1"/>
  <c r="T36" i="10" s="1"/>
  <c r="Z36" i="10" a="1"/>
  <c r="Z36" i="10" s="1"/>
  <c r="H36" i="10" a="1"/>
  <c r="H36" i="10" s="1"/>
  <c r="O36" i="10" a="1"/>
  <c r="O36" i="10" s="1"/>
  <c r="F36" i="10" a="1"/>
  <c r="F36" i="10" s="1"/>
  <c r="B36" i="10" a="1"/>
  <c r="B36" i="10" s="1"/>
  <c r="V36" i="10" a="1"/>
  <c r="V36" i="10" s="1"/>
  <c r="S36" i="10" a="1"/>
  <c r="S36" i="10" s="1"/>
  <c r="AA36" i="10" a="1"/>
  <c r="AA36" i="10" s="1"/>
  <c r="AK36" i="10" a="1"/>
  <c r="AK36" i="10" s="1"/>
  <c r="I36" i="10" a="1"/>
  <c r="I36" i="10" s="1"/>
  <c r="AF36" i="10" a="1"/>
  <c r="AF36" i="10" s="1"/>
  <c r="K36" i="10" a="1"/>
  <c r="K36" i="10" s="1"/>
  <c r="L36" i="10" a="1"/>
  <c r="L36" i="10" s="1"/>
  <c r="AD36" i="10" a="1"/>
  <c r="AD36" i="10" s="1"/>
  <c r="AR36" i="10" a="1"/>
  <c r="AR36" i="10" s="1"/>
  <c r="AO36" i="10" a="1"/>
  <c r="AO36" i="10" s="1"/>
  <c r="AP36" i="10" a="1"/>
  <c r="AP36" i="10" s="1"/>
  <c r="AQ36" i="10" a="1"/>
  <c r="AQ36" i="10" s="1"/>
  <c r="AT36" i="10" a="1"/>
  <c r="AT36" i="10" s="1"/>
  <c r="AV36" i="10" a="1"/>
  <c r="AV36" i="10" s="1"/>
  <c r="AU36" i="10" a="1"/>
  <c r="AU36" i="10" s="1"/>
  <c r="AW36" i="10" a="1"/>
  <c r="AW36" i="10" s="1"/>
  <c r="AX36" i="10" a="1"/>
  <c r="AX36" i="10" s="1"/>
  <c r="AY36" i="10" a="1"/>
  <c r="AY36" i="10" s="1"/>
  <c r="BD36" i="10" a="1"/>
  <c r="BD36" i="10" s="1"/>
  <c r="AZ36" i="10" a="1"/>
  <c r="AZ36" i="10" s="1"/>
  <c r="BB36" i="10" a="1"/>
  <c r="BB36" i="10" s="1"/>
  <c r="BA36" i="10" a="1"/>
  <c r="BA36" i="10" s="1"/>
  <c r="BE36" i="10" a="1"/>
  <c r="BE36" i="10" s="1"/>
  <c r="BC36" i="10" a="1"/>
  <c r="BC36" i="10" s="1"/>
  <c r="BF36" i="10" a="1"/>
  <c r="BF36" i="10" s="1"/>
  <c r="BG36" i="10" a="1"/>
  <c r="BG36" i="10" s="1"/>
  <c r="BH36" i="10" a="1"/>
  <c r="BH36" i="10" s="1"/>
  <c r="BI36" i="10" a="1"/>
  <c r="BI36" i="10" s="1"/>
  <c r="AH45" i="10" a="1"/>
  <c r="AH45" i="10" s="1"/>
  <c r="AC45" i="10" a="1"/>
  <c r="AC45" i="10" s="1"/>
  <c r="Y45" i="10" a="1"/>
  <c r="Y45" i="10" s="1"/>
  <c r="AG45" i="10" a="1"/>
  <c r="AG45" i="10" s="1"/>
  <c r="K45" i="10" a="1"/>
  <c r="K45" i="10" s="1"/>
  <c r="N45" i="10" a="1"/>
  <c r="N45" i="10" s="1"/>
  <c r="AI45" i="10" a="1"/>
  <c r="AI45" i="10" s="1"/>
  <c r="F45" i="10" a="1"/>
  <c r="F45" i="10" s="1"/>
  <c r="S45" i="10" a="1"/>
  <c r="S45" i="10" s="1"/>
  <c r="AB45" i="10" a="1"/>
  <c r="AB45" i="10" s="1"/>
  <c r="AA45" i="10" a="1"/>
  <c r="AA45" i="10" s="1"/>
  <c r="M45" i="10" a="1"/>
  <c r="M45" i="10" s="1"/>
  <c r="V45" i="10" a="1"/>
  <c r="V45" i="10" s="1"/>
  <c r="O45" i="10" a="1"/>
  <c r="O45" i="10" s="1"/>
  <c r="I45" i="10" a="1"/>
  <c r="I45" i="10" s="1"/>
  <c r="Z45" i="10" a="1"/>
  <c r="Z45" i="10" s="1"/>
  <c r="T45" i="10" a="1"/>
  <c r="T45" i="10" s="1"/>
  <c r="C45" i="10" a="1"/>
  <c r="C45" i="10" s="1"/>
  <c r="H45" i="10" a="1"/>
  <c r="H45" i="10" s="1"/>
  <c r="P45" i="10" a="1"/>
  <c r="P45" i="10" s="1"/>
  <c r="AD45" i="10" a="1"/>
  <c r="AD45" i="10" s="1"/>
  <c r="R45" i="10" a="1"/>
  <c r="R45" i="10" s="1"/>
  <c r="Q45" i="10" a="1"/>
  <c r="Q45" i="10" s="1"/>
  <c r="AK45" i="10" a="1"/>
  <c r="AK45" i="10" s="1"/>
  <c r="L45" i="10" a="1"/>
  <c r="L45" i="10" s="1"/>
  <c r="G45" i="10" a="1"/>
  <c r="G45" i="10" s="1"/>
  <c r="U45" i="10" a="1"/>
  <c r="U45" i="10" s="1"/>
  <c r="J45" i="10" a="1"/>
  <c r="J45" i="10" s="1"/>
  <c r="AE45" i="10" a="1"/>
  <c r="AE45" i="10" s="1"/>
  <c r="X45" i="10" a="1"/>
  <c r="X45" i="10" s="1"/>
  <c r="B45" i="10" a="1"/>
  <c r="B45" i="10" s="1"/>
  <c r="D45" i="10" a="1"/>
  <c r="D45" i="10" s="1"/>
  <c r="AJ45" i="10" a="1"/>
  <c r="AJ45" i="10" s="1"/>
  <c r="W45" i="10" a="1"/>
  <c r="W45" i="10" s="1"/>
  <c r="AL45" i="10" a="1"/>
  <c r="AL45" i="10" s="1"/>
  <c r="AF45" i="10" a="1"/>
  <c r="AF45" i="10" s="1"/>
  <c r="AM45" i="10" a="1"/>
  <c r="AM45" i="10" s="1"/>
  <c r="AN45" i="10" a="1"/>
  <c r="AN45" i="10" s="1"/>
  <c r="E45" i="10" a="1"/>
  <c r="E45" i="10" s="1"/>
  <c r="AS45" i="10" a="1"/>
  <c r="AS45" i="10" s="1"/>
  <c r="AP45" i="10" a="1"/>
  <c r="AP45" i="10" s="1"/>
  <c r="AR45" i="10" a="1"/>
  <c r="AR45" i="10" s="1"/>
  <c r="AQ45" i="10" a="1"/>
  <c r="AQ45" i="10" s="1"/>
  <c r="AU45" i="10" a="1"/>
  <c r="AU45" i="10" s="1"/>
  <c r="AO45" i="10" a="1"/>
  <c r="AO45" i="10" s="1"/>
  <c r="AT45" i="10" a="1"/>
  <c r="AT45" i="10" s="1"/>
  <c r="AV45" i="10" a="1"/>
  <c r="AV45" i="10" s="1"/>
  <c r="BB45" i="10" a="1"/>
  <c r="BB45" i="10" s="1"/>
  <c r="AX45" i="10" a="1"/>
  <c r="AX45" i="10" s="1"/>
  <c r="AW45" i="10" a="1"/>
  <c r="AW45" i="10" s="1"/>
  <c r="AY45" i="10" a="1"/>
  <c r="AY45" i="10" s="1"/>
  <c r="AZ45" i="10" a="1"/>
  <c r="AZ45" i="10" s="1"/>
  <c r="BA45" i="10" a="1"/>
  <c r="BA45" i="10" s="1"/>
  <c r="BD45" i="10" a="1"/>
  <c r="BD45" i="10" s="1"/>
  <c r="BC45" i="10" a="1"/>
  <c r="BC45" i="10" s="1"/>
  <c r="BE45" i="10" a="1"/>
  <c r="BE45" i="10" s="1"/>
  <c r="BF45" i="10" a="1"/>
  <c r="BF45" i="10" s="1"/>
  <c r="BG45" i="10" a="1"/>
  <c r="BG45" i="10" s="1"/>
  <c r="BI45" i="10" a="1"/>
  <c r="BI45" i="10" s="1"/>
  <c r="BH45" i="10" a="1"/>
  <c r="BH45" i="10" s="1"/>
  <c r="AM40" i="10" a="1"/>
  <c r="AM40" i="10" s="1"/>
  <c r="AL40" i="10" a="1"/>
  <c r="AL40" i="10" s="1"/>
  <c r="Y40" i="10" a="1"/>
  <c r="Y40" i="10" s="1"/>
  <c r="AH40" i="10" a="1"/>
  <c r="AH40" i="10" s="1"/>
  <c r="O40" i="10" a="1"/>
  <c r="O40" i="10" s="1"/>
  <c r="H40" i="10" a="1"/>
  <c r="H40" i="10" s="1"/>
  <c r="AA40" i="10" a="1"/>
  <c r="AA40" i="10" s="1"/>
  <c r="L40" i="10" a="1"/>
  <c r="L40" i="10" s="1"/>
  <c r="AG40" i="10" a="1"/>
  <c r="AG40" i="10" s="1"/>
  <c r="AJ40" i="10" a="1"/>
  <c r="AJ40" i="10" s="1"/>
  <c r="I40" i="10" a="1"/>
  <c r="I40" i="10" s="1"/>
  <c r="G40" i="10" a="1"/>
  <c r="G40" i="10" s="1"/>
  <c r="T40" i="10" a="1"/>
  <c r="T40" i="10" s="1"/>
  <c r="V40" i="10" a="1"/>
  <c r="V40" i="10" s="1"/>
  <c r="X40" i="10" a="1"/>
  <c r="X40" i="10" s="1"/>
  <c r="Z40" i="10" a="1"/>
  <c r="Z40" i="10" s="1"/>
  <c r="C40" i="10" a="1"/>
  <c r="C40" i="10" s="1"/>
  <c r="AD40" i="10" a="1"/>
  <c r="AD40" i="10" s="1"/>
  <c r="P40" i="10" a="1"/>
  <c r="P40" i="10" s="1"/>
  <c r="Q40" i="10" a="1"/>
  <c r="Q40" i="10" s="1"/>
  <c r="N40" i="10" a="1"/>
  <c r="N40" i="10" s="1"/>
  <c r="U40" i="10" a="1"/>
  <c r="U40" i="10" s="1"/>
  <c r="AF40" i="10" a="1"/>
  <c r="AF40" i="10" s="1"/>
  <c r="D40" i="10" a="1"/>
  <c r="D40" i="10" s="1"/>
  <c r="AE40" i="10" a="1"/>
  <c r="AE40" i="10" s="1"/>
  <c r="E40" i="10" a="1"/>
  <c r="E40" i="10" s="1"/>
  <c r="AB40" i="10" a="1"/>
  <c r="AB40" i="10" s="1"/>
  <c r="AC40" i="10" a="1"/>
  <c r="AC40" i="10" s="1"/>
  <c r="AI40" i="10" a="1"/>
  <c r="AI40" i="10" s="1"/>
  <c r="W40" i="10" a="1"/>
  <c r="W40" i="10" s="1"/>
  <c r="AK40" i="10" a="1"/>
  <c r="AK40" i="10" s="1"/>
  <c r="K40" i="10" a="1"/>
  <c r="K40" i="10" s="1"/>
  <c r="M40" i="10" a="1"/>
  <c r="M40" i="10" s="1"/>
  <c r="F40" i="10" a="1"/>
  <c r="F40" i="10" s="1"/>
  <c r="R40" i="10" a="1"/>
  <c r="R40" i="10" s="1"/>
  <c r="AP40" i="10" a="1"/>
  <c r="AP40" i="10" s="1"/>
  <c r="J40" i="10" a="1"/>
  <c r="J40" i="10" s="1"/>
  <c r="S40" i="10" a="1"/>
  <c r="S40" i="10" s="1"/>
  <c r="AN40" i="10" a="1"/>
  <c r="AN40" i="10" s="1"/>
  <c r="B40" i="10" a="1"/>
  <c r="B40" i="10" s="1"/>
  <c r="AO40" i="10" a="1"/>
  <c r="AO40" i="10" s="1"/>
  <c r="AQ40" i="10" a="1"/>
  <c r="AQ40" i="10" s="1"/>
  <c r="AR40" i="10" a="1"/>
  <c r="AR40" i="10" s="1"/>
  <c r="AT40" i="10" a="1"/>
  <c r="AT40" i="10" s="1"/>
  <c r="AS40" i="10" a="1"/>
  <c r="AS40" i="10" s="1"/>
  <c r="AU40" i="10" a="1"/>
  <c r="AU40" i="10" s="1"/>
  <c r="AY40" i="10" a="1"/>
  <c r="AY40" i="10" s="1"/>
  <c r="AW40" i="10" a="1"/>
  <c r="AW40" i="10" s="1"/>
  <c r="AV40" i="10" a="1"/>
  <c r="AV40" i="10" s="1"/>
  <c r="AX40" i="10" a="1"/>
  <c r="AX40" i="10" s="1"/>
  <c r="BD40" i="10" a="1"/>
  <c r="BD40" i="10" s="1"/>
  <c r="AZ40" i="10" a="1"/>
  <c r="AZ40" i="10" s="1"/>
  <c r="BB40" i="10" a="1"/>
  <c r="BB40" i="10" s="1"/>
  <c r="BA40" i="10" a="1"/>
  <c r="BA40" i="10" s="1"/>
  <c r="BF40" i="10" a="1"/>
  <c r="BF40" i="10" s="1"/>
  <c r="BC40" i="10" a="1"/>
  <c r="BC40" i="10" s="1"/>
  <c r="BE40" i="10" a="1"/>
  <c r="BE40" i="10" s="1"/>
  <c r="BG40" i="10" a="1"/>
  <c r="BG40" i="10" s="1"/>
  <c r="BI40" i="10" a="1"/>
  <c r="BI40" i="10" s="1"/>
  <c r="BH40" i="10" a="1"/>
  <c r="BH40" i="10" s="1"/>
  <c r="C39" i="10" a="1"/>
  <c r="C39" i="10" s="1"/>
  <c r="M39" i="10" a="1"/>
  <c r="M39" i="10" s="1"/>
  <c r="AH39" i="10" a="1"/>
  <c r="AH39" i="10" s="1"/>
  <c r="AA39" i="10" a="1"/>
  <c r="AA39" i="10" s="1"/>
  <c r="L39" i="10" a="1"/>
  <c r="L39" i="10" s="1"/>
  <c r="AC39" i="10" a="1"/>
  <c r="AC39" i="10" s="1"/>
  <c r="S39" i="10" a="1"/>
  <c r="S39" i="10" s="1"/>
  <c r="AN39" i="10" a="1"/>
  <c r="AN39" i="10" s="1"/>
  <c r="U39" i="10" a="1"/>
  <c r="U39" i="10" s="1"/>
  <c r="AE39" i="10" a="1"/>
  <c r="AE39" i="10" s="1"/>
  <c r="AL39" i="10" a="1"/>
  <c r="AL39" i="10" s="1"/>
  <c r="AM39" i="10" a="1"/>
  <c r="AM39" i="10" s="1"/>
  <c r="AK39" i="10" a="1"/>
  <c r="AK39" i="10" s="1"/>
  <c r="B39" i="10" a="1"/>
  <c r="B39" i="10" s="1"/>
  <c r="AI39" i="10" a="1"/>
  <c r="AI39" i="10" s="1"/>
  <c r="P39" i="10" a="1"/>
  <c r="P39" i="10" s="1"/>
  <c r="AB39" i="10" a="1"/>
  <c r="AB39" i="10" s="1"/>
  <c r="D39" i="10" a="1"/>
  <c r="D39" i="10" s="1"/>
  <c r="T39" i="10" a="1"/>
  <c r="T39" i="10" s="1"/>
  <c r="F39" i="10" a="1"/>
  <c r="F39" i="10" s="1"/>
  <c r="AJ39" i="10" a="1"/>
  <c r="AJ39" i="10" s="1"/>
  <c r="Z39" i="10" a="1"/>
  <c r="Z39" i="10" s="1"/>
  <c r="O39" i="10" a="1"/>
  <c r="O39" i="10" s="1"/>
  <c r="J39" i="10" a="1"/>
  <c r="J39" i="10" s="1"/>
  <c r="G39" i="10" a="1"/>
  <c r="G39" i="10" s="1"/>
  <c r="H39" i="10" a="1"/>
  <c r="H39" i="10" s="1"/>
  <c r="N39" i="10" a="1"/>
  <c r="N39" i="10" s="1"/>
  <c r="E39" i="10" a="1"/>
  <c r="E39" i="10" s="1"/>
  <c r="W39" i="10" a="1"/>
  <c r="W39" i="10" s="1"/>
  <c r="I39" i="10" a="1"/>
  <c r="I39" i="10" s="1"/>
  <c r="X39" i="10" a="1"/>
  <c r="X39" i="10" s="1"/>
  <c r="Y39" i="10" a="1"/>
  <c r="Y39" i="10" s="1"/>
  <c r="R39" i="10" a="1"/>
  <c r="R39" i="10" s="1"/>
  <c r="AP39" i="10" a="1"/>
  <c r="AP39" i="10" s="1"/>
  <c r="Q39" i="10" a="1"/>
  <c r="Q39" i="10" s="1"/>
  <c r="AF39" i="10" a="1"/>
  <c r="AF39" i="10" s="1"/>
  <c r="V39" i="10" a="1"/>
  <c r="V39" i="10" s="1"/>
  <c r="K39" i="10" a="1"/>
  <c r="K39" i="10" s="1"/>
  <c r="AG39" i="10" a="1"/>
  <c r="AG39" i="10" s="1"/>
  <c r="AO39" i="10" a="1"/>
  <c r="AO39" i="10" s="1"/>
  <c r="AD39" i="10" a="1"/>
  <c r="AD39" i="10" s="1"/>
  <c r="AR39" i="10" a="1"/>
  <c r="AR39" i="10" s="1"/>
  <c r="AT39" i="10" a="1"/>
  <c r="AT39" i="10" s="1"/>
  <c r="AQ39" i="10" a="1"/>
  <c r="AQ39" i="10" s="1"/>
  <c r="AS39" i="10" a="1"/>
  <c r="AS39" i="10" s="1"/>
  <c r="AW39" i="10" a="1"/>
  <c r="AW39" i="10" s="1"/>
  <c r="AU39" i="10" a="1"/>
  <c r="AU39" i="10" s="1"/>
  <c r="AV39" i="10" a="1"/>
  <c r="AV39" i="10" s="1"/>
  <c r="AY39" i="10" a="1"/>
  <c r="AY39" i="10" s="1"/>
  <c r="BA39" i="10" a="1"/>
  <c r="BA39" i="10" s="1"/>
  <c r="AX39" i="10" a="1"/>
  <c r="AX39" i="10" s="1"/>
  <c r="AZ39" i="10" a="1"/>
  <c r="AZ39" i="10" s="1"/>
  <c r="BC39" i="10" a="1"/>
  <c r="BC39" i="10" s="1"/>
  <c r="BB39" i="10" a="1"/>
  <c r="BB39" i="10" s="1"/>
  <c r="BD39" i="10" a="1"/>
  <c r="BD39" i="10" s="1"/>
  <c r="BF39" i="10" a="1"/>
  <c r="BF39" i="10" s="1"/>
  <c r="BE39" i="10" a="1"/>
  <c r="BE39" i="10" s="1"/>
  <c r="BH39" i="10" a="1"/>
  <c r="BH39" i="10" s="1"/>
  <c r="BG39" i="10" a="1"/>
  <c r="BG39" i="10" s="1"/>
  <c r="BI39" i="10" a="1"/>
  <c r="BI39" i="10" s="1"/>
  <c r="E17" i="10" a="1"/>
  <c r="E17" i="10" s="1"/>
  <c r="D17" i="10" a="1"/>
  <c r="D17" i="10" s="1"/>
  <c r="K17" i="10" a="1"/>
  <c r="K17" i="10" s="1"/>
  <c r="C17" i="10" a="1"/>
  <c r="C17" i="10" s="1"/>
  <c r="AF17" i="10" a="1"/>
  <c r="AF17" i="10" s="1"/>
  <c r="U17" i="10" a="1"/>
  <c r="U17" i="10" s="1"/>
  <c r="AB17" i="10" a="1"/>
  <c r="AB17" i="10" s="1"/>
  <c r="AE17" i="10" a="1"/>
  <c r="AE17" i="10" s="1"/>
  <c r="X17" i="10" a="1"/>
  <c r="X17" i="10" s="1"/>
  <c r="W17" i="10" a="1"/>
  <c r="W17" i="10" s="1"/>
  <c r="N17" i="10" a="1"/>
  <c r="N17" i="10" s="1"/>
  <c r="AA17" i="10" a="1"/>
  <c r="AA17" i="10" s="1"/>
  <c r="AM17" i="10" a="1"/>
  <c r="AM17" i="10" s="1"/>
  <c r="P17" i="10" a="1"/>
  <c r="P17" i="10" s="1"/>
  <c r="AD17" i="10" a="1"/>
  <c r="AD17" i="10" s="1"/>
  <c r="T17" i="10" a="1"/>
  <c r="T17" i="10" s="1"/>
  <c r="J17" i="10" a="1"/>
  <c r="J17" i="10" s="1"/>
  <c r="G17" i="10" a="1"/>
  <c r="G17" i="10" s="1"/>
  <c r="R17" i="10" a="1"/>
  <c r="R17" i="10" s="1"/>
  <c r="AC17" i="10" a="1"/>
  <c r="AC17" i="10" s="1"/>
  <c r="O17" i="10" a="1"/>
  <c r="O17" i="10" s="1"/>
  <c r="Z17" i="10" a="1"/>
  <c r="Z17" i="10" s="1"/>
  <c r="I17" i="10" a="1"/>
  <c r="I17" i="10" s="1"/>
  <c r="AJ17" i="10" a="1"/>
  <c r="AJ17" i="10" s="1"/>
  <c r="H17" i="10" a="1"/>
  <c r="H17" i="10" s="1"/>
  <c r="L17" i="10" a="1"/>
  <c r="L17" i="10" s="1"/>
  <c r="V17" i="10" a="1"/>
  <c r="V17" i="10" s="1"/>
  <c r="AL17" i="10" a="1"/>
  <c r="AL17" i="10" s="1"/>
  <c r="AI17" i="10" a="1"/>
  <c r="AI17" i="10" s="1"/>
  <c r="Y17" i="10" a="1"/>
  <c r="Y17" i="10" s="1"/>
  <c r="B17" i="10" a="1"/>
  <c r="B17" i="10" s="1"/>
  <c r="AG17" i="10" a="1"/>
  <c r="AG17" i="10" s="1"/>
  <c r="M17" i="10" a="1"/>
  <c r="M17" i="10" s="1"/>
  <c r="S17" i="10" a="1"/>
  <c r="S17" i="10" s="1"/>
  <c r="Q17" i="10" a="1"/>
  <c r="Q17" i="10" s="1"/>
  <c r="AY17" i="10" a="1"/>
  <c r="AY17" i="10" s="1"/>
  <c r="F17" i="10" a="1"/>
  <c r="F17" i="10" s="1"/>
  <c r="AQ17" i="10" a="1"/>
  <c r="AQ17" i="10" s="1"/>
  <c r="AH17" i="10" a="1"/>
  <c r="AH17" i="10" s="1"/>
  <c r="AP17" i="10" a="1"/>
  <c r="AP17" i="10" s="1"/>
  <c r="AK17" i="10" a="1"/>
  <c r="AK17" i="10" s="1"/>
  <c r="AN17" i="10" a="1"/>
  <c r="AN17" i="10" s="1"/>
  <c r="AT17" i="10" a="1"/>
  <c r="AT17" i="10" s="1"/>
  <c r="AS17" i="10" a="1"/>
  <c r="AS17" i="10" s="1"/>
  <c r="AR17" i="10" a="1"/>
  <c r="AR17" i="10" s="1"/>
  <c r="AO17" i="10" a="1"/>
  <c r="AO17" i="10" s="1"/>
  <c r="AW17" i="10" a="1"/>
  <c r="AW17" i="10" s="1"/>
  <c r="AU17" i="10" a="1"/>
  <c r="AU17" i="10" s="1"/>
  <c r="AV17" i="10" a="1"/>
  <c r="AV17" i="10" s="1"/>
  <c r="AZ17" i="10" a="1"/>
  <c r="AZ17" i="10" s="1"/>
  <c r="AX17" i="10" a="1"/>
  <c r="AX17" i="10" s="1"/>
  <c r="BB17" i="10" a="1"/>
  <c r="BB17" i="10" s="1"/>
  <c r="BA17" i="10" a="1"/>
  <c r="BA17" i="10" s="1"/>
  <c r="BD17" i="10" a="1"/>
  <c r="BD17" i="10" s="1"/>
  <c r="BE17" i="10" a="1"/>
  <c r="BE17" i="10" s="1"/>
  <c r="BC17" i="10" a="1"/>
  <c r="BC17" i="10" s="1"/>
  <c r="BF17" i="10" a="1"/>
  <c r="BF17" i="10" s="1"/>
  <c r="BG17" i="10" a="1"/>
  <c r="BG17" i="10" s="1"/>
  <c r="BI17" i="10" a="1"/>
  <c r="BI17" i="10" s="1"/>
  <c r="BH17" i="10" a="1"/>
  <c r="BH17" i="10" s="1"/>
  <c r="F48" i="10" a="1"/>
  <c r="F48" i="10" s="1"/>
  <c r="AM48" i="10" a="1"/>
  <c r="AM48" i="10" s="1"/>
  <c r="B48" i="10" a="1"/>
  <c r="B48" i="10" s="1"/>
  <c r="AE48" i="10" a="1"/>
  <c r="AE48" i="10" s="1"/>
  <c r="O48" i="10" a="1"/>
  <c r="O48" i="10" s="1"/>
  <c r="N48" i="10" a="1"/>
  <c r="N48" i="10" s="1"/>
  <c r="AL48" i="10" a="1"/>
  <c r="AL48" i="10" s="1"/>
  <c r="I48" i="10" a="1"/>
  <c r="I48" i="10" s="1"/>
  <c r="AC48" i="10" a="1"/>
  <c r="AC48" i="10" s="1"/>
  <c r="AH48" i="10" a="1"/>
  <c r="AH48" i="10" s="1"/>
  <c r="K48" i="10" a="1"/>
  <c r="K48" i="10" s="1"/>
  <c r="AI48" i="10" a="1"/>
  <c r="AI48" i="10" s="1"/>
  <c r="D48" i="10" a="1"/>
  <c r="D48" i="10" s="1"/>
  <c r="AF48" i="10" a="1"/>
  <c r="AF48" i="10" s="1"/>
  <c r="AK48" i="10" a="1"/>
  <c r="AK48" i="10" s="1"/>
  <c r="V48" i="10" a="1"/>
  <c r="V48" i="10" s="1"/>
  <c r="U48" i="10" a="1"/>
  <c r="U48" i="10" s="1"/>
  <c r="Y48" i="10" a="1"/>
  <c r="Y48" i="10" s="1"/>
  <c r="R48" i="10" a="1"/>
  <c r="R48" i="10" s="1"/>
  <c r="W48" i="10" a="1"/>
  <c r="W48" i="10" s="1"/>
  <c r="AA48" i="10" a="1"/>
  <c r="AA48" i="10" s="1"/>
  <c r="M48" i="10" a="1"/>
  <c r="M48" i="10" s="1"/>
  <c r="Q48" i="10" a="1"/>
  <c r="Q48" i="10" s="1"/>
  <c r="AB48" i="10" a="1"/>
  <c r="AB48" i="10" s="1"/>
  <c r="P48" i="10" a="1"/>
  <c r="P48" i="10" s="1"/>
  <c r="AG48" i="10" a="1"/>
  <c r="AG48" i="10" s="1"/>
  <c r="J48" i="10" a="1"/>
  <c r="J48" i="10" s="1"/>
  <c r="E48" i="10" a="1"/>
  <c r="E48" i="10" s="1"/>
  <c r="H48" i="10" a="1"/>
  <c r="H48" i="10" s="1"/>
  <c r="X48" i="10" a="1"/>
  <c r="X48" i="10" s="1"/>
  <c r="C48" i="10" a="1"/>
  <c r="C48" i="10" s="1"/>
  <c r="T48" i="10" a="1"/>
  <c r="T48" i="10" s="1"/>
  <c r="AN48" i="10" a="1"/>
  <c r="AN48" i="10" s="1"/>
  <c r="AJ48" i="10" a="1"/>
  <c r="AJ48" i="10" s="1"/>
  <c r="AD48" i="10" a="1"/>
  <c r="AD48" i="10" s="1"/>
  <c r="G48" i="10" a="1"/>
  <c r="G48" i="10" s="1"/>
  <c r="L48" i="10" a="1"/>
  <c r="L48" i="10" s="1"/>
  <c r="Z48" i="10" a="1"/>
  <c r="Z48" i="10" s="1"/>
  <c r="S48" i="10" a="1"/>
  <c r="S48" i="10" s="1"/>
  <c r="AP48" i="10" a="1"/>
  <c r="AP48" i="10" s="1"/>
  <c r="AQ48" i="10" a="1"/>
  <c r="AQ48" i="10" s="1"/>
  <c r="AO48" i="10" a="1"/>
  <c r="AO48" i="10" s="1"/>
  <c r="AR48" i="10" a="1"/>
  <c r="AR48" i="10" s="1"/>
  <c r="AT48" i="10" a="1"/>
  <c r="AT48" i="10" s="1"/>
  <c r="AS48" i="10" a="1"/>
  <c r="AS48" i="10" s="1"/>
  <c r="AU48" i="10" a="1"/>
  <c r="AU48" i="10" s="1"/>
  <c r="AV48" i="10" a="1"/>
  <c r="AV48" i="10" s="1"/>
  <c r="AX48" i="10" a="1"/>
  <c r="AX48" i="10" s="1"/>
  <c r="AW48" i="10" a="1"/>
  <c r="AW48" i="10" s="1"/>
  <c r="AY48" i="10" a="1"/>
  <c r="AY48" i="10" s="1"/>
  <c r="BA48" i="10" a="1"/>
  <c r="BA48" i="10" s="1"/>
  <c r="AZ48" i="10" a="1"/>
  <c r="AZ48" i="10" s="1"/>
  <c r="BD48" i="10" a="1"/>
  <c r="BD48" i="10" s="1"/>
  <c r="BB48" i="10" a="1"/>
  <c r="BB48" i="10" s="1"/>
  <c r="BC48" i="10" a="1"/>
  <c r="BC48" i="10" s="1"/>
  <c r="BE48" i="10" a="1"/>
  <c r="BE48" i="10" s="1"/>
  <c r="BF48" i="10" a="1"/>
  <c r="BF48" i="10" s="1"/>
  <c r="BH48" i="10" a="1"/>
  <c r="BH48" i="10" s="1"/>
  <c r="BG48" i="10" a="1"/>
  <c r="BG48" i="10" s="1"/>
  <c r="BI48" i="10" a="1"/>
  <c r="BI48" i="10" s="1"/>
  <c r="T18" i="7"/>
  <c r="N17" i="7"/>
  <c r="U18" i="7"/>
  <c r="AA42" i="10" a="1"/>
  <c r="AA42" i="10" s="1"/>
  <c r="AM42" i="10" a="1"/>
  <c r="AM42" i="10" s="1"/>
  <c r="E42" i="10" a="1"/>
  <c r="E42" i="10" s="1"/>
  <c r="AL42" i="10" a="1"/>
  <c r="AL42" i="10" s="1"/>
  <c r="M42" i="10" a="1"/>
  <c r="M42" i="10" s="1"/>
  <c r="AC42" i="10" a="1"/>
  <c r="AC42" i="10" s="1"/>
  <c r="K42" i="10" a="1"/>
  <c r="K42" i="10" s="1"/>
  <c r="AG42" i="10" a="1"/>
  <c r="AG42" i="10" s="1"/>
  <c r="Y42" i="10" a="1"/>
  <c r="Y42" i="10" s="1"/>
  <c r="X42" i="10" a="1"/>
  <c r="X42" i="10" s="1"/>
  <c r="D42" i="10" a="1"/>
  <c r="D42" i="10" s="1"/>
  <c r="AR42" i="10" a="1"/>
  <c r="AR42" i="10" s="1"/>
  <c r="S42" i="10" a="1"/>
  <c r="S42" i="10" s="1"/>
  <c r="AN42" i="10" a="1"/>
  <c r="AN42" i="10" s="1"/>
  <c r="N42" i="10" a="1"/>
  <c r="N42" i="10" s="1"/>
  <c r="V42" i="10" a="1"/>
  <c r="V42" i="10" s="1"/>
  <c r="AJ42" i="10" a="1"/>
  <c r="AJ42" i="10" s="1"/>
  <c r="U42" i="10" a="1"/>
  <c r="U42" i="10" s="1"/>
  <c r="AI42" i="10" a="1"/>
  <c r="AI42" i="10" s="1"/>
  <c r="J42" i="10" a="1"/>
  <c r="J42" i="10" s="1"/>
  <c r="L42" i="10" a="1"/>
  <c r="L42" i="10" s="1"/>
  <c r="Q42" i="10" a="1"/>
  <c r="Q42" i="10" s="1"/>
  <c r="C42" i="10" a="1"/>
  <c r="C42" i="10" s="1"/>
  <c r="T42" i="10" a="1"/>
  <c r="T42" i="10" s="1"/>
  <c r="F42" i="10" a="1"/>
  <c r="F42" i="10" s="1"/>
  <c r="R42" i="10" a="1"/>
  <c r="R42" i="10" s="1"/>
  <c r="O42" i="10" a="1"/>
  <c r="O42" i="10" s="1"/>
  <c r="AE42" i="10" a="1"/>
  <c r="AE42" i="10" s="1"/>
  <c r="AK42" i="10" a="1"/>
  <c r="AK42" i="10" s="1"/>
  <c r="AD42" i="10" a="1"/>
  <c r="AD42" i="10" s="1"/>
  <c r="W42" i="10" a="1"/>
  <c r="W42" i="10" s="1"/>
  <c r="P42" i="10" a="1"/>
  <c r="P42" i="10" s="1"/>
  <c r="AB42" i="10" a="1"/>
  <c r="AB42" i="10" s="1"/>
  <c r="AF42" i="10" a="1"/>
  <c r="AF42" i="10" s="1"/>
  <c r="AO42" i="10" a="1"/>
  <c r="AO42" i="10" s="1"/>
  <c r="AH42" i="10" a="1"/>
  <c r="AH42" i="10" s="1"/>
  <c r="Z42" i="10" a="1"/>
  <c r="Z42" i="10" s="1"/>
  <c r="H42" i="10" a="1"/>
  <c r="H42" i="10" s="1"/>
  <c r="G42" i="10" a="1"/>
  <c r="G42" i="10" s="1"/>
  <c r="I42" i="10" a="1"/>
  <c r="I42" i="10" s="1"/>
  <c r="B42" i="10" a="1"/>
  <c r="B42" i="10" s="1"/>
  <c r="AQ42" i="10" a="1"/>
  <c r="AQ42" i="10" s="1"/>
  <c r="AP42" i="10" a="1"/>
  <c r="AP42" i="10" s="1"/>
  <c r="AS42" i="10" a="1"/>
  <c r="AS42" i="10" s="1"/>
  <c r="AT42" i="10" a="1"/>
  <c r="AT42" i="10" s="1"/>
  <c r="AU42" i="10" a="1"/>
  <c r="AU42" i="10" s="1"/>
  <c r="AX42" i="10" a="1"/>
  <c r="AX42" i="10" s="1"/>
  <c r="AY42" i="10" a="1"/>
  <c r="AY42" i="10" s="1"/>
  <c r="AV42" i="10" a="1"/>
  <c r="AV42" i="10" s="1"/>
  <c r="AW42" i="10" a="1"/>
  <c r="AW42" i="10" s="1"/>
  <c r="AZ42" i="10" a="1"/>
  <c r="AZ42" i="10" s="1"/>
  <c r="BA42" i="10" a="1"/>
  <c r="BA42" i="10" s="1"/>
  <c r="BC42" i="10" a="1"/>
  <c r="BC42" i="10" s="1"/>
  <c r="BB42" i="10" a="1"/>
  <c r="BB42" i="10" s="1"/>
  <c r="BD42" i="10" a="1"/>
  <c r="BD42" i="10" s="1"/>
  <c r="BF42" i="10" a="1"/>
  <c r="BF42" i="10" s="1"/>
  <c r="BE42" i="10" a="1"/>
  <c r="BE42" i="10" s="1"/>
  <c r="BH42" i="10" a="1"/>
  <c r="BH42" i="10" s="1"/>
  <c r="BG42" i="10" a="1"/>
  <c r="BG42" i="10" s="1"/>
  <c r="BI42" i="10" a="1"/>
  <c r="BI42" i="10" s="1"/>
  <c r="BJ5" i="9"/>
  <c r="BK4" i="9"/>
  <c r="BH4" i="10"/>
  <c r="BH3" i="10" s="1"/>
  <c r="E47" i="10" a="1"/>
  <c r="E47" i="10" s="1"/>
  <c r="AG47" i="10" a="1"/>
  <c r="AG47" i="10" s="1"/>
  <c r="AH47" i="10" a="1"/>
  <c r="AH47" i="10" s="1"/>
  <c r="Z47" i="10" a="1"/>
  <c r="Z47" i="10" s="1"/>
  <c r="Y47" i="10" a="1"/>
  <c r="Y47" i="10" s="1"/>
  <c r="O47" i="10" a="1"/>
  <c r="O47" i="10" s="1"/>
  <c r="H47" i="10" a="1"/>
  <c r="H47" i="10" s="1"/>
  <c r="AD47" i="10" a="1"/>
  <c r="AD47" i="10" s="1"/>
  <c r="T47" i="10" a="1"/>
  <c r="T47" i="10" s="1"/>
  <c r="AF47" i="10" a="1"/>
  <c r="AF47" i="10" s="1"/>
  <c r="AE47" i="10" a="1"/>
  <c r="AE47" i="10" s="1"/>
  <c r="I47" i="10" a="1"/>
  <c r="I47" i="10" s="1"/>
  <c r="L47" i="10" a="1"/>
  <c r="L47" i="10" s="1"/>
  <c r="K47" i="10" a="1"/>
  <c r="K47" i="10" s="1"/>
  <c r="B47" i="10" a="1"/>
  <c r="B47" i="10" s="1"/>
  <c r="C47" i="10" a="1"/>
  <c r="C47" i="10" s="1"/>
  <c r="M47" i="10" a="1"/>
  <c r="M47" i="10" s="1"/>
  <c r="F47" i="10" a="1"/>
  <c r="F47" i="10" s="1"/>
  <c r="G47" i="10" a="1"/>
  <c r="G47" i="10" s="1"/>
  <c r="AC47" i="10" a="1"/>
  <c r="AC47" i="10" s="1"/>
  <c r="U47" i="10" a="1"/>
  <c r="U47" i="10" s="1"/>
  <c r="J47" i="10" a="1"/>
  <c r="J47" i="10" s="1"/>
  <c r="AL47" i="10" a="1"/>
  <c r="AL47" i="10" s="1"/>
  <c r="AK47" i="10" a="1"/>
  <c r="AK47" i="10" s="1"/>
  <c r="V47" i="10" a="1"/>
  <c r="V47" i="10" s="1"/>
  <c r="Q47" i="10" a="1"/>
  <c r="Q47" i="10" s="1"/>
  <c r="S47" i="10" a="1"/>
  <c r="S47" i="10" s="1"/>
  <c r="W47" i="10" a="1"/>
  <c r="W47" i="10" s="1"/>
  <c r="AB47" i="10" a="1"/>
  <c r="AB47" i="10" s="1"/>
  <c r="R47" i="10" a="1"/>
  <c r="R47" i="10" s="1"/>
  <c r="AI47" i="10" a="1"/>
  <c r="AI47" i="10" s="1"/>
  <c r="AJ47" i="10" a="1"/>
  <c r="AJ47" i="10" s="1"/>
  <c r="N47" i="10" a="1"/>
  <c r="N47" i="10" s="1"/>
  <c r="X47" i="10" a="1"/>
  <c r="X47" i="10" s="1"/>
  <c r="AA47" i="10" a="1"/>
  <c r="AA47" i="10" s="1"/>
  <c r="D47" i="10" a="1"/>
  <c r="D47" i="10" s="1"/>
  <c r="AO47" i="10" a="1"/>
  <c r="AO47" i="10" s="1"/>
  <c r="AM47" i="10" a="1"/>
  <c r="AM47" i="10" s="1"/>
  <c r="AN47" i="10" a="1"/>
  <c r="AN47" i="10" s="1"/>
  <c r="AP47" i="10" a="1"/>
  <c r="AP47" i="10" s="1"/>
  <c r="P47" i="10" a="1"/>
  <c r="P47" i="10" s="1"/>
  <c r="AS47" i="10" a="1"/>
  <c r="AS47" i="10" s="1"/>
  <c r="AQ47" i="10" a="1"/>
  <c r="AQ47" i="10" s="1"/>
  <c r="AR47" i="10" a="1"/>
  <c r="AR47" i="10" s="1"/>
  <c r="AU47" i="10" a="1"/>
  <c r="AU47" i="10" s="1"/>
  <c r="AV47" i="10" a="1"/>
  <c r="AV47" i="10" s="1"/>
  <c r="AT47" i="10" a="1"/>
  <c r="AT47" i="10" s="1"/>
  <c r="AW47" i="10" a="1"/>
  <c r="AW47" i="10" s="1"/>
  <c r="AZ47" i="10" a="1"/>
  <c r="AZ47" i="10" s="1"/>
  <c r="AY47" i="10" a="1"/>
  <c r="AY47" i="10" s="1"/>
  <c r="AX47" i="10" a="1"/>
  <c r="AX47" i="10" s="1"/>
  <c r="BB47" i="10" a="1"/>
  <c r="BB47" i="10" s="1"/>
  <c r="BA47" i="10" a="1"/>
  <c r="BA47" i="10" s="1"/>
  <c r="BE47" i="10" a="1"/>
  <c r="BE47" i="10" s="1"/>
  <c r="BC47" i="10" a="1"/>
  <c r="BC47" i="10" s="1"/>
  <c r="BF47" i="10" a="1"/>
  <c r="BF47" i="10" s="1"/>
  <c r="BG47" i="10" a="1"/>
  <c r="BG47" i="10" s="1"/>
  <c r="BD47" i="10" a="1"/>
  <c r="BD47" i="10" s="1"/>
  <c r="BI47" i="10" a="1"/>
  <c r="BI47" i="10" s="1"/>
  <c r="BH47" i="10" a="1"/>
  <c r="BH47" i="10" s="1"/>
  <c r="BK181" i="8"/>
  <c r="BK180" i="8"/>
  <c r="BK179" i="8"/>
  <c r="BL57" i="8"/>
  <c r="AL8" i="10" a="1"/>
  <c r="AL8" i="10" s="1"/>
  <c r="AE8" i="10" a="1"/>
  <c r="AE8" i="10" s="1"/>
  <c r="AM8" i="10" a="1"/>
  <c r="AM8" i="10" s="1"/>
  <c r="AA8" i="10" a="1"/>
  <c r="AA8" i="10" s="1"/>
  <c r="V8" i="10" a="1"/>
  <c r="V8" i="10" s="1"/>
  <c r="T8" i="10" a="1"/>
  <c r="T8" i="10" s="1"/>
  <c r="AJ8" i="10" a="1"/>
  <c r="AJ8" i="10" s="1"/>
  <c r="N8" i="10" a="1"/>
  <c r="N8" i="10" s="1"/>
  <c r="U8" i="10" a="1"/>
  <c r="U8" i="10" s="1"/>
  <c r="G8" i="10" a="1"/>
  <c r="G8" i="10" s="1"/>
  <c r="AH8" i="10" a="1"/>
  <c r="AH8" i="10" s="1"/>
  <c r="P8" i="10" a="1"/>
  <c r="P8" i="10" s="1"/>
  <c r="D8" i="10" a="1"/>
  <c r="D8" i="10" s="1"/>
  <c r="AK8" i="10" a="1"/>
  <c r="AK8" i="10" s="1"/>
  <c r="Z8" i="10" a="1"/>
  <c r="Z8" i="10" s="1"/>
  <c r="E8" i="10" a="1"/>
  <c r="E8" i="10" s="1"/>
  <c r="AB8" i="10" a="1"/>
  <c r="AB8" i="10" s="1"/>
  <c r="B8" i="10" a="1"/>
  <c r="B8" i="10" s="1"/>
  <c r="Q8" i="10" a="1"/>
  <c r="Q8" i="10" s="1"/>
  <c r="J8" i="10" a="1"/>
  <c r="J8" i="10" s="1"/>
  <c r="AF8" i="10" a="1"/>
  <c r="AF8" i="10" s="1"/>
  <c r="S8" i="10" a="1"/>
  <c r="S8" i="10" s="1"/>
  <c r="AO8" i="10" a="1"/>
  <c r="AO8" i="10" s="1"/>
  <c r="X8" i="10" a="1"/>
  <c r="X8" i="10" s="1"/>
  <c r="W8" i="10" a="1"/>
  <c r="W8" i="10" s="1"/>
  <c r="O8" i="10" a="1"/>
  <c r="O8" i="10" s="1"/>
  <c r="K8" i="10" a="1"/>
  <c r="K8" i="10" s="1"/>
  <c r="Y8" i="10" a="1"/>
  <c r="Y8" i="10" s="1"/>
  <c r="AD8" i="10" a="1"/>
  <c r="AD8" i="10" s="1"/>
  <c r="AC8" i="10" a="1"/>
  <c r="AC8" i="10" s="1"/>
  <c r="M8" i="10" a="1"/>
  <c r="M8" i="10" s="1"/>
  <c r="AN8" i="10" a="1"/>
  <c r="AN8" i="10" s="1"/>
  <c r="F8" i="10" a="1"/>
  <c r="F8" i="10" s="1"/>
  <c r="C8" i="10" a="1"/>
  <c r="C8" i="10" s="1"/>
  <c r="H8" i="10" a="1"/>
  <c r="H8" i="10" s="1"/>
  <c r="AG8" i="10" a="1"/>
  <c r="AG8" i="10" s="1"/>
  <c r="I8" i="10" a="1"/>
  <c r="I8" i="10" s="1"/>
  <c r="R8" i="10" a="1"/>
  <c r="R8" i="10" s="1"/>
  <c r="AP8" i="10" a="1"/>
  <c r="AP8" i="10" s="1"/>
  <c r="AQ8" i="10" a="1"/>
  <c r="AQ8" i="10" s="1"/>
  <c r="AS8" i="10" a="1"/>
  <c r="AS8" i="10" s="1"/>
  <c r="AI8" i="10" a="1"/>
  <c r="AI8" i="10" s="1"/>
  <c r="L8" i="10" a="1"/>
  <c r="L8" i="10" s="1"/>
  <c r="AR8" i="10" a="1"/>
  <c r="AR8" i="10" s="1"/>
  <c r="AV8" i="10" a="1"/>
  <c r="AV8" i="10" s="1"/>
  <c r="AT8" i="10" a="1"/>
  <c r="AT8" i="10" s="1"/>
  <c r="AU8" i="10" a="1"/>
  <c r="AU8" i="10" s="1"/>
  <c r="AW8" i="10" a="1"/>
  <c r="AW8" i="10" s="1"/>
  <c r="AX8" i="10" a="1"/>
  <c r="AX8" i="10" s="1"/>
  <c r="AY8" i="10" a="1"/>
  <c r="AY8" i="10" s="1"/>
  <c r="BC8" i="10" a="1"/>
  <c r="BC8" i="10" s="1"/>
  <c r="AZ8" i="10" a="1"/>
  <c r="AZ8" i="10" s="1"/>
  <c r="BA8" i="10" a="1"/>
  <c r="BA8" i="10" s="1"/>
  <c r="BB8" i="10" a="1"/>
  <c r="BB8" i="10" s="1"/>
  <c r="BG8" i="10" a="1"/>
  <c r="BG8" i="10" s="1"/>
  <c r="BD8" i="10" a="1"/>
  <c r="BD8" i="10" s="1"/>
  <c r="BF8" i="10" a="1"/>
  <c r="BF8" i="10" s="1"/>
  <c r="BE8" i="10" a="1"/>
  <c r="BE8" i="10" s="1"/>
  <c r="BH8" i="10" a="1"/>
  <c r="BH8" i="10" s="1"/>
  <c r="BI8" i="10" a="1"/>
  <c r="BI8" i="10" s="1"/>
  <c r="H38" i="10" a="1"/>
  <c r="H38" i="10" s="1"/>
  <c r="AJ38" i="10" a="1"/>
  <c r="AJ38" i="10" s="1"/>
  <c r="AK38" i="10" a="1"/>
  <c r="AK38" i="10" s="1"/>
  <c r="F38" i="10" a="1"/>
  <c r="F38" i="10" s="1"/>
  <c r="I38" i="10" a="1"/>
  <c r="I38" i="10" s="1"/>
  <c r="AL38" i="10" a="1"/>
  <c r="AL38" i="10" s="1"/>
  <c r="W38" i="10" a="1"/>
  <c r="W38" i="10" s="1"/>
  <c r="AE38" i="10" a="1"/>
  <c r="AE38" i="10" s="1"/>
  <c r="AM38" i="10" a="1"/>
  <c r="AM38" i="10" s="1"/>
  <c r="R38" i="10" a="1"/>
  <c r="R38" i="10" s="1"/>
  <c r="AD38" i="10" a="1"/>
  <c r="AD38" i="10" s="1"/>
  <c r="E38" i="10" a="1"/>
  <c r="E38" i="10" s="1"/>
  <c r="Q38" i="10" a="1"/>
  <c r="Q38" i="10" s="1"/>
  <c r="M38" i="10" a="1"/>
  <c r="M38" i="10" s="1"/>
  <c r="T38" i="10" a="1"/>
  <c r="T38" i="10" s="1"/>
  <c r="AF38" i="10" a="1"/>
  <c r="AF38" i="10" s="1"/>
  <c r="Y38" i="10" a="1"/>
  <c r="Y38" i="10" s="1"/>
  <c r="AA38" i="10" a="1"/>
  <c r="AA38" i="10" s="1"/>
  <c r="AG38" i="10" a="1"/>
  <c r="AG38" i="10" s="1"/>
  <c r="U38" i="10" a="1"/>
  <c r="U38" i="10" s="1"/>
  <c r="AH38" i="10" a="1"/>
  <c r="AH38" i="10" s="1"/>
  <c r="Z38" i="10" a="1"/>
  <c r="Z38" i="10" s="1"/>
  <c r="S38" i="10" a="1"/>
  <c r="S38" i="10" s="1"/>
  <c r="O38" i="10" a="1"/>
  <c r="O38" i="10" s="1"/>
  <c r="X38" i="10" a="1"/>
  <c r="X38" i="10" s="1"/>
  <c r="P38" i="10" a="1"/>
  <c r="P38" i="10" s="1"/>
  <c r="C38" i="10" a="1"/>
  <c r="C38" i="10" s="1"/>
  <c r="K38" i="10" a="1"/>
  <c r="K38" i="10" s="1"/>
  <c r="V38" i="10" a="1"/>
  <c r="V38" i="10" s="1"/>
  <c r="L38" i="10" a="1"/>
  <c r="L38" i="10" s="1"/>
  <c r="B38" i="10" a="1"/>
  <c r="B38" i="10" s="1"/>
  <c r="N38" i="10" a="1"/>
  <c r="N38" i="10" s="1"/>
  <c r="G38" i="10" a="1"/>
  <c r="G38" i="10" s="1"/>
  <c r="AN38" i="10" a="1"/>
  <c r="AN38" i="10" s="1"/>
  <c r="J38" i="10" a="1"/>
  <c r="J38" i="10" s="1"/>
  <c r="AI38" i="10" a="1"/>
  <c r="AI38" i="10" s="1"/>
  <c r="AB38" i="10" a="1"/>
  <c r="AB38" i="10" s="1"/>
  <c r="D38" i="10" a="1"/>
  <c r="D38" i="10" s="1"/>
  <c r="AC38" i="10" a="1"/>
  <c r="AC38" i="10" s="1"/>
  <c r="AO38" i="10" a="1"/>
  <c r="AO38" i="10" s="1"/>
  <c r="AP38" i="10" a="1"/>
  <c r="AP38" i="10" s="1"/>
  <c r="AQ38" i="10" a="1"/>
  <c r="AQ38" i="10" s="1"/>
  <c r="AR38" i="10" a="1"/>
  <c r="AR38" i="10" s="1"/>
  <c r="AS38" i="10" a="1"/>
  <c r="AS38" i="10" s="1"/>
  <c r="AT38" i="10" a="1"/>
  <c r="AT38" i="10" s="1"/>
  <c r="AV38" i="10" a="1"/>
  <c r="AV38" i="10" s="1"/>
  <c r="AU38" i="10" a="1"/>
  <c r="AU38" i="10" s="1"/>
  <c r="AX38" i="10" a="1"/>
  <c r="AX38" i="10" s="1"/>
  <c r="AW38" i="10" a="1"/>
  <c r="AW38" i="10" s="1"/>
  <c r="AY38" i="10" a="1"/>
  <c r="AY38" i="10" s="1"/>
  <c r="AZ38" i="10" a="1"/>
  <c r="AZ38" i="10" s="1"/>
  <c r="BA38" i="10" a="1"/>
  <c r="BA38" i="10" s="1"/>
  <c r="BB38" i="10" a="1"/>
  <c r="BB38" i="10" s="1"/>
  <c r="BC38" i="10" a="1"/>
  <c r="BC38" i="10" s="1"/>
  <c r="BE38" i="10" a="1"/>
  <c r="BE38" i="10" s="1"/>
  <c r="BD38" i="10" a="1"/>
  <c r="BD38" i="10" s="1"/>
  <c r="BG38" i="10" a="1"/>
  <c r="BG38" i="10" s="1"/>
  <c r="BF38" i="10" a="1"/>
  <c r="BF38" i="10" s="1"/>
  <c r="BI38" i="10" a="1"/>
  <c r="BI38" i="10" s="1"/>
  <c r="BH38" i="10" a="1"/>
  <c r="BH38" i="10" s="1"/>
  <c r="AK37" i="10" a="1"/>
  <c r="AK37" i="10" s="1"/>
  <c r="G37" i="10" a="1"/>
  <c r="G37" i="10" s="1"/>
  <c r="AD37" i="10" a="1"/>
  <c r="AD37" i="10" s="1"/>
  <c r="AL37" i="10" a="1"/>
  <c r="AL37" i="10" s="1"/>
  <c r="D37" i="10" a="1"/>
  <c r="D37" i="10" s="1"/>
  <c r="AI37" i="10" a="1"/>
  <c r="AI37" i="10" s="1"/>
  <c r="B37" i="10" a="1"/>
  <c r="B37" i="10" s="1"/>
  <c r="Y37" i="10" a="1"/>
  <c r="Y37" i="10" s="1"/>
  <c r="AH37" i="10" a="1"/>
  <c r="AH37" i="10" s="1"/>
  <c r="L37" i="10" a="1"/>
  <c r="L37" i="10" s="1"/>
  <c r="AM37" i="10" a="1"/>
  <c r="AM37" i="10" s="1"/>
  <c r="H37" i="10" a="1"/>
  <c r="H37" i="10" s="1"/>
  <c r="C37" i="10" a="1"/>
  <c r="C37" i="10" s="1"/>
  <c r="R37" i="10" a="1"/>
  <c r="R37" i="10" s="1"/>
  <c r="P37" i="10" a="1"/>
  <c r="P37" i="10" s="1"/>
  <c r="AC37" i="10" a="1"/>
  <c r="AC37" i="10" s="1"/>
  <c r="AB37" i="10" a="1"/>
  <c r="AB37" i="10" s="1"/>
  <c r="E37" i="10" a="1"/>
  <c r="E37" i="10" s="1"/>
  <c r="I37" i="10" a="1"/>
  <c r="I37" i="10" s="1"/>
  <c r="AG37" i="10" a="1"/>
  <c r="AG37" i="10" s="1"/>
  <c r="U37" i="10" a="1"/>
  <c r="U37" i="10" s="1"/>
  <c r="T37" i="10" a="1"/>
  <c r="T37" i="10" s="1"/>
  <c r="W37" i="10" a="1"/>
  <c r="W37" i="10" s="1"/>
  <c r="AJ37" i="10" a="1"/>
  <c r="AJ37" i="10" s="1"/>
  <c r="AN37" i="10" a="1"/>
  <c r="AN37" i="10" s="1"/>
  <c r="Z37" i="10" a="1"/>
  <c r="Z37" i="10" s="1"/>
  <c r="AF37" i="10" a="1"/>
  <c r="AF37" i="10" s="1"/>
  <c r="AA37" i="10" a="1"/>
  <c r="AA37" i="10" s="1"/>
  <c r="M37" i="10" a="1"/>
  <c r="M37" i="10" s="1"/>
  <c r="N37" i="10" a="1"/>
  <c r="N37" i="10" s="1"/>
  <c r="S37" i="10" a="1"/>
  <c r="S37" i="10" s="1"/>
  <c r="AQ37" i="10" a="1"/>
  <c r="AQ37" i="10" s="1"/>
  <c r="K37" i="10" a="1"/>
  <c r="K37" i="10" s="1"/>
  <c r="O37" i="10" a="1"/>
  <c r="O37" i="10" s="1"/>
  <c r="AE37" i="10" a="1"/>
  <c r="AE37" i="10" s="1"/>
  <c r="AO37" i="10" a="1"/>
  <c r="AO37" i="10" s="1"/>
  <c r="F37" i="10" a="1"/>
  <c r="F37" i="10" s="1"/>
  <c r="X37" i="10" a="1"/>
  <c r="X37" i="10" s="1"/>
  <c r="Q37" i="10" a="1"/>
  <c r="Q37" i="10" s="1"/>
  <c r="J37" i="10" a="1"/>
  <c r="J37" i="10" s="1"/>
  <c r="AP37" i="10" a="1"/>
  <c r="AP37" i="10" s="1"/>
  <c r="V37" i="10" a="1"/>
  <c r="V37" i="10" s="1"/>
  <c r="AR37" i="10" a="1"/>
  <c r="AR37" i="10" s="1"/>
  <c r="AS37" i="10" a="1"/>
  <c r="AS37" i="10" s="1"/>
  <c r="AT37" i="10" a="1"/>
  <c r="AT37" i="10" s="1"/>
  <c r="AW37" i="10" a="1"/>
  <c r="AW37" i="10" s="1"/>
  <c r="AV37" i="10" a="1"/>
  <c r="AV37" i="10" s="1"/>
  <c r="AU37" i="10" a="1"/>
  <c r="AU37" i="10" s="1"/>
  <c r="AX37" i="10" a="1"/>
  <c r="AX37" i="10" s="1"/>
  <c r="AY37" i="10" a="1"/>
  <c r="AY37" i="10" s="1"/>
  <c r="BA37" i="10" a="1"/>
  <c r="BA37" i="10" s="1"/>
  <c r="AZ37" i="10" a="1"/>
  <c r="AZ37" i="10" s="1"/>
  <c r="BB37" i="10" a="1"/>
  <c r="BB37" i="10" s="1"/>
  <c r="BC37" i="10" a="1"/>
  <c r="BC37" i="10" s="1"/>
  <c r="BD37" i="10" a="1"/>
  <c r="BD37" i="10" s="1"/>
  <c r="BE37" i="10" a="1"/>
  <c r="BE37" i="10" s="1"/>
  <c r="BG37" i="10" a="1"/>
  <c r="BG37" i="10" s="1"/>
  <c r="BI37" i="10" a="1"/>
  <c r="BI37" i="10" s="1"/>
  <c r="BH37" i="10" a="1"/>
  <c r="BH37" i="10" s="1"/>
  <c r="BF37" i="10" a="1"/>
  <c r="BF37" i="10" s="1"/>
  <c r="J41" i="10" a="1"/>
  <c r="J41" i="10" s="1"/>
  <c r="E41" i="10" a="1"/>
  <c r="E41" i="10" s="1"/>
  <c r="AB41" i="10" a="1"/>
  <c r="AB41" i="10" s="1"/>
  <c r="V41" i="10" a="1"/>
  <c r="V41" i="10" s="1"/>
  <c r="T41" i="10" a="1"/>
  <c r="T41" i="10" s="1"/>
  <c r="AI41" i="10" a="1"/>
  <c r="AI41" i="10" s="1"/>
  <c r="AA41" i="10" a="1"/>
  <c r="AA41" i="10" s="1"/>
  <c r="Z41" i="10" a="1"/>
  <c r="Z41" i="10" s="1"/>
  <c r="K41" i="10" a="1"/>
  <c r="K41" i="10" s="1"/>
  <c r="AJ41" i="10" a="1"/>
  <c r="AJ41" i="10" s="1"/>
  <c r="AD41" i="10" a="1"/>
  <c r="AD41" i="10" s="1"/>
  <c r="R41" i="10" a="1"/>
  <c r="R41" i="10" s="1"/>
  <c r="AM41" i="10" a="1"/>
  <c r="AM41" i="10" s="1"/>
  <c r="Q41" i="10" a="1"/>
  <c r="Q41" i="10" s="1"/>
  <c r="G41" i="10" a="1"/>
  <c r="G41" i="10" s="1"/>
  <c r="S41" i="10" a="1"/>
  <c r="S41" i="10" s="1"/>
  <c r="F41" i="10" a="1"/>
  <c r="F41" i="10" s="1"/>
  <c r="O41" i="10" a="1"/>
  <c r="O41" i="10" s="1"/>
  <c r="L41" i="10" a="1"/>
  <c r="L41" i="10" s="1"/>
  <c r="AF41" i="10" a="1"/>
  <c r="AF41" i="10" s="1"/>
  <c r="C41" i="10" a="1"/>
  <c r="C41" i="10" s="1"/>
  <c r="H41" i="10" a="1"/>
  <c r="H41" i="10" s="1"/>
  <c r="I41" i="10" a="1"/>
  <c r="I41" i="10" s="1"/>
  <c r="AG41" i="10" a="1"/>
  <c r="AG41" i="10" s="1"/>
  <c r="D41" i="10" a="1"/>
  <c r="D41" i="10" s="1"/>
  <c r="P41" i="10" a="1"/>
  <c r="P41" i="10" s="1"/>
  <c r="B41" i="10" a="1"/>
  <c r="B41" i="10" s="1"/>
  <c r="AH41" i="10" a="1"/>
  <c r="AH41" i="10" s="1"/>
  <c r="AC41" i="10" a="1"/>
  <c r="AC41" i="10" s="1"/>
  <c r="M41" i="10" a="1"/>
  <c r="M41" i="10" s="1"/>
  <c r="AK41" i="10" a="1"/>
  <c r="AK41" i="10" s="1"/>
  <c r="U41" i="10" a="1"/>
  <c r="U41" i="10" s="1"/>
  <c r="W41" i="10" a="1"/>
  <c r="W41" i="10" s="1"/>
  <c r="AN41" i="10" a="1"/>
  <c r="AN41" i="10" s="1"/>
  <c r="Y41" i="10" a="1"/>
  <c r="Y41" i="10" s="1"/>
  <c r="AL41" i="10" a="1"/>
  <c r="AL41" i="10" s="1"/>
  <c r="AR41" i="10" a="1"/>
  <c r="AR41" i="10" s="1"/>
  <c r="X41" i="10" a="1"/>
  <c r="X41" i="10" s="1"/>
  <c r="N41" i="10" a="1"/>
  <c r="N41" i="10" s="1"/>
  <c r="AE41" i="10" a="1"/>
  <c r="AE41" i="10" s="1"/>
  <c r="AQ41" i="10" a="1"/>
  <c r="AQ41" i="10" s="1"/>
  <c r="AS41" i="10" a="1"/>
  <c r="AS41" i="10" s="1"/>
  <c r="AP41" i="10" a="1"/>
  <c r="AP41" i="10" s="1"/>
  <c r="AO41" i="10" a="1"/>
  <c r="AO41" i="10" s="1"/>
  <c r="AU41" i="10" a="1"/>
  <c r="AU41" i="10" s="1"/>
  <c r="AT41" i="10" a="1"/>
  <c r="AT41" i="10" s="1"/>
  <c r="AV41" i="10" a="1"/>
  <c r="AV41" i="10" s="1"/>
  <c r="AY41" i="10" a="1"/>
  <c r="AY41" i="10" s="1"/>
  <c r="AW41" i="10" a="1"/>
  <c r="AW41" i="10" s="1"/>
  <c r="AX41" i="10" a="1"/>
  <c r="AX41" i="10" s="1"/>
  <c r="BB41" i="10" a="1"/>
  <c r="BB41" i="10" s="1"/>
  <c r="AZ41" i="10" a="1"/>
  <c r="AZ41" i="10" s="1"/>
  <c r="BA41" i="10" a="1"/>
  <c r="BA41" i="10" s="1"/>
  <c r="BE41" i="10" a="1"/>
  <c r="BE41" i="10" s="1"/>
  <c r="BC41" i="10" a="1"/>
  <c r="BC41" i="10" s="1"/>
  <c r="BD41" i="10" a="1"/>
  <c r="BD41" i="10" s="1"/>
  <c r="BG41" i="10" a="1"/>
  <c r="BG41" i="10" s="1"/>
  <c r="BF41" i="10" a="1"/>
  <c r="BF41" i="10" s="1"/>
  <c r="BI41" i="10" a="1"/>
  <c r="BI41" i="10" s="1"/>
  <c r="BH41" i="10" a="1"/>
  <c r="BH41" i="10" s="1"/>
  <c r="BL55" i="8"/>
  <c r="BL70" i="8"/>
  <c r="AM12" i="10" a="1"/>
  <c r="AM12" i="10" s="1"/>
  <c r="AL12" i="10" a="1"/>
  <c r="AL12" i="10" s="1"/>
  <c r="T12" i="10" a="1"/>
  <c r="T12" i="10" s="1"/>
  <c r="AH12" i="10" a="1"/>
  <c r="AH12" i="10" s="1"/>
  <c r="Q12" i="10" a="1"/>
  <c r="Q12" i="10" s="1"/>
  <c r="K12" i="10" a="1"/>
  <c r="K12" i="10" s="1"/>
  <c r="X12" i="10" a="1"/>
  <c r="X12" i="10" s="1"/>
  <c r="D12" i="10" a="1"/>
  <c r="D12" i="10" s="1"/>
  <c r="AJ12" i="10" a="1"/>
  <c r="AJ12" i="10" s="1"/>
  <c r="AK12" i="10" a="1"/>
  <c r="AK12" i="10" s="1"/>
  <c r="AG12" i="10" a="1"/>
  <c r="AG12" i="10" s="1"/>
  <c r="V12" i="10" a="1"/>
  <c r="V12" i="10" s="1"/>
  <c r="E12" i="10" a="1"/>
  <c r="E12" i="10" s="1"/>
  <c r="AB12" i="10" a="1"/>
  <c r="AB12" i="10" s="1"/>
  <c r="AD12" i="10" a="1"/>
  <c r="AD12" i="10" s="1"/>
  <c r="O12" i="10" a="1"/>
  <c r="O12" i="10" s="1"/>
  <c r="AN12" i="10" a="1"/>
  <c r="AN12" i="10" s="1"/>
  <c r="J12" i="10" a="1"/>
  <c r="J12" i="10" s="1"/>
  <c r="AI12" i="10" a="1"/>
  <c r="AI12" i="10" s="1"/>
  <c r="W12" i="10" a="1"/>
  <c r="W12" i="10" s="1"/>
  <c r="N12" i="10" a="1"/>
  <c r="N12" i="10" s="1"/>
  <c r="AA12" i="10" a="1"/>
  <c r="AA12" i="10" s="1"/>
  <c r="P12" i="10" a="1"/>
  <c r="P12" i="10" s="1"/>
  <c r="G12" i="10" a="1"/>
  <c r="G12" i="10" s="1"/>
  <c r="U12" i="10" a="1"/>
  <c r="U12" i="10" s="1"/>
  <c r="L12" i="10" a="1"/>
  <c r="L12" i="10" s="1"/>
  <c r="F12" i="10" a="1"/>
  <c r="F12" i="10" s="1"/>
  <c r="AE12" i="10" a="1"/>
  <c r="AE12" i="10" s="1"/>
  <c r="M12" i="10" a="1"/>
  <c r="M12" i="10" s="1"/>
  <c r="R12" i="10" a="1"/>
  <c r="R12" i="10" s="1"/>
  <c r="S12" i="10" a="1"/>
  <c r="S12" i="10" s="1"/>
  <c r="AF12" i="10" a="1"/>
  <c r="AF12" i="10" s="1"/>
  <c r="I12" i="10" a="1"/>
  <c r="I12" i="10" s="1"/>
  <c r="B12" i="10" a="1"/>
  <c r="B12" i="10" s="1"/>
  <c r="Y12" i="10" a="1"/>
  <c r="Y12" i="10" s="1"/>
  <c r="C12" i="10" a="1"/>
  <c r="C12" i="10" s="1"/>
  <c r="H12" i="10" a="1"/>
  <c r="H12" i="10" s="1"/>
  <c r="AO12" i="10" a="1"/>
  <c r="AO12" i="10" s="1"/>
  <c r="Z12" i="10" a="1"/>
  <c r="Z12" i="10" s="1"/>
  <c r="AC12" i="10" a="1"/>
  <c r="AC12" i="10" s="1"/>
  <c r="AQ12" i="10" a="1"/>
  <c r="AQ12" i="10" s="1"/>
  <c r="AP12" i="10" a="1"/>
  <c r="AP12" i="10" s="1"/>
  <c r="AR12" i="10" a="1"/>
  <c r="AR12" i="10" s="1"/>
  <c r="AV12" i="10" a="1"/>
  <c r="AV12" i="10" s="1"/>
  <c r="AT12" i="10" a="1"/>
  <c r="AT12" i="10" s="1"/>
  <c r="AS12" i="10" a="1"/>
  <c r="AS12" i="10" s="1"/>
  <c r="AU12" i="10" a="1"/>
  <c r="AU12" i="10" s="1"/>
  <c r="AW12" i="10" a="1"/>
  <c r="AW12" i="10" s="1"/>
  <c r="AX12" i="10" a="1"/>
  <c r="AX12" i="10" s="1"/>
  <c r="AY12" i="10" a="1"/>
  <c r="AY12" i="10" s="1"/>
  <c r="BA12" i="10" a="1"/>
  <c r="BA12" i="10" s="1"/>
  <c r="BC12" i="10" a="1"/>
  <c r="BC12" i="10" s="1"/>
  <c r="AZ12" i="10" a="1"/>
  <c r="AZ12" i="10" s="1"/>
  <c r="BB12" i="10" a="1"/>
  <c r="BB12" i="10" s="1"/>
  <c r="BD12" i="10" a="1"/>
  <c r="BD12" i="10" s="1"/>
  <c r="BE12" i="10" a="1"/>
  <c r="BE12" i="10" s="1"/>
  <c r="BF12" i="10" a="1"/>
  <c r="BF12" i="10" s="1"/>
  <c r="BI12" i="10" a="1"/>
  <c r="BI12" i="10" s="1"/>
  <c r="BG12" i="10" a="1"/>
  <c r="BG12" i="10" s="1"/>
  <c r="BH12" i="10" a="1"/>
  <c r="BH12" i="10" s="1"/>
  <c r="BL43" i="8" a="1"/>
  <c r="BL43" i="8" s="1"/>
  <c r="AM43" i="10" a="1"/>
  <c r="AM43" i="10" s="1"/>
  <c r="T43" i="10" a="1"/>
  <c r="T43" i="10" s="1"/>
  <c r="AR43" i="10" a="1"/>
  <c r="AR43" i="10" s="1"/>
  <c r="AP43" i="10" a="1"/>
  <c r="AP43" i="10" s="1"/>
  <c r="S43" i="10" a="1"/>
  <c r="S43" i="10" s="1"/>
  <c r="D43" i="10" a="1"/>
  <c r="D43" i="10" s="1"/>
  <c r="Y43" i="10" a="1"/>
  <c r="Y43" i="10" s="1"/>
  <c r="AC43" i="10" a="1"/>
  <c r="AC43" i="10" s="1"/>
  <c r="AJ43" i="10" a="1"/>
  <c r="AJ43" i="10" s="1"/>
  <c r="B43" i="10" a="1"/>
  <c r="B43" i="10" s="1"/>
  <c r="AG43" i="10" a="1"/>
  <c r="AG43" i="10" s="1"/>
  <c r="Z43" i="10" a="1"/>
  <c r="Z43" i="10" s="1"/>
  <c r="C43" i="10" a="1"/>
  <c r="C43" i="10" s="1"/>
  <c r="AD43" i="10" a="1"/>
  <c r="AD43" i="10" s="1"/>
  <c r="AN43" i="10" a="1"/>
  <c r="AN43" i="10" s="1"/>
  <c r="AB43" i="10" a="1"/>
  <c r="AB43" i="10" s="1"/>
  <c r="K43" i="10" a="1"/>
  <c r="K43" i="10" s="1"/>
  <c r="J43" i="10" a="1"/>
  <c r="J43" i="10" s="1"/>
  <c r="U43" i="10" a="1"/>
  <c r="U43" i="10" s="1"/>
  <c r="AI43" i="10" a="1"/>
  <c r="AI43" i="10" s="1"/>
  <c r="AF43" i="10" a="1"/>
  <c r="AF43" i="10" s="1"/>
  <c r="H43" i="10" a="1"/>
  <c r="H43" i="10" s="1"/>
  <c r="R43" i="10" a="1"/>
  <c r="R43" i="10" s="1"/>
  <c r="AK43" i="10" a="1"/>
  <c r="AK43" i="10" s="1"/>
  <c r="Q43" i="10" a="1"/>
  <c r="Q43" i="10" s="1"/>
  <c r="G43" i="10" a="1"/>
  <c r="G43" i="10" s="1"/>
  <c r="V43" i="10" a="1"/>
  <c r="V43" i="10" s="1"/>
  <c r="O43" i="10" a="1"/>
  <c r="O43" i="10" s="1"/>
  <c r="P43" i="10" a="1"/>
  <c r="P43" i="10" s="1"/>
  <c r="I43" i="10" a="1"/>
  <c r="I43" i="10" s="1"/>
  <c r="AE43" i="10" a="1"/>
  <c r="AE43" i="10" s="1"/>
  <c r="E43" i="10" a="1"/>
  <c r="E43" i="10" s="1"/>
  <c r="M43" i="10" a="1"/>
  <c r="M43" i="10" s="1"/>
  <c r="AH43" i="10" a="1"/>
  <c r="AH43" i="10" s="1"/>
  <c r="AL43" i="10" a="1"/>
  <c r="AL43" i="10" s="1"/>
  <c r="AA43" i="10" a="1"/>
  <c r="AA43" i="10" s="1"/>
  <c r="L43" i="10" a="1"/>
  <c r="L43" i="10" s="1"/>
  <c r="X43" i="10" a="1"/>
  <c r="X43" i="10" s="1"/>
  <c r="AO43" i="10" a="1"/>
  <c r="AO43" i="10" s="1"/>
  <c r="W43" i="10" a="1"/>
  <c r="W43" i="10" s="1"/>
  <c r="N43" i="10" a="1"/>
  <c r="N43" i="10" s="1"/>
  <c r="F43" i="10" a="1"/>
  <c r="F43" i="10" s="1"/>
  <c r="AV43" i="10" a="1"/>
  <c r="AV43" i="10" s="1"/>
  <c r="AS43" i="10" a="1"/>
  <c r="AS43" i="10" s="1"/>
  <c r="AQ43" i="10" a="1"/>
  <c r="AQ43" i="10" s="1"/>
  <c r="AT43" i="10" a="1"/>
  <c r="AT43" i="10" s="1"/>
  <c r="AX43" i="10" a="1"/>
  <c r="AX43" i="10" s="1"/>
  <c r="AU43" i="10" a="1"/>
  <c r="AU43" i="10" s="1"/>
  <c r="AW43" i="10" a="1"/>
  <c r="AW43" i="10" s="1"/>
  <c r="AY43" i="10" a="1"/>
  <c r="AY43" i="10" s="1"/>
  <c r="BA43" i="10" a="1"/>
  <c r="BA43" i="10" s="1"/>
  <c r="BB43" i="10" a="1"/>
  <c r="BB43" i="10" s="1"/>
  <c r="AZ43" i="10" a="1"/>
  <c r="AZ43" i="10" s="1"/>
  <c r="BC43" i="10" a="1"/>
  <c r="BC43" i="10" s="1"/>
  <c r="BD43" i="10" a="1"/>
  <c r="BD43" i="10" s="1"/>
  <c r="BF43" i="10" a="1"/>
  <c r="BF43" i="10" s="1"/>
  <c r="BE43" i="10" a="1"/>
  <c r="BE43" i="10" s="1"/>
  <c r="BH43" i="10" a="1"/>
  <c r="BH43" i="10" s="1"/>
  <c r="BI43" i="10" a="1"/>
  <c r="BI43" i="10" s="1"/>
  <c r="BG43" i="10" a="1"/>
  <c r="BG43" i="10" s="1"/>
  <c r="AL28" i="10" a="1"/>
  <c r="AL28" i="10" s="1"/>
  <c r="O28" i="10" a="1"/>
  <c r="O28" i="10" s="1"/>
  <c r="Z28" i="10" a="1"/>
  <c r="Z28" i="10" s="1"/>
  <c r="W28" i="10" a="1"/>
  <c r="W28" i="10" s="1"/>
  <c r="U28" i="10" a="1"/>
  <c r="U28" i="10" s="1"/>
  <c r="Q28" i="10" a="1"/>
  <c r="Q28" i="10" s="1"/>
  <c r="T28" i="10" a="1"/>
  <c r="T28" i="10" s="1"/>
  <c r="AM28" i="10" a="1"/>
  <c r="AM28" i="10" s="1"/>
  <c r="AB28" i="10" a="1"/>
  <c r="AB28" i="10" s="1"/>
  <c r="AJ28" i="10" a="1"/>
  <c r="AJ28" i="10" s="1"/>
  <c r="R28" i="10" a="1"/>
  <c r="R28" i="10" s="1"/>
  <c r="I28" i="10" a="1"/>
  <c r="I28" i="10" s="1"/>
  <c r="AE28" i="10" a="1"/>
  <c r="AE28" i="10" s="1"/>
  <c r="AK28" i="10" a="1"/>
  <c r="AK28" i="10" s="1"/>
  <c r="J28" i="10" a="1"/>
  <c r="J28" i="10" s="1"/>
  <c r="V28" i="10" a="1"/>
  <c r="V28" i="10" s="1"/>
  <c r="AN28" i="10" a="1"/>
  <c r="AN28" i="10" s="1"/>
  <c r="K28" i="10" a="1"/>
  <c r="K28" i="10" s="1"/>
  <c r="E28" i="10" a="1"/>
  <c r="E28" i="10" s="1"/>
  <c r="AI28" i="10" a="1"/>
  <c r="AI28" i="10" s="1"/>
  <c r="S28" i="10" a="1"/>
  <c r="S28" i="10" s="1"/>
  <c r="G28" i="10" a="1"/>
  <c r="G28" i="10" s="1"/>
  <c r="AF28" i="10" a="1"/>
  <c r="AF28" i="10" s="1"/>
  <c r="AG28" i="10" a="1"/>
  <c r="AG28" i="10" s="1"/>
  <c r="AA28" i="10" a="1"/>
  <c r="AA28" i="10" s="1"/>
  <c r="AD28" i="10" a="1"/>
  <c r="AD28" i="10" s="1"/>
  <c r="D28" i="10" a="1"/>
  <c r="D28" i="10" s="1"/>
  <c r="P28" i="10" a="1"/>
  <c r="P28" i="10" s="1"/>
  <c r="B28" i="10" a="1"/>
  <c r="B28" i="10" s="1"/>
  <c r="X28" i="10" a="1"/>
  <c r="X28" i="10" s="1"/>
  <c r="AH28" i="10" a="1"/>
  <c r="AH28" i="10" s="1"/>
  <c r="AC28" i="10" a="1"/>
  <c r="AC28" i="10" s="1"/>
  <c r="L28" i="10" a="1"/>
  <c r="L28" i="10" s="1"/>
  <c r="Y28" i="10" a="1"/>
  <c r="Y28" i="10" s="1"/>
  <c r="C28" i="10" a="1"/>
  <c r="C28" i="10" s="1"/>
  <c r="N28" i="10" a="1"/>
  <c r="N28" i="10" s="1"/>
  <c r="F28" i="10" a="1"/>
  <c r="F28" i="10" s="1"/>
  <c r="H28" i="10" a="1"/>
  <c r="H28" i="10" s="1"/>
  <c r="M28" i="10" a="1"/>
  <c r="M28" i="10" s="1"/>
  <c r="AO28" i="10" a="1"/>
  <c r="AO28" i="10" s="1"/>
  <c r="AP28" i="10" a="1"/>
  <c r="AP28" i="10" s="1"/>
  <c r="AQ28" i="10" a="1"/>
  <c r="AQ28" i="10" s="1"/>
  <c r="AR28" i="10" a="1"/>
  <c r="AR28" i="10" s="1"/>
  <c r="AS28" i="10" a="1"/>
  <c r="AS28" i="10" s="1"/>
  <c r="AV28" i="10" a="1"/>
  <c r="AV28" i="10" s="1"/>
  <c r="AT28" i="10" a="1"/>
  <c r="AT28" i="10" s="1"/>
  <c r="AU28" i="10" a="1"/>
  <c r="AU28" i="10" s="1"/>
  <c r="AW28" i="10" a="1"/>
  <c r="AW28" i="10" s="1"/>
  <c r="BA28" i="10" a="1"/>
  <c r="BA28" i="10" s="1"/>
  <c r="AX28" i="10" a="1"/>
  <c r="AX28" i="10" s="1"/>
  <c r="AY28" i="10" a="1"/>
  <c r="AY28" i="10" s="1"/>
  <c r="AZ28" i="10" a="1"/>
  <c r="AZ28" i="10" s="1"/>
  <c r="BB28" i="10" a="1"/>
  <c r="BB28" i="10" s="1"/>
  <c r="BG28" i="10" a="1"/>
  <c r="BG28" i="10" s="1"/>
  <c r="BC28" i="10" a="1"/>
  <c r="BC28" i="10" s="1"/>
  <c r="BD28" i="10" a="1"/>
  <c r="BD28" i="10" s="1"/>
  <c r="BE28" i="10" a="1"/>
  <c r="BE28" i="10" s="1"/>
  <c r="BF28" i="10" a="1"/>
  <c r="BF28" i="10" s="1"/>
  <c r="BI28" i="10" a="1"/>
  <c r="BI28" i="10" s="1"/>
  <c r="BH28" i="10" a="1"/>
  <c r="BH28" i="10" s="1"/>
  <c r="BL42" i="8"/>
  <c r="BL88" i="8" s="1"/>
  <c r="BL87" i="8" s="1"/>
  <c r="B35" i="10" a="1"/>
  <c r="B35" i="10" s="1"/>
  <c r="U35" i="10" a="1"/>
  <c r="U35" i="10" s="1"/>
  <c r="AE35" i="10" a="1"/>
  <c r="AE35" i="10" s="1"/>
  <c r="R35" i="10" a="1"/>
  <c r="R35" i="10" s="1"/>
  <c r="K35" i="10" a="1"/>
  <c r="K35" i="10" s="1"/>
  <c r="J35" i="10" a="1"/>
  <c r="J35" i="10" s="1"/>
  <c r="AC35" i="10" a="1"/>
  <c r="AC35" i="10" s="1"/>
  <c r="AA35" i="10" a="1"/>
  <c r="AA35" i="10" s="1"/>
  <c r="D35" i="10" a="1"/>
  <c r="D35" i="10" s="1"/>
  <c r="P35" i="10" a="1"/>
  <c r="P35" i="10" s="1"/>
  <c r="V35" i="10" a="1"/>
  <c r="V35" i="10" s="1"/>
  <c r="N35" i="10" a="1"/>
  <c r="N35" i="10" s="1"/>
  <c r="X35" i="10" a="1"/>
  <c r="X35" i="10" s="1"/>
  <c r="Z35" i="10" a="1"/>
  <c r="Z35" i="10" s="1"/>
  <c r="M35" i="10" a="1"/>
  <c r="M35" i="10" s="1"/>
  <c r="AL35" i="10" a="1"/>
  <c r="AL35" i="10" s="1"/>
  <c r="W35" i="10" a="1"/>
  <c r="W35" i="10" s="1"/>
  <c r="E35" i="10" a="1"/>
  <c r="E35" i="10" s="1"/>
  <c r="AB35" i="10" a="1"/>
  <c r="AB35" i="10" s="1"/>
  <c r="G35" i="10" a="1"/>
  <c r="G35" i="10" s="1"/>
  <c r="AF35" i="10" a="1"/>
  <c r="AF35" i="10" s="1"/>
  <c r="S35" i="10" a="1"/>
  <c r="S35" i="10" s="1"/>
  <c r="T35" i="10" a="1"/>
  <c r="T35" i="10" s="1"/>
  <c r="AD35" i="10" a="1"/>
  <c r="AD35" i="10" s="1"/>
  <c r="AJ35" i="10" a="1"/>
  <c r="AJ35" i="10" s="1"/>
  <c r="O35" i="10" a="1"/>
  <c r="O35" i="10" s="1"/>
  <c r="H35" i="10" a="1"/>
  <c r="H35" i="10" s="1"/>
  <c r="AM35" i="10" a="1"/>
  <c r="AM35" i="10" s="1"/>
  <c r="F35" i="10" a="1"/>
  <c r="F35" i="10" s="1"/>
  <c r="AK35" i="10" a="1"/>
  <c r="AK35" i="10" s="1"/>
  <c r="Y35" i="10" a="1"/>
  <c r="Y35" i="10" s="1"/>
  <c r="Q35" i="10" a="1"/>
  <c r="Q35" i="10" s="1"/>
  <c r="L35" i="10" a="1"/>
  <c r="L35" i="10" s="1"/>
  <c r="AH35" i="10" a="1"/>
  <c r="AH35" i="10" s="1"/>
  <c r="C35" i="10" a="1"/>
  <c r="C35" i="10" s="1"/>
  <c r="AG35" i="10" a="1"/>
  <c r="AG35" i="10" s="1"/>
  <c r="AI35" i="10" a="1"/>
  <c r="AI35" i="10" s="1"/>
  <c r="I35" i="10" a="1"/>
  <c r="I35" i="10" s="1"/>
  <c r="AN35" i="10" a="1"/>
  <c r="AN35" i="10" s="1"/>
  <c r="AS35" i="10" a="1"/>
  <c r="AS35" i="10" s="1"/>
  <c r="AO35" i="10" a="1"/>
  <c r="AO35" i="10" s="1"/>
  <c r="AR35" i="10" a="1"/>
  <c r="AR35" i="10" s="1"/>
  <c r="AQ35" i="10" a="1"/>
  <c r="AQ35" i="10" s="1"/>
  <c r="AP35" i="10" a="1"/>
  <c r="AP35" i="10" s="1"/>
  <c r="AW35" i="10" a="1"/>
  <c r="AW35" i="10" s="1"/>
  <c r="AT35" i="10" a="1"/>
  <c r="AT35" i="10" s="1"/>
  <c r="AV35" i="10" a="1"/>
  <c r="AV35" i="10" s="1"/>
  <c r="AU35" i="10" a="1"/>
  <c r="AU35" i="10" s="1"/>
  <c r="AX35" i="10" a="1"/>
  <c r="AX35" i="10" s="1"/>
  <c r="AY35" i="10" a="1"/>
  <c r="AY35" i="10" s="1"/>
  <c r="BB35" i="10" a="1"/>
  <c r="BB35" i="10" s="1"/>
  <c r="BA35" i="10" a="1"/>
  <c r="BA35" i="10" s="1"/>
  <c r="AZ35" i="10" a="1"/>
  <c r="AZ35" i="10" s="1"/>
  <c r="BD35" i="10" a="1"/>
  <c r="BD35" i="10" s="1"/>
  <c r="BC35" i="10" a="1"/>
  <c r="BC35" i="10" s="1"/>
  <c r="BE35" i="10" a="1"/>
  <c r="BE35" i="10" s="1"/>
  <c r="BF35" i="10" a="1"/>
  <c r="BF35" i="10" s="1"/>
  <c r="BG35" i="10" a="1"/>
  <c r="BG35" i="10" s="1"/>
  <c r="BH35" i="10" a="1"/>
  <c r="BH35" i="10" s="1"/>
  <c r="BI35" i="10" a="1"/>
  <c r="BI35" i="10" s="1"/>
  <c r="AL49" i="10" a="1"/>
  <c r="AL49" i="10" s="1"/>
  <c r="H49" i="10" a="1"/>
  <c r="H49" i="10" s="1"/>
  <c r="G49" i="10" a="1"/>
  <c r="G49" i="10" s="1"/>
  <c r="Q49" i="10" a="1"/>
  <c r="Q49" i="10" s="1"/>
  <c r="AC49" i="10" a="1"/>
  <c r="AC49" i="10" s="1"/>
  <c r="I49" i="10" a="1"/>
  <c r="I49" i="10" s="1"/>
  <c r="AM49" i="10" a="1"/>
  <c r="AM49" i="10" s="1"/>
  <c r="V49" i="10" a="1"/>
  <c r="V49" i="10" s="1"/>
  <c r="S49" i="10" a="1"/>
  <c r="S49" i="10" s="1"/>
  <c r="AI49" i="10" a="1"/>
  <c r="AI49" i="10" s="1"/>
  <c r="D49" i="10" a="1"/>
  <c r="D49" i="10" s="1"/>
  <c r="O49" i="10" a="1"/>
  <c r="O49" i="10" s="1"/>
  <c r="P49" i="10" a="1"/>
  <c r="P49" i="10" s="1"/>
  <c r="AP49" i="10" a="1"/>
  <c r="AP49" i="10" s="1"/>
  <c r="W49" i="10" a="1"/>
  <c r="W49" i="10" s="1"/>
  <c r="AF49" i="10" a="1"/>
  <c r="AF49" i="10" s="1"/>
  <c r="L49" i="10" a="1"/>
  <c r="L49" i="10" s="1"/>
  <c r="Z49" i="10" a="1"/>
  <c r="Z49" i="10" s="1"/>
  <c r="U49" i="10" a="1"/>
  <c r="U49" i="10" s="1"/>
  <c r="AH49" i="10" a="1"/>
  <c r="AH49" i="10" s="1"/>
  <c r="T49" i="10" a="1"/>
  <c r="T49" i="10" s="1"/>
  <c r="R49" i="10" a="1"/>
  <c r="R49" i="10" s="1"/>
  <c r="AK49" i="10" a="1"/>
  <c r="AK49" i="10" s="1"/>
  <c r="E49" i="10" a="1"/>
  <c r="E49" i="10" s="1"/>
  <c r="AA49" i="10" a="1"/>
  <c r="AA49" i="10" s="1"/>
  <c r="M49" i="10" a="1"/>
  <c r="M49" i="10" s="1"/>
  <c r="C49" i="10" a="1"/>
  <c r="C49" i="10" s="1"/>
  <c r="Y49" i="10" a="1"/>
  <c r="Y49" i="10" s="1"/>
  <c r="N49" i="10" a="1"/>
  <c r="N49" i="10" s="1"/>
  <c r="AO49" i="10" a="1"/>
  <c r="AO49" i="10" s="1"/>
  <c r="X49" i="10" a="1"/>
  <c r="X49" i="10" s="1"/>
  <c r="J49" i="10" a="1"/>
  <c r="J49" i="10" s="1"/>
  <c r="AE49" i="10" a="1"/>
  <c r="AE49" i="10" s="1"/>
  <c r="AG49" i="10" a="1"/>
  <c r="AG49" i="10" s="1"/>
  <c r="AJ49" i="10" a="1"/>
  <c r="AJ49" i="10" s="1"/>
  <c r="AR49" i="10" a="1"/>
  <c r="AR49" i="10" s="1"/>
  <c r="AB49" i="10" a="1"/>
  <c r="AB49" i="10" s="1"/>
  <c r="AD49" i="10" a="1"/>
  <c r="AD49" i="10" s="1"/>
  <c r="K49" i="10" a="1"/>
  <c r="K49" i="10" s="1"/>
  <c r="AN49" i="10" a="1"/>
  <c r="AN49" i="10" s="1"/>
  <c r="AQ49" i="10" a="1"/>
  <c r="AQ49" i="10" s="1"/>
  <c r="AT49" i="10" a="1"/>
  <c r="AT49" i="10" s="1"/>
  <c r="F49" i="10" a="1"/>
  <c r="F49" i="10" s="1"/>
  <c r="B49" i="10" a="1"/>
  <c r="B49" i="10" s="1"/>
  <c r="AS49" i="10" a="1"/>
  <c r="AS49" i="10" s="1"/>
  <c r="AU49" i="10" a="1"/>
  <c r="AU49" i="10" s="1"/>
  <c r="AW49" i="10" a="1"/>
  <c r="AW49" i="10" s="1"/>
  <c r="AV49" i="10" a="1"/>
  <c r="AV49" i="10" s="1"/>
  <c r="AX49" i="10" a="1"/>
  <c r="AX49" i="10" s="1"/>
  <c r="AY49" i="10" a="1"/>
  <c r="AY49" i="10" s="1"/>
  <c r="BA49" i="10" a="1"/>
  <c r="BA49" i="10" s="1"/>
  <c r="BB49" i="10" a="1"/>
  <c r="BB49" i="10" s="1"/>
  <c r="AZ49" i="10" a="1"/>
  <c r="AZ49" i="10" s="1"/>
  <c r="BD49" i="10" a="1"/>
  <c r="BD49" i="10" s="1"/>
  <c r="BC49" i="10" a="1"/>
  <c r="BC49" i="10" s="1"/>
  <c r="BE49" i="10" a="1"/>
  <c r="BE49" i="10" s="1"/>
  <c r="BF49" i="10" a="1"/>
  <c r="BF49" i="10" s="1"/>
  <c r="BH49" i="10" a="1"/>
  <c r="BH49" i="10" s="1"/>
  <c r="BI49" i="10" a="1"/>
  <c r="BI49" i="10" s="1"/>
  <c r="BG49" i="10" a="1"/>
  <c r="BG49" i="10" s="1"/>
  <c r="AM44" i="10" a="1"/>
  <c r="AM44" i="10" s="1"/>
  <c r="AL44" i="10" a="1"/>
  <c r="AL44" i="10" s="1"/>
  <c r="W44" i="10" a="1"/>
  <c r="W44" i="10" s="1"/>
  <c r="G44" i="10" a="1"/>
  <c r="G44" i="10" s="1"/>
  <c r="AQ44" i="10" a="1"/>
  <c r="AQ44" i="10" s="1"/>
  <c r="H44" i="10" a="1"/>
  <c r="H44" i="10" s="1"/>
  <c r="F44" i="10" a="1"/>
  <c r="F44" i="10" s="1"/>
  <c r="R44" i="10" a="1"/>
  <c r="R44" i="10" s="1"/>
  <c r="S44" i="10" a="1"/>
  <c r="S44" i="10" s="1"/>
  <c r="U44" i="10" a="1"/>
  <c r="U44" i="10" s="1"/>
  <c r="AG44" i="10" a="1"/>
  <c r="AG44" i="10" s="1"/>
  <c r="D44" i="10" a="1"/>
  <c r="D44" i="10" s="1"/>
  <c r="AN44" i="10" a="1"/>
  <c r="AN44" i="10" s="1"/>
  <c r="P44" i="10" a="1"/>
  <c r="P44" i="10" s="1"/>
  <c r="AI44" i="10" a="1"/>
  <c r="AI44" i="10" s="1"/>
  <c r="X44" i="10" a="1"/>
  <c r="X44" i="10" s="1"/>
  <c r="T44" i="10" a="1"/>
  <c r="T44" i="10" s="1"/>
  <c r="N44" i="10" a="1"/>
  <c r="N44" i="10" s="1"/>
  <c r="AA44" i="10" a="1"/>
  <c r="AA44" i="10" s="1"/>
  <c r="AD44" i="10" a="1"/>
  <c r="AD44" i="10" s="1"/>
  <c r="AJ44" i="10" a="1"/>
  <c r="AJ44" i="10" s="1"/>
  <c r="AE44" i="10" a="1"/>
  <c r="AE44" i="10" s="1"/>
  <c r="V44" i="10" a="1"/>
  <c r="V44" i="10" s="1"/>
  <c r="Z44" i="10" a="1"/>
  <c r="Z44" i="10" s="1"/>
  <c r="M44" i="10" a="1"/>
  <c r="M44" i="10" s="1"/>
  <c r="J44" i="10" a="1"/>
  <c r="J44" i="10" s="1"/>
  <c r="K44" i="10" a="1"/>
  <c r="K44" i="10" s="1"/>
  <c r="AK44" i="10" a="1"/>
  <c r="AK44" i="10" s="1"/>
  <c r="AC44" i="10" a="1"/>
  <c r="AC44" i="10" s="1"/>
  <c r="L44" i="10" a="1"/>
  <c r="L44" i="10" s="1"/>
  <c r="AO44" i="10" a="1"/>
  <c r="AO44" i="10" s="1"/>
  <c r="AF44" i="10" a="1"/>
  <c r="AF44" i="10" s="1"/>
  <c r="Q44" i="10" a="1"/>
  <c r="Q44" i="10" s="1"/>
  <c r="AB44" i="10" a="1"/>
  <c r="AB44" i="10" s="1"/>
  <c r="Y44" i="10" a="1"/>
  <c r="Y44" i="10" s="1"/>
  <c r="I44" i="10" a="1"/>
  <c r="I44" i="10" s="1"/>
  <c r="AR44" i="10" a="1"/>
  <c r="AR44" i="10" s="1"/>
  <c r="AH44" i="10" a="1"/>
  <c r="AH44" i="10" s="1"/>
  <c r="O44" i="10" a="1"/>
  <c r="O44" i="10" s="1"/>
  <c r="C44" i="10" a="1"/>
  <c r="C44" i="10" s="1"/>
  <c r="B44" i="10" a="1"/>
  <c r="B44" i="10" s="1"/>
  <c r="E44" i="10" a="1"/>
  <c r="E44" i="10" s="1"/>
  <c r="AP44" i="10" a="1"/>
  <c r="AP44" i="10" s="1"/>
  <c r="AS44" i="10" a="1"/>
  <c r="AS44" i="10" s="1"/>
  <c r="AT44" i="10" a="1"/>
  <c r="AT44" i="10" s="1"/>
  <c r="AU44" i="10" a="1"/>
  <c r="AU44" i="10" s="1"/>
  <c r="AV44" i="10" a="1"/>
  <c r="AV44" i="10" s="1"/>
  <c r="AX44" i="10" a="1"/>
  <c r="AX44" i="10" s="1"/>
  <c r="AW44" i="10" a="1"/>
  <c r="AW44" i="10" s="1"/>
  <c r="AY44" i="10" a="1"/>
  <c r="AY44" i="10" s="1"/>
  <c r="BA44" i="10" a="1"/>
  <c r="BA44" i="10" s="1"/>
  <c r="BB44" i="10" a="1"/>
  <c r="BB44" i="10" s="1"/>
  <c r="AZ44" i="10" a="1"/>
  <c r="AZ44" i="10" s="1"/>
  <c r="BD44" i="10" a="1"/>
  <c r="BD44" i="10" s="1"/>
  <c r="BE44" i="10" a="1"/>
  <c r="BE44" i="10" s="1"/>
  <c r="BF44" i="10" a="1"/>
  <c r="BF44" i="10" s="1"/>
  <c r="BC44" i="10" a="1"/>
  <c r="BC44" i="10" s="1"/>
  <c r="BI44" i="10" a="1"/>
  <c r="BI44" i="10" s="1"/>
  <c r="BG44" i="10" a="1"/>
  <c r="BG44" i="10" s="1"/>
  <c r="BH44" i="10" a="1"/>
  <c r="BH44" i="10" s="1"/>
  <c r="AO46" i="10" a="1"/>
  <c r="AO46" i="10" s="1"/>
  <c r="AM46" i="10" a="1"/>
  <c r="AM46" i="10" s="1"/>
  <c r="AH46" i="10" a="1"/>
  <c r="AH46" i="10" s="1"/>
  <c r="AD46" i="10" a="1"/>
  <c r="AD46" i="10" s="1"/>
  <c r="J46" i="10" a="1"/>
  <c r="J46" i="10" s="1"/>
  <c r="Z46" i="10" a="1"/>
  <c r="Z46" i="10" s="1"/>
  <c r="B46" i="10" a="1"/>
  <c r="B46" i="10" s="1"/>
  <c r="Q46" i="10" a="1"/>
  <c r="Q46" i="10" s="1"/>
  <c r="G46" i="10" a="1"/>
  <c r="G46" i="10" s="1"/>
  <c r="AQ46" i="10" a="1"/>
  <c r="AQ46" i="10" s="1"/>
  <c r="K46" i="10" a="1"/>
  <c r="K46" i="10" s="1"/>
  <c r="AS46" i="10" a="1"/>
  <c r="AS46" i="10" s="1"/>
  <c r="AF46" i="10" a="1"/>
  <c r="AF46" i="10" s="1"/>
  <c r="P46" i="10" a="1"/>
  <c r="P46" i="10" s="1"/>
  <c r="S46" i="10" a="1"/>
  <c r="S46" i="10" s="1"/>
  <c r="X46" i="10" a="1"/>
  <c r="X46" i="10" s="1"/>
  <c r="E46" i="10" a="1"/>
  <c r="E46" i="10" s="1"/>
  <c r="V46" i="10" a="1"/>
  <c r="V46" i="10" s="1"/>
  <c r="T46" i="10" a="1"/>
  <c r="T46" i="10" s="1"/>
  <c r="C46" i="10" a="1"/>
  <c r="C46" i="10" s="1"/>
  <c r="W46" i="10" a="1"/>
  <c r="W46" i="10" s="1"/>
  <c r="AL46" i="10" a="1"/>
  <c r="AL46" i="10" s="1"/>
  <c r="H46" i="10" a="1"/>
  <c r="H46" i="10" s="1"/>
  <c r="AC46" i="10" a="1"/>
  <c r="AC46" i="10" s="1"/>
  <c r="AI46" i="10" a="1"/>
  <c r="AI46" i="10" s="1"/>
  <c r="AJ46" i="10" a="1"/>
  <c r="AJ46" i="10" s="1"/>
  <c r="AG46" i="10" a="1"/>
  <c r="AG46" i="10" s="1"/>
  <c r="O46" i="10" a="1"/>
  <c r="O46" i="10" s="1"/>
  <c r="AA46" i="10" a="1"/>
  <c r="AA46" i="10" s="1"/>
  <c r="D46" i="10" a="1"/>
  <c r="D46" i="10" s="1"/>
  <c r="AB46" i="10" a="1"/>
  <c r="AB46" i="10" s="1"/>
  <c r="AK46" i="10" a="1"/>
  <c r="AK46" i="10" s="1"/>
  <c r="N46" i="10" a="1"/>
  <c r="N46" i="10" s="1"/>
  <c r="AE46" i="10" a="1"/>
  <c r="AE46" i="10" s="1"/>
  <c r="AN46" i="10" a="1"/>
  <c r="AN46" i="10" s="1"/>
  <c r="AR46" i="10" a="1"/>
  <c r="AR46" i="10" s="1"/>
  <c r="M46" i="10" a="1"/>
  <c r="M46" i="10" s="1"/>
  <c r="U46" i="10" a="1"/>
  <c r="U46" i="10" s="1"/>
  <c r="Y46" i="10" a="1"/>
  <c r="Y46" i="10" s="1"/>
  <c r="R46" i="10" a="1"/>
  <c r="R46" i="10" s="1"/>
  <c r="L46" i="10" a="1"/>
  <c r="L46" i="10" s="1"/>
  <c r="I46" i="10" a="1"/>
  <c r="I46" i="10" s="1"/>
  <c r="F46" i="10" a="1"/>
  <c r="F46" i="10" s="1"/>
  <c r="AP46" i="10" a="1"/>
  <c r="AP46" i="10" s="1"/>
  <c r="AT46" i="10" a="1"/>
  <c r="AT46" i="10" s="1"/>
  <c r="AU46" i="10" a="1"/>
  <c r="AU46" i="10" s="1"/>
  <c r="AW46" i="10" a="1"/>
  <c r="AW46" i="10" s="1"/>
  <c r="AY46" i="10" a="1"/>
  <c r="AY46" i="10" s="1"/>
  <c r="AV46" i="10" a="1"/>
  <c r="AV46" i="10" s="1"/>
  <c r="BA46" i="10" a="1"/>
  <c r="BA46" i="10" s="1"/>
  <c r="AX46" i="10" a="1"/>
  <c r="AX46" i="10" s="1"/>
  <c r="AZ46" i="10" a="1"/>
  <c r="AZ46" i="10" s="1"/>
  <c r="BC46" i="10" a="1"/>
  <c r="BC46" i="10" s="1"/>
  <c r="BB46" i="10" a="1"/>
  <c r="BB46" i="10" s="1"/>
  <c r="BI46" i="10" a="1"/>
  <c r="BI46" i="10" s="1"/>
  <c r="BE46" i="10" a="1"/>
  <c r="BE46" i="10" s="1"/>
  <c r="BD46" i="10" a="1"/>
  <c r="BD46" i="10" s="1"/>
  <c r="BF46" i="10" a="1"/>
  <c r="BF46" i="10" s="1"/>
  <c r="BH46" i="10" a="1"/>
  <c r="BH46" i="10" s="1"/>
  <c r="BG46" i="10" a="1"/>
  <c r="BG46" i="10" s="1"/>
  <c r="BL95" i="8"/>
  <c r="AN30" i="10" a="1"/>
  <c r="AN30" i="10" s="1"/>
  <c r="AL30" i="10" a="1"/>
  <c r="AL30" i="10" s="1"/>
  <c r="AM30" i="10" a="1"/>
  <c r="AM30" i="10" s="1"/>
  <c r="E30" i="10" a="1"/>
  <c r="E30" i="10" s="1"/>
  <c r="M30" i="10" a="1"/>
  <c r="M30" i="10" s="1"/>
  <c r="Z30" i="10" a="1"/>
  <c r="Z30" i="10" s="1"/>
  <c r="D30" i="10" a="1"/>
  <c r="D30" i="10" s="1"/>
  <c r="I30" i="10" a="1"/>
  <c r="I30" i="10" s="1"/>
  <c r="V30" i="10" a="1"/>
  <c r="V30" i="10" s="1"/>
  <c r="P30" i="10" a="1"/>
  <c r="P30" i="10" s="1"/>
  <c r="AE30" i="10" a="1"/>
  <c r="AE30" i="10" s="1"/>
  <c r="AD30" i="10" a="1"/>
  <c r="AD30" i="10" s="1"/>
  <c r="AI30" i="10" a="1"/>
  <c r="AI30" i="10" s="1"/>
  <c r="AO30" i="10" a="1"/>
  <c r="AO30" i="10" s="1"/>
  <c r="N30" i="10" a="1"/>
  <c r="N30" i="10" s="1"/>
  <c r="AA30" i="10" a="1"/>
  <c r="AA30" i="10" s="1"/>
  <c r="AC30" i="10" a="1"/>
  <c r="AC30" i="10" s="1"/>
  <c r="AQ30" i="10" a="1"/>
  <c r="AQ30" i="10" s="1"/>
  <c r="AB30" i="10" a="1"/>
  <c r="AB30" i="10" s="1"/>
  <c r="W30" i="10" a="1"/>
  <c r="W30" i="10" s="1"/>
  <c r="B30" i="10" a="1"/>
  <c r="B30" i="10" s="1"/>
  <c r="K30" i="10" a="1"/>
  <c r="K30" i="10" s="1"/>
  <c r="F30" i="10" a="1"/>
  <c r="F30" i="10" s="1"/>
  <c r="Y30" i="10" a="1"/>
  <c r="Y30" i="10" s="1"/>
  <c r="AG30" i="10" a="1"/>
  <c r="AG30" i="10" s="1"/>
  <c r="T30" i="10" a="1"/>
  <c r="T30" i="10" s="1"/>
  <c r="AF30" i="10" a="1"/>
  <c r="AF30" i="10" s="1"/>
  <c r="X30" i="10" a="1"/>
  <c r="X30" i="10" s="1"/>
  <c r="L30" i="10" a="1"/>
  <c r="L30" i="10" s="1"/>
  <c r="U30" i="10" a="1"/>
  <c r="U30" i="10" s="1"/>
  <c r="AK30" i="10" a="1"/>
  <c r="AK30" i="10" s="1"/>
  <c r="Q30" i="10" a="1"/>
  <c r="Q30" i="10" s="1"/>
  <c r="O30" i="10" a="1"/>
  <c r="O30" i="10" s="1"/>
  <c r="H30" i="10" a="1"/>
  <c r="H30" i="10" s="1"/>
  <c r="J30" i="10" a="1"/>
  <c r="J30" i="10" s="1"/>
  <c r="G30" i="10" a="1"/>
  <c r="G30" i="10" s="1"/>
  <c r="AH30" i="10" a="1"/>
  <c r="AH30" i="10" s="1"/>
  <c r="AJ30" i="10" a="1"/>
  <c r="AJ30" i="10" s="1"/>
  <c r="S30" i="10" a="1"/>
  <c r="S30" i="10" s="1"/>
  <c r="C30" i="10" a="1"/>
  <c r="C30" i="10" s="1"/>
  <c r="R30" i="10" a="1"/>
  <c r="R30" i="10" s="1"/>
  <c r="AP30" i="10" a="1"/>
  <c r="AP30" i="10" s="1"/>
  <c r="AT30" i="10" a="1"/>
  <c r="AT30" i="10" s="1"/>
  <c r="AR30" i="10" a="1"/>
  <c r="AR30" i="10" s="1"/>
  <c r="AS30" i="10" a="1"/>
  <c r="AS30" i="10" s="1"/>
  <c r="AU30" i="10" a="1"/>
  <c r="AU30" i="10" s="1"/>
  <c r="AV30" i="10" a="1"/>
  <c r="AV30" i="10" s="1"/>
  <c r="AW30" i="10" a="1"/>
  <c r="AW30" i="10" s="1"/>
  <c r="AZ30" i="10" a="1"/>
  <c r="AZ30" i="10" s="1"/>
  <c r="AY30" i="10" a="1"/>
  <c r="AY30" i="10" s="1"/>
  <c r="AX30" i="10" a="1"/>
  <c r="AX30" i="10" s="1"/>
  <c r="BA30" i="10" a="1"/>
  <c r="BA30" i="10" s="1"/>
  <c r="BB30" i="10" a="1"/>
  <c r="BB30" i="10" s="1"/>
  <c r="BD30" i="10" a="1"/>
  <c r="BD30" i="10" s="1"/>
  <c r="BG30" i="10" a="1"/>
  <c r="BG30" i="10" s="1"/>
  <c r="BE30" i="10" a="1"/>
  <c r="BE30" i="10" s="1"/>
  <c r="BC30" i="10" a="1"/>
  <c r="BC30" i="10" s="1"/>
  <c r="BF30" i="10" a="1"/>
  <c r="BF30" i="10" s="1"/>
  <c r="BH30" i="10" a="1"/>
  <c r="BH30" i="10" s="1"/>
  <c r="BI30" i="10" a="1"/>
  <c r="BI30" i="10" s="1"/>
  <c r="BK44" i="8"/>
  <c r="AM27" i="10" l="1" a="1"/>
  <c r="AM27" i="10" s="1"/>
  <c r="K27" i="10" a="1"/>
  <c r="K27" i="10" s="1"/>
  <c r="D27" i="10" a="1"/>
  <c r="D27" i="10" s="1"/>
  <c r="W27" i="10" a="1"/>
  <c r="W27" i="10" s="1"/>
  <c r="R27" i="10" a="1"/>
  <c r="R27" i="10" s="1"/>
  <c r="AI27" i="10" a="1"/>
  <c r="AI27" i="10" s="1"/>
  <c r="AL27" i="10" a="1"/>
  <c r="AL27" i="10" s="1"/>
  <c r="M27" i="10" a="1"/>
  <c r="M27" i="10" s="1"/>
  <c r="C27" i="10" a="1"/>
  <c r="C27" i="10" s="1"/>
  <c r="AO27" i="10" a="1"/>
  <c r="AO27" i="10" s="1"/>
  <c r="Y27" i="10" a="1"/>
  <c r="Y27" i="10" s="1"/>
  <c r="AH27" i="10" a="1"/>
  <c r="AH27" i="10" s="1"/>
  <c r="AC27" i="10" a="1"/>
  <c r="AC27" i="10" s="1"/>
  <c r="AJ27" i="10" a="1"/>
  <c r="AJ27" i="10" s="1"/>
  <c r="G27" i="10" a="1"/>
  <c r="G27" i="10" s="1"/>
  <c r="AA27" i="10" a="1"/>
  <c r="AA27" i="10" s="1"/>
  <c r="S27" i="10" a="1"/>
  <c r="S27" i="10" s="1"/>
  <c r="N27" i="10" a="1"/>
  <c r="N27" i="10" s="1"/>
  <c r="L27" i="10" a="1"/>
  <c r="L27" i="10" s="1"/>
  <c r="AK27" i="10" a="1"/>
  <c r="AK27" i="10" s="1"/>
  <c r="X27" i="10" a="1"/>
  <c r="X27" i="10" s="1"/>
  <c r="AP27" i="10" a="1"/>
  <c r="AP27" i="10" s="1"/>
  <c r="Q27" i="10" a="1"/>
  <c r="Q27" i="10" s="1"/>
  <c r="AR27" i="10" a="1"/>
  <c r="AR27" i="10" s="1"/>
  <c r="AN27" i="10" a="1"/>
  <c r="AN27" i="10" s="1"/>
  <c r="AB27" i="10" a="1"/>
  <c r="AB27" i="10" s="1"/>
  <c r="AD27" i="10" a="1"/>
  <c r="AD27" i="10" s="1"/>
  <c r="AE27" i="10" a="1"/>
  <c r="AE27" i="10" s="1"/>
  <c r="O27" i="10" a="1"/>
  <c r="O27" i="10" s="1"/>
  <c r="H27" i="10" a="1"/>
  <c r="H27" i="10" s="1"/>
  <c r="V27" i="10" a="1"/>
  <c r="V27" i="10" s="1"/>
  <c r="E27" i="10" a="1"/>
  <c r="E27" i="10" s="1"/>
  <c r="U27" i="10" a="1"/>
  <c r="U27" i="10" s="1"/>
  <c r="T27" i="10" a="1"/>
  <c r="T27" i="10" s="1"/>
  <c r="F27" i="10" a="1"/>
  <c r="F27" i="10" s="1"/>
  <c r="AU27" i="10" a="1"/>
  <c r="AU27" i="10" s="1"/>
  <c r="I27" i="10" a="1"/>
  <c r="I27" i="10" s="1"/>
  <c r="AF27" i="10" a="1"/>
  <c r="AF27" i="10" s="1"/>
  <c r="P27" i="10" a="1"/>
  <c r="P27" i="10" s="1"/>
  <c r="AG27" i="10" a="1"/>
  <c r="AG27" i="10" s="1"/>
  <c r="J27" i="10" a="1"/>
  <c r="J27" i="10" s="1"/>
  <c r="Z27" i="10" a="1"/>
  <c r="Z27" i="10" s="1"/>
  <c r="B27" i="10" a="1"/>
  <c r="B27" i="10" s="1"/>
  <c r="AQ27" i="10" a="1"/>
  <c r="AQ27" i="10" s="1"/>
  <c r="AS27" i="10" a="1"/>
  <c r="AS27" i="10" s="1"/>
  <c r="AT27" i="10" a="1"/>
  <c r="AT27" i="10" s="1"/>
  <c r="AW27" i="10" a="1"/>
  <c r="AW27" i="10" s="1"/>
  <c r="AV27" i="10" a="1"/>
  <c r="AV27" i="10" s="1"/>
  <c r="AX27" i="10" a="1"/>
  <c r="AX27" i="10" s="1"/>
  <c r="AY27" i="10" a="1"/>
  <c r="AY27" i="10" s="1"/>
  <c r="BB27" i="10" a="1"/>
  <c r="BB27" i="10" s="1"/>
  <c r="BA27" i="10" a="1"/>
  <c r="BA27" i="10" s="1"/>
  <c r="AZ27" i="10" a="1"/>
  <c r="AZ27" i="10" s="1"/>
  <c r="BF27" i="10" a="1"/>
  <c r="BF27" i="10" s="1"/>
  <c r="BG27" i="10" a="1"/>
  <c r="BG27" i="10" s="1"/>
  <c r="BC27" i="10" a="1"/>
  <c r="BC27" i="10" s="1"/>
  <c r="BD27" i="10" a="1"/>
  <c r="BD27" i="10" s="1"/>
  <c r="BE27" i="10" a="1"/>
  <c r="BE27" i="10" s="1"/>
  <c r="BH27" i="10" a="1"/>
  <c r="BH27" i="10" s="1"/>
  <c r="BI27" i="10" a="1"/>
  <c r="BI27" i="10" s="1"/>
  <c r="AM29" i="10" a="1"/>
  <c r="AM29" i="10" s="1"/>
  <c r="X29" i="10" a="1"/>
  <c r="X29" i="10" s="1"/>
  <c r="L29" i="10" a="1"/>
  <c r="L29" i="10" s="1"/>
  <c r="AL29" i="10" a="1"/>
  <c r="AL29" i="10" s="1"/>
  <c r="U29" i="10" a="1"/>
  <c r="U29" i="10" s="1"/>
  <c r="N29" i="10" a="1"/>
  <c r="N29" i="10" s="1"/>
  <c r="J29" i="10" a="1"/>
  <c r="J29" i="10" s="1"/>
  <c r="O29" i="10" a="1"/>
  <c r="O29" i="10" s="1"/>
  <c r="D29" i="10" a="1"/>
  <c r="D29" i="10" s="1"/>
  <c r="AC29" i="10" a="1"/>
  <c r="AC29" i="10" s="1"/>
  <c r="K29" i="10" a="1"/>
  <c r="K29" i="10" s="1"/>
  <c r="AN29" i="10" a="1"/>
  <c r="AN29" i="10" s="1"/>
  <c r="Y29" i="10" a="1"/>
  <c r="Y29" i="10" s="1"/>
  <c r="M29" i="10" a="1"/>
  <c r="M29" i="10" s="1"/>
  <c r="V29" i="10" a="1"/>
  <c r="V29" i="10" s="1"/>
  <c r="B29" i="10" a="1"/>
  <c r="B29" i="10" s="1"/>
  <c r="AH29" i="10" a="1"/>
  <c r="AH29" i="10" s="1"/>
  <c r="P29" i="10" a="1"/>
  <c r="P29" i="10" s="1"/>
  <c r="S29" i="10" a="1"/>
  <c r="S29" i="10" s="1"/>
  <c r="Z29" i="10" a="1"/>
  <c r="Z29" i="10" s="1"/>
  <c r="G29" i="10" a="1"/>
  <c r="G29" i="10" s="1"/>
  <c r="C29" i="10" a="1"/>
  <c r="C29" i="10" s="1"/>
  <c r="AE29" i="10" a="1"/>
  <c r="AE29" i="10" s="1"/>
  <c r="T29" i="10" a="1"/>
  <c r="T29" i="10" s="1"/>
  <c r="AI29" i="10" a="1"/>
  <c r="AI29" i="10" s="1"/>
  <c r="W29" i="10" a="1"/>
  <c r="W29" i="10" s="1"/>
  <c r="AD29" i="10" a="1"/>
  <c r="AD29" i="10" s="1"/>
  <c r="AB29" i="10" a="1"/>
  <c r="AB29" i="10" s="1"/>
  <c r="AK29" i="10" a="1"/>
  <c r="AK29" i="10" s="1"/>
  <c r="AF29" i="10" a="1"/>
  <c r="AF29" i="10" s="1"/>
  <c r="AA29" i="10" a="1"/>
  <c r="AA29" i="10" s="1"/>
  <c r="E29" i="10" a="1"/>
  <c r="E29" i="10" s="1"/>
  <c r="R29" i="10" a="1"/>
  <c r="R29" i="10" s="1"/>
  <c r="H29" i="10" a="1"/>
  <c r="H29" i="10" s="1"/>
  <c r="Q29" i="10" a="1"/>
  <c r="Q29" i="10" s="1"/>
  <c r="AJ29" i="10" a="1"/>
  <c r="AJ29" i="10" s="1"/>
  <c r="F29" i="10" a="1"/>
  <c r="F29" i="10" s="1"/>
  <c r="AG29" i="10" a="1"/>
  <c r="AG29" i="10" s="1"/>
  <c r="I29" i="10" a="1"/>
  <c r="I29" i="10" s="1"/>
  <c r="AR29" i="10" a="1"/>
  <c r="AR29" i="10" s="1"/>
  <c r="AO29" i="10" a="1"/>
  <c r="AO29" i="10" s="1"/>
  <c r="AP29" i="10" a="1"/>
  <c r="AP29" i="10" s="1"/>
  <c r="AS29" i="10" a="1"/>
  <c r="AS29" i="10" s="1"/>
  <c r="AQ29" i="10" a="1"/>
  <c r="AQ29" i="10" s="1"/>
  <c r="AT29" i="10" a="1"/>
  <c r="AT29" i="10" s="1"/>
  <c r="AW29" i="10" a="1"/>
  <c r="AW29" i="10" s="1"/>
  <c r="AV29" i="10" a="1"/>
  <c r="AV29" i="10" s="1"/>
  <c r="AU29" i="10" a="1"/>
  <c r="AU29" i="10" s="1"/>
  <c r="AY29" i="10" a="1"/>
  <c r="AY29" i="10" s="1"/>
  <c r="AZ29" i="10" a="1"/>
  <c r="AZ29" i="10" s="1"/>
  <c r="BA29" i="10" a="1"/>
  <c r="BA29" i="10" s="1"/>
  <c r="AX29" i="10" a="1"/>
  <c r="AX29" i="10" s="1"/>
  <c r="BB29" i="10" a="1"/>
  <c r="BB29" i="10" s="1"/>
  <c r="BC29" i="10" a="1"/>
  <c r="BC29" i="10" s="1"/>
  <c r="BD29" i="10" a="1"/>
  <c r="BD29" i="10" s="1"/>
  <c r="BE29" i="10" a="1"/>
  <c r="BE29" i="10" s="1"/>
  <c r="BH29" i="10" a="1"/>
  <c r="BH29" i="10" s="1"/>
  <c r="BF29" i="10" a="1"/>
  <c r="BF29" i="10" s="1"/>
  <c r="BG29" i="10" a="1"/>
  <c r="BG29" i="10" s="1"/>
  <c r="BI29" i="10" a="1"/>
  <c r="BI29" i="10" s="1"/>
  <c r="E17" i="9"/>
  <c r="BL71" i="8"/>
  <c r="BL69" i="8" s="1"/>
  <c r="AM13" i="10" a="1"/>
  <c r="AM13" i="10" s="1"/>
  <c r="AL13" i="10" a="1"/>
  <c r="AL13" i="10" s="1"/>
  <c r="AN13" i="10" a="1"/>
  <c r="AN13" i="10" s="1"/>
  <c r="O13" i="10" a="1"/>
  <c r="O13" i="10" s="1"/>
  <c r="AP13" i="10" a="1"/>
  <c r="AP13" i="10" s="1"/>
  <c r="F13" i="10" a="1"/>
  <c r="F13" i="10" s="1"/>
  <c r="Q13" i="10" a="1"/>
  <c r="Q13" i="10" s="1"/>
  <c r="M13" i="10" a="1"/>
  <c r="M13" i="10" s="1"/>
  <c r="B13" i="10" a="1"/>
  <c r="B13" i="10" s="1"/>
  <c r="AE13" i="10" a="1"/>
  <c r="AE13" i="10" s="1"/>
  <c r="N13" i="10" a="1"/>
  <c r="N13" i="10" s="1"/>
  <c r="T13" i="10" a="1"/>
  <c r="T13" i="10" s="1"/>
  <c r="L13" i="10" a="1"/>
  <c r="L13" i="10" s="1"/>
  <c r="AA13" i="10" a="1"/>
  <c r="AA13" i="10" s="1"/>
  <c r="AD13" i="10" a="1"/>
  <c r="AD13" i="10" s="1"/>
  <c r="AB13" i="10" a="1"/>
  <c r="AB13" i="10" s="1"/>
  <c r="I13" i="10" a="1"/>
  <c r="I13" i="10" s="1"/>
  <c r="V13" i="10" a="1"/>
  <c r="V13" i="10" s="1"/>
  <c r="AI13" i="10" a="1"/>
  <c r="AI13" i="10" s="1"/>
  <c r="AK13" i="10" a="1"/>
  <c r="AK13" i="10" s="1"/>
  <c r="AQ13" i="10" a="1"/>
  <c r="AQ13" i="10" s="1"/>
  <c r="AO13" i="10" a="1"/>
  <c r="AO13" i="10" s="1"/>
  <c r="AC13" i="10" a="1"/>
  <c r="AC13" i="10" s="1"/>
  <c r="AJ13" i="10" a="1"/>
  <c r="AJ13" i="10" s="1"/>
  <c r="Y13" i="10" a="1"/>
  <c r="Y13" i="10" s="1"/>
  <c r="H13" i="10" a="1"/>
  <c r="H13" i="10" s="1"/>
  <c r="U13" i="10" a="1"/>
  <c r="U13" i="10" s="1"/>
  <c r="S13" i="10" a="1"/>
  <c r="S13" i="10" s="1"/>
  <c r="X13" i="10" a="1"/>
  <c r="X13" i="10" s="1"/>
  <c r="R13" i="10" a="1"/>
  <c r="R13" i="10" s="1"/>
  <c r="J13" i="10" a="1"/>
  <c r="J13" i="10" s="1"/>
  <c r="P13" i="10" a="1"/>
  <c r="P13" i="10" s="1"/>
  <c r="E13" i="10" a="1"/>
  <c r="E13" i="10" s="1"/>
  <c r="Z13" i="10" a="1"/>
  <c r="Z13" i="10" s="1"/>
  <c r="AH13" i="10" a="1"/>
  <c r="AH13" i="10" s="1"/>
  <c r="D13" i="10" a="1"/>
  <c r="D13" i="10" s="1"/>
  <c r="AG13" i="10" a="1"/>
  <c r="AG13" i="10" s="1"/>
  <c r="C13" i="10" a="1"/>
  <c r="C13" i="10" s="1"/>
  <c r="AF13" i="10" a="1"/>
  <c r="AF13" i="10" s="1"/>
  <c r="G13" i="10" a="1"/>
  <c r="G13" i="10" s="1"/>
  <c r="K13" i="10" a="1"/>
  <c r="K13" i="10" s="1"/>
  <c r="W13" i="10" a="1"/>
  <c r="W13" i="10" s="1"/>
  <c r="AR13" i="10" a="1"/>
  <c r="AR13" i="10" s="1"/>
  <c r="AV13" i="10" a="1"/>
  <c r="AV13" i="10" s="1"/>
  <c r="AS13" i="10" a="1"/>
  <c r="AS13" i="10" s="1"/>
  <c r="AT13" i="10" a="1"/>
  <c r="AT13" i="10" s="1"/>
  <c r="AU13" i="10" a="1"/>
  <c r="AU13" i="10" s="1"/>
  <c r="AW13" i="10" a="1"/>
  <c r="AW13" i="10" s="1"/>
  <c r="AY13" i="10" a="1"/>
  <c r="AY13" i="10" s="1"/>
  <c r="AX13" i="10" a="1"/>
  <c r="AX13" i="10" s="1"/>
  <c r="BC13" i="10" a="1"/>
  <c r="BC13" i="10" s="1"/>
  <c r="BB13" i="10" a="1"/>
  <c r="BB13" i="10" s="1"/>
  <c r="BA13" i="10" a="1"/>
  <c r="BA13" i="10" s="1"/>
  <c r="AZ13" i="10" a="1"/>
  <c r="AZ13" i="10" s="1"/>
  <c r="BD13" i="10" a="1"/>
  <c r="BD13" i="10" s="1"/>
  <c r="BE13" i="10" a="1"/>
  <c r="BE13" i="10" s="1"/>
  <c r="BG13" i="10" a="1"/>
  <c r="BG13" i="10" s="1"/>
  <c r="BF13" i="10" a="1"/>
  <c r="BF13" i="10" s="1"/>
  <c r="BH13" i="10" a="1"/>
  <c r="BH13" i="10" s="1"/>
  <c r="BI13" i="10" a="1"/>
  <c r="BI13" i="10" s="1"/>
  <c r="U17" i="7"/>
  <c r="T17" i="7"/>
  <c r="N22" i="7"/>
  <c r="BL53" i="8"/>
  <c r="AN11" i="10" a="1"/>
  <c r="AN11" i="10" s="1"/>
  <c r="Y11" i="10" a="1"/>
  <c r="Y11" i="10" s="1"/>
  <c r="Z11" i="10" a="1"/>
  <c r="Z11" i="10" s="1"/>
  <c r="S11" i="10" a="1"/>
  <c r="S11" i="10" s="1"/>
  <c r="AI11" i="10" a="1"/>
  <c r="AI11" i="10" s="1"/>
  <c r="AP11" i="10" a="1"/>
  <c r="AP11" i="10" s="1"/>
  <c r="V11" i="10" a="1"/>
  <c r="V11" i="10" s="1"/>
  <c r="W11" i="10" a="1"/>
  <c r="W11" i="10" s="1"/>
  <c r="R11" i="10" a="1"/>
  <c r="R11" i="10" s="1"/>
  <c r="AK11" i="10" a="1"/>
  <c r="AK11" i="10" s="1"/>
  <c r="C11" i="10" a="1"/>
  <c r="C11" i="10" s="1"/>
  <c r="AF11" i="10" a="1"/>
  <c r="AF11" i="10" s="1"/>
  <c r="Q11" i="10" a="1"/>
  <c r="Q11" i="10" s="1"/>
  <c r="X11" i="10" a="1"/>
  <c r="X11" i="10" s="1"/>
  <c r="P11" i="10" a="1"/>
  <c r="P11" i="10" s="1"/>
  <c r="T11" i="10" a="1"/>
  <c r="T11" i="10" s="1"/>
  <c r="AM11" i="10" a="1"/>
  <c r="AM11" i="10" s="1"/>
  <c r="AQ11" i="10" a="1"/>
  <c r="AQ11" i="10" s="1"/>
  <c r="AO11" i="10" a="1"/>
  <c r="AO11" i="10" s="1"/>
  <c r="U11" i="10" a="1"/>
  <c r="U11" i="10" s="1"/>
  <c r="M11" i="10" a="1"/>
  <c r="M11" i="10" s="1"/>
  <c r="J11" i="10" a="1"/>
  <c r="J11" i="10" s="1"/>
  <c r="AL11" i="10" a="1"/>
  <c r="AL11" i="10" s="1"/>
  <c r="D11" i="10" a="1"/>
  <c r="D11" i="10" s="1"/>
  <c r="AH11" i="10" a="1"/>
  <c r="AH11" i="10" s="1"/>
  <c r="N11" i="10" a="1"/>
  <c r="N11" i="10" s="1"/>
  <c r="E11" i="10" a="1"/>
  <c r="E11" i="10" s="1"/>
  <c r="O11" i="10" a="1"/>
  <c r="O11" i="10" s="1"/>
  <c r="G11" i="10" a="1"/>
  <c r="G11" i="10" s="1"/>
  <c r="I11" i="10" a="1"/>
  <c r="I11" i="10" s="1"/>
  <c r="AS11" i="10" a="1"/>
  <c r="AS11" i="10" s="1"/>
  <c r="B11" i="10" a="1"/>
  <c r="B11" i="10" s="1"/>
  <c r="AJ11" i="10" a="1"/>
  <c r="AJ11" i="10" s="1"/>
  <c r="F11" i="10" a="1"/>
  <c r="F11" i="10" s="1"/>
  <c r="K11" i="10" a="1"/>
  <c r="K11" i="10" s="1"/>
  <c r="L11" i="10" a="1"/>
  <c r="L11" i="10" s="1"/>
  <c r="AD11" i="10" a="1"/>
  <c r="AD11" i="10" s="1"/>
  <c r="H11" i="10" a="1"/>
  <c r="H11" i="10" s="1"/>
  <c r="AG11" i="10" a="1"/>
  <c r="AG11" i="10" s="1"/>
  <c r="AA11" i="10" a="1"/>
  <c r="AA11" i="10" s="1"/>
  <c r="AR11" i="10" a="1"/>
  <c r="AR11" i="10" s="1"/>
  <c r="AC11" i="10" a="1"/>
  <c r="AC11" i="10" s="1"/>
  <c r="AB11" i="10" a="1"/>
  <c r="AB11" i="10" s="1"/>
  <c r="AE11" i="10" a="1"/>
  <c r="AE11" i="10" s="1"/>
  <c r="AT11" i="10" a="1"/>
  <c r="AT11" i="10" s="1"/>
  <c r="AU11" i="10" a="1"/>
  <c r="AU11" i="10" s="1"/>
  <c r="AV11" i="10" a="1"/>
  <c r="AV11" i="10" s="1"/>
  <c r="AW11" i="10" a="1"/>
  <c r="AW11" i="10" s="1"/>
  <c r="AY11" i="10" a="1"/>
  <c r="AY11" i="10" s="1"/>
  <c r="AX11" i="10" a="1"/>
  <c r="AX11" i="10" s="1"/>
  <c r="AZ11" i="10" a="1"/>
  <c r="AZ11" i="10" s="1"/>
  <c r="BA11" i="10" a="1"/>
  <c r="BA11" i="10" s="1"/>
  <c r="BC11" i="10" a="1"/>
  <c r="BC11" i="10" s="1"/>
  <c r="BB11" i="10" a="1"/>
  <c r="BB11" i="10" s="1"/>
  <c r="BE11" i="10" a="1"/>
  <c r="BE11" i="10" s="1"/>
  <c r="BG11" i="10" a="1"/>
  <c r="BG11" i="10" s="1"/>
  <c r="BD11" i="10" a="1"/>
  <c r="BD11" i="10" s="1"/>
  <c r="BF11" i="10" a="1"/>
  <c r="BF11" i="10" s="1"/>
  <c r="BH11" i="10" a="1"/>
  <c r="BH11" i="10" s="1"/>
  <c r="BI11" i="10" a="1"/>
  <c r="BI11" i="10" s="1"/>
  <c r="BI4" i="10"/>
  <c r="BK5" i="9"/>
  <c r="BL4" i="9"/>
  <c r="BL5" i="9" s="1"/>
  <c r="BL44" i="8"/>
  <c r="AM7" i="10" a="1"/>
  <c r="AM7" i="10" s="1"/>
  <c r="AM50" i="10" s="1"/>
  <c r="AK7" i="10" a="1"/>
  <c r="AK7" i="10" s="1"/>
  <c r="AK50" i="10" s="1"/>
  <c r="O7" i="10" a="1"/>
  <c r="O7" i="10" s="1"/>
  <c r="O50" i="10" s="1"/>
  <c r="AL7" i="10" a="1"/>
  <c r="AL7" i="10" s="1"/>
  <c r="AL50" i="10" s="1"/>
  <c r="Q7" i="10" a="1"/>
  <c r="Q7" i="10" s="1"/>
  <c r="Q50" i="10" s="1"/>
  <c r="K7" i="10" a="1"/>
  <c r="K7" i="10" s="1"/>
  <c r="K50" i="10" s="1"/>
  <c r="AA7" i="10" a="1"/>
  <c r="AA7" i="10" s="1"/>
  <c r="AA50" i="10" s="1"/>
  <c r="AD7" i="10" a="1"/>
  <c r="AD7" i="10" s="1"/>
  <c r="AD50" i="10" s="1"/>
  <c r="AN7" i="10" a="1"/>
  <c r="AN7" i="10" s="1"/>
  <c r="AN50" i="10" s="1"/>
  <c r="AJ7" i="10" a="1"/>
  <c r="AJ7" i="10" s="1"/>
  <c r="AJ50" i="10" s="1"/>
  <c r="AF7" i="10" a="1"/>
  <c r="AF7" i="10" s="1"/>
  <c r="AF50" i="10" s="1"/>
  <c r="P7" i="10" a="1"/>
  <c r="P7" i="10" s="1"/>
  <c r="P50" i="10" s="1"/>
  <c r="W7" i="10" a="1"/>
  <c r="W7" i="10" s="1"/>
  <c r="W50" i="10" s="1"/>
  <c r="S7" i="10" a="1"/>
  <c r="S7" i="10" s="1"/>
  <c r="S50" i="10" s="1"/>
  <c r="F7" i="10" a="1"/>
  <c r="F7" i="10" s="1"/>
  <c r="F50" i="10" s="1"/>
  <c r="AC7" i="10" a="1"/>
  <c r="AC7" i="10" s="1"/>
  <c r="AC50" i="10" s="1"/>
  <c r="E7" i="10" a="1"/>
  <c r="E7" i="10" s="1"/>
  <c r="E50" i="10" s="1"/>
  <c r="X7" i="10" a="1"/>
  <c r="X7" i="10" s="1"/>
  <c r="X50" i="10" s="1"/>
  <c r="AG7" i="10" a="1"/>
  <c r="AG7" i="10" s="1"/>
  <c r="AG50" i="10" s="1"/>
  <c r="U7" i="10" a="1"/>
  <c r="U7" i="10" s="1"/>
  <c r="U50" i="10" s="1"/>
  <c r="Y7" i="10" a="1"/>
  <c r="Y7" i="10" s="1"/>
  <c r="Y50" i="10" s="1"/>
  <c r="AH7" i="10" a="1"/>
  <c r="AH7" i="10" s="1"/>
  <c r="AH50" i="10" s="1"/>
  <c r="R7" i="10" a="1"/>
  <c r="R7" i="10" s="1"/>
  <c r="R50" i="10" s="1"/>
  <c r="D7" i="10" a="1"/>
  <c r="D7" i="10" s="1"/>
  <c r="D50" i="10" s="1"/>
  <c r="AB7" i="10" a="1"/>
  <c r="AB7" i="10" s="1"/>
  <c r="AB50" i="10" s="1"/>
  <c r="N7" i="10" a="1"/>
  <c r="N7" i="10" s="1"/>
  <c r="N50" i="10" s="1"/>
  <c r="J7" i="10" a="1"/>
  <c r="J7" i="10" s="1"/>
  <c r="J50" i="10" s="1"/>
  <c r="H7" i="10" a="1"/>
  <c r="H7" i="10" s="1"/>
  <c r="H50" i="10" s="1"/>
  <c r="B7" i="10" a="1"/>
  <c r="B7" i="10" s="1"/>
  <c r="B50" i="10" s="1"/>
  <c r="C7" i="10" a="1"/>
  <c r="C7" i="10" s="1"/>
  <c r="C50" i="10" s="1"/>
  <c r="G7" i="10" a="1"/>
  <c r="G7" i="10" s="1"/>
  <c r="G50" i="10" s="1"/>
  <c r="T7" i="10" a="1"/>
  <c r="T7" i="10" s="1"/>
  <c r="T50" i="10" s="1"/>
  <c r="Z7" i="10" a="1"/>
  <c r="Z7" i="10" s="1"/>
  <c r="Z50" i="10" s="1"/>
  <c r="V7" i="10" a="1"/>
  <c r="V7" i="10" s="1"/>
  <c r="V50" i="10" s="1"/>
  <c r="AI7" i="10" a="1"/>
  <c r="AI7" i="10" s="1"/>
  <c r="AI50" i="10" s="1"/>
  <c r="M7" i="10" a="1"/>
  <c r="M7" i="10" s="1"/>
  <c r="M50" i="10" s="1"/>
  <c r="AE7" i="10" a="1"/>
  <c r="AE7" i="10" s="1"/>
  <c r="AE50" i="10" s="1"/>
  <c r="I7" i="10" a="1"/>
  <c r="I7" i="10" s="1"/>
  <c r="I50" i="10" s="1"/>
  <c r="AO7" i="10" a="1"/>
  <c r="AO7" i="10" s="1"/>
  <c r="AO50" i="10" s="1"/>
  <c r="L7" i="10" a="1"/>
  <c r="L7" i="10" s="1"/>
  <c r="L50" i="10" s="1"/>
  <c r="AR7" i="10" a="1"/>
  <c r="AR7" i="10" s="1"/>
  <c r="AR50" i="10" s="1"/>
  <c r="AQ7" i="10" a="1"/>
  <c r="AQ7" i="10" s="1"/>
  <c r="AQ50" i="10" s="1"/>
  <c r="AP7" i="10" a="1"/>
  <c r="AP7" i="10" s="1"/>
  <c r="AP50" i="10" s="1"/>
  <c r="AT7" i="10" a="1"/>
  <c r="AT7" i="10" s="1"/>
  <c r="AT50" i="10" s="1"/>
  <c r="AS7" i="10" a="1"/>
  <c r="AS7" i="10" s="1"/>
  <c r="AS50" i="10" s="1"/>
  <c r="AU7" i="10" a="1"/>
  <c r="AU7" i="10" s="1"/>
  <c r="AU50" i="10" s="1"/>
  <c r="AW7" i="10" a="1"/>
  <c r="AW7" i="10" s="1"/>
  <c r="AW50" i="10" s="1"/>
  <c r="AV7" i="10" a="1"/>
  <c r="AV7" i="10" s="1"/>
  <c r="AV50" i="10" s="1"/>
  <c r="AX7" i="10" a="1"/>
  <c r="AX7" i="10" s="1"/>
  <c r="AX50" i="10" s="1"/>
  <c r="BA7" i="10" a="1"/>
  <c r="BA7" i="10" s="1"/>
  <c r="BA50" i="10" s="1"/>
  <c r="AZ7" i="10" a="1"/>
  <c r="AZ7" i="10" s="1"/>
  <c r="AZ50" i="10" s="1"/>
  <c r="AY7" i="10" a="1"/>
  <c r="AY7" i="10" s="1"/>
  <c r="AY50" i="10" s="1"/>
  <c r="BC7" i="10" a="1"/>
  <c r="BC7" i="10" s="1"/>
  <c r="BC50" i="10" s="1"/>
  <c r="BB7" i="10" a="1"/>
  <c r="BB7" i="10" s="1"/>
  <c r="BB50" i="10" s="1"/>
  <c r="BF7" i="10" a="1"/>
  <c r="BF7" i="10" s="1"/>
  <c r="BF50" i="10" s="1"/>
  <c r="BD7" i="10" a="1"/>
  <c r="BD7" i="10" s="1"/>
  <c r="BD50" i="10" s="1"/>
  <c r="BE7" i="10" a="1"/>
  <c r="BE7" i="10" s="1"/>
  <c r="BE50" i="10" s="1"/>
  <c r="BI7" i="10" a="1"/>
  <c r="BI7" i="10" s="1"/>
  <c r="BI50" i="10" s="1"/>
  <c r="BG7" i="10" a="1"/>
  <c r="BG7" i="10" s="1"/>
  <c r="BG50" i="10" s="1"/>
  <c r="BH7" i="10" a="1"/>
  <c r="BH7" i="10" s="1"/>
  <c r="BH50" i="10" s="1"/>
  <c r="BL45" i="8"/>
  <c r="BL67" i="8" l="1"/>
  <c r="BL66" i="8" s="1"/>
  <c r="AO21" i="10" a="1"/>
  <c r="AO21" i="10" s="1"/>
  <c r="AO19" i="10" s="1"/>
  <c r="AO18" i="10" s="1"/>
  <c r="AN21" i="10" a="1"/>
  <c r="AN21" i="10" s="1"/>
  <c r="AN19" i="10" s="1"/>
  <c r="AN18" i="10" s="1"/>
  <c r="AQ21" i="10" a="1"/>
  <c r="AQ21" i="10" s="1"/>
  <c r="AQ19" i="10" s="1"/>
  <c r="AQ18" i="10" s="1"/>
  <c r="AM21" i="10" a="1"/>
  <c r="AM21" i="10" s="1"/>
  <c r="AM19" i="10" s="1"/>
  <c r="AM18" i="10" s="1"/>
  <c r="AP21" i="10" a="1"/>
  <c r="AP21" i="10" s="1"/>
  <c r="AP19" i="10" s="1"/>
  <c r="AP18" i="10" s="1"/>
  <c r="AL21" i="10" a="1"/>
  <c r="AL21" i="10" s="1"/>
  <c r="AL19" i="10" s="1"/>
  <c r="AL18" i="10" s="1"/>
  <c r="R21" i="10" a="1"/>
  <c r="R21" i="10" s="1"/>
  <c r="R19" i="10" s="1"/>
  <c r="R18" i="10" s="1"/>
  <c r="AE21" i="10" a="1"/>
  <c r="AE21" i="10" s="1"/>
  <c r="AE19" i="10" s="1"/>
  <c r="AE18" i="10" s="1"/>
  <c r="I21" i="10" a="1"/>
  <c r="I21" i="10" s="1"/>
  <c r="I19" i="10" s="1"/>
  <c r="I18" i="10" s="1"/>
  <c r="AA21" i="10" a="1"/>
  <c r="AA21" i="10" s="1"/>
  <c r="AA19" i="10" s="1"/>
  <c r="AA18" i="10" s="1"/>
  <c r="AD21" i="10" a="1"/>
  <c r="AD21" i="10" s="1"/>
  <c r="AD19" i="10" s="1"/>
  <c r="AD18" i="10" s="1"/>
  <c r="Q21" i="10" a="1"/>
  <c r="Q21" i="10" s="1"/>
  <c r="Q19" i="10" s="1"/>
  <c r="Q18" i="10" s="1"/>
  <c r="U21" i="10" a="1"/>
  <c r="U21" i="10" s="1"/>
  <c r="U19" i="10" s="1"/>
  <c r="U18" i="10" s="1"/>
  <c r="N21" i="10" a="1"/>
  <c r="N21" i="10" s="1"/>
  <c r="N19" i="10" s="1"/>
  <c r="N18" i="10" s="1"/>
  <c r="X21" i="10" a="1"/>
  <c r="X21" i="10" s="1"/>
  <c r="X19" i="10" s="1"/>
  <c r="X18" i="10" s="1"/>
  <c r="V21" i="10" a="1"/>
  <c r="V21" i="10" s="1"/>
  <c r="V19" i="10" s="1"/>
  <c r="V18" i="10" s="1"/>
  <c r="F21" i="10" a="1"/>
  <c r="F21" i="10" s="1"/>
  <c r="F19" i="10" s="1"/>
  <c r="F18" i="10" s="1"/>
  <c r="Y21" i="10" a="1"/>
  <c r="Y21" i="10" s="1"/>
  <c r="Y19" i="10" s="1"/>
  <c r="Y18" i="10" s="1"/>
  <c r="E21" i="10" a="1"/>
  <c r="E21" i="10" s="1"/>
  <c r="E19" i="10" s="1"/>
  <c r="E18" i="10" s="1"/>
  <c r="AR21" i="10" a="1"/>
  <c r="AR21" i="10" s="1"/>
  <c r="AR19" i="10" s="1"/>
  <c r="AR18" i="10" s="1"/>
  <c r="P21" i="10" a="1"/>
  <c r="P21" i="10" s="1"/>
  <c r="P19" i="10" s="1"/>
  <c r="P18" i="10" s="1"/>
  <c r="L21" i="10" a="1"/>
  <c r="L21" i="10" s="1"/>
  <c r="L19" i="10" s="1"/>
  <c r="L18" i="10" s="1"/>
  <c r="AF21" i="10" a="1"/>
  <c r="AF21" i="10" s="1"/>
  <c r="AF19" i="10" s="1"/>
  <c r="AF18" i="10" s="1"/>
  <c r="O21" i="10" a="1"/>
  <c r="O21" i="10" s="1"/>
  <c r="O19" i="10" s="1"/>
  <c r="O18" i="10" s="1"/>
  <c r="B21" i="10" a="1"/>
  <c r="B21" i="10" s="1"/>
  <c r="H21" i="10" a="1"/>
  <c r="H21" i="10" s="1"/>
  <c r="H19" i="10" s="1"/>
  <c r="H18" i="10" s="1"/>
  <c r="D21" i="10" a="1"/>
  <c r="D21" i="10" s="1"/>
  <c r="D19" i="10" s="1"/>
  <c r="D18" i="10" s="1"/>
  <c r="K21" i="10" a="1"/>
  <c r="K21" i="10" s="1"/>
  <c r="K19" i="10" s="1"/>
  <c r="K18" i="10" s="1"/>
  <c r="AB21" i="10" a="1"/>
  <c r="AB21" i="10" s="1"/>
  <c r="AB19" i="10" s="1"/>
  <c r="AB18" i="10" s="1"/>
  <c r="AS21" i="10" a="1"/>
  <c r="AS21" i="10" s="1"/>
  <c r="AS19" i="10" s="1"/>
  <c r="AS18" i="10" s="1"/>
  <c r="C21" i="10" a="1"/>
  <c r="C21" i="10" s="1"/>
  <c r="C19" i="10" s="1"/>
  <c r="C18" i="10" s="1"/>
  <c r="J21" i="10" a="1"/>
  <c r="J21" i="10" s="1"/>
  <c r="J19" i="10" s="1"/>
  <c r="J18" i="10" s="1"/>
  <c r="T21" i="10" a="1"/>
  <c r="T21" i="10" s="1"/>
  <c r="T19" i="10" s="1"/>
  <c r="T18" i="10" s="1"/>
  <c r="AK21" i="10" a="1"/>
  <c r="AK21" i="10" s="1"/>
  <c r="AK19" i="10" s="1"/>
  <c r="AK18" i="10" s="1"/>
  <c r="AH21" i="10" a="1"/>
  <c r="AH21" i="10" s="1"/>
  <c r="AH19" i="10" s="1"/>
  <c r="AH18" i="10" s="1"/>
  <c r="AT21" i="10" a="1"/>
  <c r="AT21" i="10" s="1"/>
  <c r="AT19" i="10" s="1"/>
  <c r="AT18" i="10" s="1"/>
  <c r="W21" i="10" a="1"/>
  <c r="W21" i="10" s="1"/>
  <c r="W19" i="10" s="1"/>
  <c r="W18" i="10" s="1"/>
  <c r="AC21" i="10" a="1"/>
  <c r="AC21" i="10" s="1"/>
  <c r="AC19" i="10" s="1"/>
  <c r="AC18" i="10" s="1"/>
  <c r="AI21" i="10" a="1"/>
  <c r="AI21" i="10" s="1"/>
  <c r="AI19" i="10" s="1"/>
  <c r="AI18" i="10" s="1"/>
  <c r="Z21" i="10" a="1"/>
  <c r="Z21" i="10" s="1"/>
  <c r="Z19" i="10" s="1"/>
  <c r="Z18" i="10" s="1"/>
  <c r="AJ21" i="10" a="1"/>
  <c r="AJ21" i="10" s="1"/>
  <c r="AJ19" i="10" s="1"/>
  <c r="AJ18" i="10" s="1"/>
  <c r="G21" i="10" a="1"/>
  <c r="G21" i="10" s="1"/>
  <c r="G19" i="10" s="1"/>
  <c r="G18" i="10" s="1"/>
  <c r="M21" i="10" a="1"/>
  <c r="M21" i="10" s="1"/>
  <c r="M19" i="10" s="1"/>
  <c r="M18" i="10" s="1"/>
  <c r="AG21" i="10" a="1"/>
  <c r="AG21" i="10" s="1"/>
  <c r="AG19" i="10" s="1"/>
  <c r="AG18" i="10" s="1"/>
  <c r="S21" i="10" a="1"/>
  <c r="S21" i="10" s="1"/>
  <c r="S19" i="10" s="1"/>
  <c r="S18" i="10" s="1"/>
  <c r="AU21" i="10" a="1"/>
  <c r="AU21" i="10" s="1"/>
  <c r="AU19" i="10" s="1"/>
  <c r="AU18" i="10" s="1"/>
  <c r="AY21" i="10" a="1"/>
  <c r="AY21" i="10" s="1"/>
  <c r="AY19" i="10" s="1"/>
  <c r="AY18" i="10" s="1"/>
  <c r="AW21" i="10" a="1"/>
  <c r="AW21" i="10" s="1"/>
  <c r="AW19" i="10" s="1"/>
  <c r="AW18" i="10" s="1"/>
  <c r="AV21" i="10" a="1"/>
  <c r="AV21" i="10" s="1"/>
  <c r="AV19" i="10" s="1"/>
  <c r="AV18" i="10" s="1"/>
  <c r="AX21" i="10" a="1"/>
  <c r="AX21" i="10" s="1"/>
  <c r="AX19" i="10" s="1"/>
  <c r="AX18" i="10" s="1"/>
  <c r="BA21" i="10" a="1"/>
  <c r="BA21" i="10" s="1"/>
  <c r="BA19" i="10" s="1"/>
  <c r="BA18" i="10" s="1"/>
  <c r="AZ21" i="10" a="1"/>
  <c r="AZ21" i="10" s="1"/>
  <c r="AZ19" i="10" s="1"/>
  <c r="AZ18" i="10" s="1"/>
  <c r="BB21" i="10" a="1"/>
  <c r="BB21" i="10" s="1"/>
  <c r="BB19" i="10" s="1"/>
  <c r="BB18" i="10" s="1"/>
  <c r="BC21" i="10" a="1"/>
  <c r="BC21" i="10" s="1"/>
  <c r="BC19" i="10" s="1"/>
  <c r="BC18" i="10" s="1"/>
  <c r="BD21" i="10" a="1"/>
  <c r="BD21" i="10" s="1"/>
  <c r="BD19" i="10" s="1"/>
  <c r="BD18" i="10" s="1"/>
  <c r="BE21" i="10" a="1"/>
  <c r="BE21" i="10" s="1"/>
  <c r="BE19" i="10" s="1"/>
  <c r="BE18" i="10" s="1"/>
  <c r="BF21" i="10" a="1"/>
  <c r="BF21" i="10" s="1"/>
  <c r="BF19" i="10" s="1"/>
  <c r="BF18" i="10" s="1"/>
  <c r="BG21" i="10" a="1"/>
  <c r="BG21" i="10" s="1"/>
  <c r="BG19" i="10" s="1"/>
  <c r="BG18" i="10" s="1"/>
  <c r="BH21" i="10" a="1"/>
  <c r="BH21" i="10" s="1"/>
  <c r="BH19" i="10" s="1"/>
  <c r="BH18" i="10" s="1"/>
  <c r="BI21" i="10" a="1"/>
  <c r="BI21" i="10" s="1"/>
  <c r="BI19" i="10" s="1"/>
  <c r="BI18" i="10" s="1"/>
  <c r="F30" i="9"/>
  <c r="F13" i="9"/>
  <c r="H13" i="9"/>
  <c r="H14" i="9" s="1"/>
  <c r="I13" i="9"/>
  <c r="I14" i="9" s="1"/>
  <c r="G13" i="9"/>
  <c r="G14" i="9" s="1"/>
  <c r="K13" i="9"/>
  <c r="K14" i="9" s="1"/>
  <c r="J13" i="9"/>
  <c r="J14" i="9" s="1"/>
  <c r="BL179" i="8"/>
  <c r="BL181" i="8"/>
  <c r="BL180" i="8"/>
  <c r="AM9" i="10" a="1"/>
  <c r="AM9" i="10" s="1"/>
  <c r="AS9" i="10" a="1"/>
  <c r="AS9" i="10" s="1"/>
  <c r="AQ9" i="10" a="1"/>
  <c r="AQ9" i="10" s="1"/>
  <c r="AO9" i="10" a="1"/>
  <c r="AO9" i="10" s="1"/>
  <c r="AP9" i="10" a="1"/>
  <c r="AP9" i="10" s="1"/>
  <c r="U9" i="10" a="1"/>
  <c r="U9" i="10" s="1"/>
  <c r="AG9" i="10" a="1"/>
  <c r="AG9" i="10" s="1"/>
  <c r="AL9" i="10" a="1"/>
  <c r="AL9" i="10" s="1"/>
  <c r="AH9" i="10" a="1"/>
  <c r="AH9" i="10" s="1"/>
  <c r="AN9" i="10" a="1"/>
  <c r="AN9" i="10" s="1"/>
  <c r="H9" i="10" a="1"/>
  <c r="H9" i="10" s="1"/>
  <c r="AA9" i="10" a="1"/>
  <c r="AA9" i="10" s="1"/>
  <c r="J9" i="10" a="1"/>
  <c r="J9" i="10" s="1"/>
  <c r="M9" i="10" a="1"/>
  <c r="M9" i="10" s="1"/>
  <c r="AJ9" i="10" a="1"/>
  <c r="AJ9" i="10" s="1"/>
  <c r="E9" i="10" a="1"/>
  <c r="E9" i="10" s="1"/>
  <c r="T9" i="10" a="1"/>
  <c r="T9" i="10" s="1"/>
  <c r="AF9" i="10" a="1"/>
  <c r="AF9" i="10" s="1"/>
  <c r="AR9" i="10" a="1"/>
  <c r="AR9" i="10" s="1"/>
  <c r="Y9" i="10" a="1"/>
  <c r="Y9" i="10" s="1"/>
  <c r="AK9" i="10" a="1"/>
  <c r="AK9" i="10" s="1"/>
  <c r="B9" i="10" a="1"/>
  <c r="B9" i="10" s="1"/>
  <c r="L9" i="10" a="1"/>
  <c r="L9" i="10" s="1"/>
  <c r="AE9" i="10" a="1"/>
  <c r="AE9" i="10" s="1"/>
  <c r="R9" i="10" a="1"/>
  <c r="R9" i="10" s="1"/>
  <c r="AI9" i="10" a="1"/>
  <c r="AI9" i="10" s="1"/>
  <c r="V9" i="10" a="1"/>
  <c r="V9" i="10" s="1"/>
  <c r="X9" i="10" a="1"/>
  <c r="X9" i="10" s="1"/>
  <c r="P9" i="10" a="1"/>
  <c r="P9" i="10" s="1"/>
  <c r="F9" i="10" a="1"/>
  <c r="F9" i="10" s="1"/>
  <c r="AB9" i="10" a="1"/>
  <c r="AB9" i="10" s="1"/>
  <c r="AD9" i="10" a="1"/>
  <c r="AD9" i="10" s="1"/>
  <c r="O9" i="10" a="1"/>
  <c r="O9" i="10" s="1"/>
  <c r="G9" i="10" a="1"/>
  <c r="G9" i="10" s="1"/>
  <c r="K9" i="10" a="1"/>
  <c r="K9" i="10" s="1"/>
  <c r="Z9" i="10" a="1"/>
  <c r="Z9" i="10" s="1"/>
  <c r="AC9" i="10" a="1"/>
  <c r="AC9" i="10" s="1"/>
  <c r="W9" i="10" a="1"/>
  <c r="W9" i="10" s="1"/>
  <c r="D9" i="10" a="1"/>
  <c r="D9" i="10" s="1"/>
  <c r="N9" i="10" a="1"/>
  <c r="N9" i="10" s="1"/>
  <c r="AT9" i="10" a="1"/>
  <c r="AT9" i="10" s="1"/>
  <c r="I9" i="10" a="1"/>
  <c r="I9" i="10" s="1"/>
  <c r="S9" i="10" a="1"/>
  <c r="S9" i="10" s="1"/>
  <c r="Q9" i="10" a="1"/>
  <c r="Q9" i="10" s="1"/>
  <c r="C9" i="10" a="1"/>
  <c r="C9" i="10" s="1"/>
  <c r="AU9" i="10" a="1"/>
  <c r="AU9" i="10" s="1"/>
  <c r="AV9" i="10" a="1"/>
  <c r="AV9" i="10" s="1"/>
  <c r="AW9" i="10" a="1"/>
  <c r="AW9" i="10" s="1"/>
  <c r="AX9" i="10" a="1"/>
  <c r="AX9" i="10" s="1"/>
  <c r="AY9" i="10" a="1"/>
  <c r="AY9" i="10" s="1"/>
  <c r="AZ9" i="10" a="1"/>
  <c r="AZ9" i="10" s="1"/>
  <c r="BA9" i="10" a="1"/>
  <c r="BA9" i="10" s="1"/>
  <c r="BB9" i="10" a="1"/>
  <c r="BB9" i="10" s="1"/>
  <c r="BC9" i="10" a="1"/>
  <c r="BC9" i="10" s="1"/>
  <c r="BF9" i="10" a="1"/>
  <c r="BF9" i="10" s="1"/>
  <c r="BD9" i="10" a="1"/>
  <c r="BD9" i="10" s="1"/>
  <c r="BE9" i="10" a="1"/>
  <c r="BE9" i="10" s="1"/>
  <c r="BG9" i="10" a="1"/>
  <c r="BG9" i="10" s="1"/>
  <c r="BH9" i="10" a="1"/>
  <c r="BH9" i="10" s="1"/>
  <c r="BI9" i="10" a="1"/>
  <c r="BI9" i="10" s="1"/>
  <c r="U22" i="7"/>
  <c r="T22" i="7"/>
  <c r="N23" i="7"/>
  <c r="F28" i="9"/>
  <c r="BI3" i="10"/>
  <c r="H16" i="9"/>
  <c r="I16" i="9"/>
  <c r="G16" i="9"/>
  <c r="F16" i="9"/>
  <c r="K16" i="9"/>
  <c r="J16" i="9"/>
  <c r="F20" i="9"/>
  <c r="AW10" i="10" l="1"/>
  <c r="E10" i="10"/>
  <c r="U23" i="7"/>
  <c r="T23" i="7"/>
  <c r="AB10" i="10"/>
  <c r="AJ10" i="10"/>
  <c r="F10" i="10"/>
  <c r="AC10" i="10"/>
  <c r="J10" i="10"/>
  <c r="F21" i="9"/>
  <c r="J24" i="9"/>
  <c r="G25" i="9"/>
  <c r="G26" i="9"/>
  <c r="G20" i="9"/>
  <c r="H20" i="9"/>
  <c r="J30" i="9"/>
  <c r="G22" i="9"/>
  <c r="J22" i="9"/>
  <c r="G24" i="9"/>
  <c r="G29" i="9"/>
  <c r="H24" i="9"/>
  <c r="H26" i="9"/>
  <c r="J25" i="9"/>
  <c r="H23" i="9"/>
  <c r="I29" i="9"/>
  <c r="H19" i="9"/>
  <c r="I25" i="9"/>
  <c r="H30" i="9"/>
  <c r="G28" i="9"/>
  <c r="I26" i="9"/>
  <c r="F27" i="9"/>
  <c r="H25" i="9"/>
  <c r="H29" i="9"/>
  <c r="H21" i="9"/>
  <c r="G30" i="9"/>
  <c r="H27" i="9"/>
  <c r="G21" i="9"/>
  <c r="I22" i="9"/>
  <c r="H28" i="9"/>
  <c r="G23" i="9"/>
  <c r="J20" i="9"/>
  <c r="G27" i="9"/>
  <c r="I21" i="9"/>
  <c r="J28" i="9"/>
  <c r="K31" i="9"/>
  <c r="I28" i="9"/>
  <c r="J21" i="9"/>
  <c r="I23" i="9"/>
  <c r="K22" i="9"/>
  <c r="J27" i="9"/>
  <c r="F25" i="9"/>
  <c r="G19" i="9"/>
  <c r="G32" i="9" s="1"/>
  <c r="H22" i="9"/>
  <c r="H17" i="9"/>
  <c r="K17" i="9"/>
  <c r="G17" i="9"/>
  <c r="J17" i="9"/>
  <c r="I24" i="9"/>
  <c r="I30" i="9"/>
  <c r="J23" i="9"/>
  <c r="I27" i="9"/>
  <c r="I20" i="9"/>
  <c r="K19" i="9"/>
  <c r="J26" i="9"/>
  <c r="I19" i="9"/>
  <c r="J29" i="9"/>
  <c r="I17" i="9"/>
  <c r="J19" i="9"/>
  <c r="J32" i="9" s="1"/>
  <c r="K23" i="9"/>
  <c r="K24" i="9"/>
  <c r="K28" i="9"/>
  <c r="K30" i="9"/>
  <c r="K26" i="9"/>
  <c r="K21" i="9"/>
  <c r="K27" i="9"/>
  <c r="K29" i="9"/>
  <c r="K25" i="9"/>
  <c r="K20" i="9"/>
  <c r="F29" i="9"/>
  <c r="F17" i="9"/>
  <c r="F23" i="9"/>
  <c r="F22" i="9"/>
  <c r="E22" i="9" s="1"/>
  <c r="BE32" i="10"/>
  <c r="BE10" i="10"/>
  <c r="AX32" i="10"/>
  <c r="AX10" i="10"/>
  <c r="AT10" i="10"/>
  <c r="O10" i="10"/>
  <c r="R32" i="10"/>
  <c r="R10" i="10"/>
  <c r="T10" i="10"/>
  <c r="AH10" i="10"/>
  <c r="AM10" i="10"/>
  <c r="E20" i="9"/>
  <c r="N32" i="10"/>
  <c r="N10" i="10"/>
  <c r="AE10" i="10"/>
  <c r="BF10" i="10"/>
  <c r="L32" i="10"/>
  <c r="L10" i="10"/>
  <c r="BC32" i="10"/>
  <c r="BC10" i="10"/>
  <c r="B10" i="10"/>
  <c r="F19" i="9"/>
  <c r="C10" i="10"/>
  <c r="AK10" i="10"/>
  <c r="BA32" i="10"/>
  <c r="BA10" i="10"/>
  <c r="Q10" i="10"/>
  <c r="Z10" i="10"/>
  <c r="X32" i="10"/>
  <c r="X10" i="10"/>
  <c r="Y32" i="10"/>
  <c r="Y10" i="10"/>
  <c r="AA10" i="10"/>
  <c r="AO10" i="10"/>
  <c r="E28" i="9"/>
  <c r="AD32" i="10"/>
  <c r="AD10" i="10"/>
  <c r="AL10" i="10"/>
  <c r="AV10" i="10"/>
  <c r="E30" i="9"/>
  <c r="AU10" i="10"/>
  <c r="U32" i="10"/>
  <c r="U10" i="10"/>
  <c r="BH10" i="10"/>
  <c r="AZ10" i="10"/>
  <c r="S32" i="10"/>
  <c r="S10" i="10"/>
  <c r="K10" i="10"/>
  <c r="V10" i="10"/>
  <c r="AR10" i="10"/>
  <c r="H10" i="10"/>
  <c r="AQ32" i="10"/>
  <c r="AQ10" i="10"/>
  <c r="F26" i="9"/>
  <c r="B19" i="10"/>
  <c r="B18" i="10" s="1"/>
  <c r="F24" i="9" s="1"/>
  <c r="E24" i="9" s="1"/>
  <c r="BD10" i="10"/>
  <c r="E13" i="9"/>
  <c r="F14" i="9"/>
  <c r="D32" i="10"/>
  <c r="D10" i="10"/>
  <c r="AG10" i="10"/>
  <c r="AT31" i="10" a="1"/>
  <c r="AT31" i="10" s="1"/>
  <c r="AT32" i="10" s="1"/>
  <c r="AQ31" i="10" a="1"/>
  <c r="AQ31" i="10" s="1"/>
  <c r="AU31" i="10" a="1"/>
  <c r="AU31" i="10" s="1"/>
  <c r="AU32" i="10" s="1"/>
  <c r="AP31" i="10" a="1"/>
  <c r="AP31" i="10" s="1"/>
  <c r="AO31" i="10" a="1"/>
  <c r="AO31" i="10" s="1"/>
  <c r="AO32" i="10" s="1"/>
  <c r="AL31" i="10" a="1"/>
  <c r="AL31" i="10" s="1"/>
  <c r="AL32" i="10" s="1"/>
  <c r="AN31" i="10" a="1"/>
  <c r="AN31" i="10" s="1"/>
  <c r="AM31" i="10" a="1"/>
  <c r="AM31" i="10" s="1"/>
  <c r="AM32" i="10" s="1"/>
  <c r="D31" i="10" a="1"/>
  <c r="D31" i="10" s="1"/>
  <c r="AB31" i="10" a="1"/>
  <c r="AB31" i="10" s="1"/>
  <c r="AB32" i="10" s="1"/>
  <c r="U31" i="10" a="1"/>
  <c r="U31" i="10" s="1"/>
  <c r="AG31" i="10" a="1"/>
  <c r="AG31" i="10" s="1"/>
  <c r="AG32" i="10" s="1"/>
  <c r="AW31" i="10" a="1"/>
  <c r="AW31" i="10" s="1"/>
  <c r="AW32" i="10" s="1"/>
  <c r="Q31" i="10" a="1"/>
  <c r="Q31" i="10" s="1"/>
  <c r="Q32" i="10" s="1"/>
  <c r="AR31" i="10" a="1"/>
  <c r="AR31" i="10" s="1"/>
  <c r="AR32" i="10" s="1"/>
  <c r="O31" i="10" a="1"/>
  <c r="O31" i="10" s="1"/>
  <c r="O32" i="10" s="1"/>
  <c r="S31" i="10" a="1"/>
  <c r="S31" i="10" s="1"/>
  <c r="G31" i="10" a="1"/>
  <c r="G31" i="10" s="1"/>
  <c r="G32" i="10" s="1"/>
  <c r="B31" i="10" a="1"/>
  <c r="B31" i="10" s="1"/>
  <c r="AS31" i="10" a="1"/>
  <c r="AS31" i="10" s="1"/>
  <c r="AS32" i="10" s="1"/>
  <c r="K31" i="10" a="1"/>
  <c r="K31" i="10" s="1"/>
  <c r="K32" i="10" s="1"/>
  <c r="M31" i="10" a="1"/>
  <c r="M31" i="10" s="1"/>
  <c r="AJ31" i="10" a="1"/>
  <c r="AJ31" i="10" s="1"/>
  <c r="AJ32" i="10" s="1"/>
  <c r="J31" i="10" a="1"/>
  <c r="J31" i="10" s="1"/>
  <c r="J32" i="10" s="1"/>
  <c r="AF31" i="10" a="1"/>
  <c r="AF31" i="10" s="1"/>
  <c r="F31" i="10" a="1"/>
  <c r="F31" i="10" s="1"/>
  <c r="F32" i="10" s="1"/>
  <c r="V31" i="10" a="1"/>
  <c r="V31" i="10" s="1"/>
  <c r="V32" i="10" s="1"/>
  <c r="T31" i="10" a="1"/>
  <c r="T31" i="10" s="1"/>
  <c r="T32" i="10" s="1"/>
  <c r="E31" i="10" a="1"/>
  <c r="E31" i="10" s="1"/>
  <c r="E32" i="10" s="1"/>
  <c r="AD31" i="10" a="1"/>
  <c r="AD31" i="10" s="1"/>
  <c r="AA31" i="10" a="1"/>
  <c r="AA31" i="10" s="1"/>
  <c r="AA32" i="10" s="1"/>
  <c r="N31" i="10" a="1"/>
  <c r="N31" i="10" s="1"/>
  <c r="I31" i="10" a="1"/>
  <c r="I31" i="10" s="1"/>
  <c r="AE31" i="10" a="1"/>
  <c r="AE31" i="10" s="1"/>
  <c r="AE32" i="10" s="1"/>
  <c r="P31" i="10" a="1"/>
  <c r="P31" i="10" s="1"/>
  <c r="G31" i="9" s="1"/>
  <c r="AH31" i="10" a="1"/>
  <c r="AH31" i="10" s="1"/>
  <c r="AH32" i="10" s="1"/>
  <c r="AI31" i="10" a="1"/>
  <c r="AI31" i="10" s="1"/>
  <c r="AI32" i="10" s="1"/>
  <c r="AC31" i="10" a="1"/>
  <c r="AC31" i="10" s="1"/>
  <c r="AC32" i="10" s="1"/>
  <c r="X31" i="10" a="1"/>
  <c r="X31" i="10" s="1"/>
  <c r="Y31" i="10" a="1"/>
  <c r="Y31" i="10" s="1"/>
  <c r="L31" i="10" a="1"/>
  <c r="L31" i="10" s="1"/>
  <c r="Z31" i="10" a="1"/>
  <c r="Z31" i="10" s="1"/>
  <c r="H31" i="9" s="1"/>
  <c r="W31" i="10" a="1"/>
  <c r="W31" i="10" s="1"/>
  <c r="AK31" i="10" a="1"/>
  <c r="AK31" i="10" s="1"/>
  <c r="AK32" i="10" s="1"/>
  <c r="H31" i="10" a="1"/>
  <c r="H31" i="10" s="1"/>
  <c r="H32" i="10" s="1"/>
  <c r="R31" i="10" a="1"/>
  <c r="R31" i="10" s="1"/>
  <c r="C31" i="10" a="1"/>
  <c r="C31" i="10" s="1"/>
  <c r="C32" i="10" s="1"/>
  <c r="AV31" i="10" a="1"/>
  <c r="AV31" i="10" s="1"/>
  <c r="AV32" i="10" s="1"/>
  <c r="BC31" i="10" a="1"/>
  <c r="BC31" i="10" s="1"/>
  <c r="AX31" i="10" a="1"/>
  <c r="AX31" i="10" s="1"/>
  <c r="BB31" i="10" a="1"/>
  <c r="BB31" i="10" s="1"/>
  <c r="BB32" i="10" s="1"/>
  <c r="AY31" i="10" a="1"/>
  <c r="AY31" i="10" s="1"/>
  <c r="AY32" i="10" s="1"/>
  <c r="AZ31" i="10" a="1"/>
  <c r="AZ31" i="10" s="1"/>
  <c r="AZ32" i="10" s="1"/>
  <c r="BA31" i="10" a="1"/>
  <c r="BA31" i="10" s="1"/>
  <c r="BD31" i="10" a="1"/>
  <c r="BD31" i="10" s="1"/>
  <c r="BD32" i="10" s="1"/>
  <c r="BE31" i="10" a="1"/>
  <c r="BE31" i="10" s="1"/>
  <c r="BG31" i="10" a="1"/>
  <c r="BG31" i="10" s="1"/>
  <c r="BF31" i="10" a="1"/>
  <c r="BF31" i="10" s="1"/>
  <c r="BF32" i="10" s="1"/>
  <c r="BI31" i="10" a="1"/>
  <c r="BI31" i="10" s="1"/>
  <c r="BI32" i="10" s="1"/>
  <c r="BH31" i="10" a="1"/>
  <c r="BH31" i="10" s="1"/>
  <c r="BH32" i="10" s="1"/>
  <c r="W32" i="10"/>
  <c r="W10" i="10"/>
  <c r="M32" i="10"/>
  <c r="M10" i="10"/>
  <c r="BB10" i="10"/>
  <c r="P32" i="10"/>
  <c r="P10" i="10"/>
  <c r="AP32" i="10"/>
  <c r="AP10" i="10"/>
  <c r="BI10" i="10"/>
  <c r="BG32" i="10"/>
  <c r="BG10" i="10"/>
  <c r="AY10" i="10"/>
  <c r="I32" i="10"/>
  <c r="I10" i="10"/>
  <c r="G10" i="10"/>
  <c r="AI10" i="10"/>
  <c r="AF32" i="10"/>
  <c r="AF10" i="10"/>
  <c r="AN32" i="10"/>
  <c r="AN10" i="10"/>
  <c r="AS10" i="10"/>
  <c r="J31" i="9" l="1"/>
  <c r="E27" i="9"/>
  <c r="I31" i="9"/>
  <c r="F31" i="9"/>
  <c r="E31" i="9" s="1"/>
  <c r="Z32" i="10"/>
  <c r="E23" i="9"/>
  <c r="E25" i="9"/>
  <c r="F32" i="9"/>
  <c r="E19" i="9"/>
  <c r="I32" i="9"/>
  <c r="E26" i="9"/>
  <c r="E29" i="9"/>
  <c r="H32" i="9"/>
  <c r="E21" i="9"/>
  <c r="B32" i="10"/>
  <c r="K32" i="9"/>
  <c r="E32" i="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Đỗ Lan Anh (Sr. Lending Accountant)</author>
    <author>Hà Ngô (Business Finance Analyst)</author>
    <author>Đỗ Lan Anh (Lending Accounting Supervisor)</author>
    <author>tc={206BCE96-2958-8445-AC15-7A0C87A81FD0}</author>
  </authors>
  <commentList>
    <comment ref="P78" authorId="0" shapeId="0" xr:uid="{126C7854-65ED-9A44-8138-988A114C302A}">
      <text>
        <r>
          <rPr>
            <sz val="11"/>
            <color theme="1"/>
            <rFont val="Aptos Narrow"/>
            <family val="2"/>
            <scheme val="minor"/>
          </rPr>
          <t>Đỗ Lan Anh (Sr. Lending Accountant):
tạm tính hoàn trả 10 tỷ</t>
        </r>
      </text>
    </comment>
    <comment ref="Q78" authorId="0" shapeId="0" xr:uid="{88505783-12BE-B84B-AF92-192747EC184C}">
      <text>
        <r>
          <rPr>
            <sz val="11"/>
            <color theme="1"/>
            <rFont val="Aptos Narrow"/>
            <family val="2"/>
            <scheme val="minor"/>
          </rPr>
          <t>Đỗ Lan Anh (Sr. Lending Accountant):
tạm tính hoàn trả 4 tỷ</t>
        </r>
      </text>
    </comment>
    <comment ref="R78" authorId="0" shapeId="0" xr:uid="{8CFB79EC-3720-D141-9E3C-0DAAF56ACA74}">
      <text>
        <r>
          <rPr>
            <sz val="11"/>
            <color theme="1"/>
            <rFont val="Aptos Narrow"/>
            <family val="2"/>
            <scheme val="minor"/>
          </rPr>
          <t>Đỗ Lan Anh (Sr. Lending Accountant):
tạm tính hoàn trả 3 tỷ</t>
        </r>
      </text>
    </comment>
    <comment ref="S78" authorId="0" shapeId="0" xr:uid="{C7AF1652-0CFD-9140-BC9B-84462548FE1C}">
      <text>
        <r>
          <rPr>
            <sz val="11"/>
            <color theme="1"/>
            <rFont val="Aptos Narrow"/>
            <family val="2"/>
            <scheme val="minor"/>
          </rPr>
          <t>Đỗ Lan Anh (Sr. Lending Accountant):
Fin hoàn trích hết phần còn lại: 9 tỷ 2</t>
        </r>
      </text>
    </comment>
    <comment ref="K216" authorId="0" shapeId="0" xr:uid="{E7FC0CB2-3511-9E4D-9620-54ED21324307}">
      <text>
        <r>
          <rPr>
            <sz val="11"/>
            <color theme="1"/>
            <rFont val="Aptos Narrow"/>
            <family val="2"/>
            <scheme val="minor"/>
          </rPr>
          <t>Đỗ Lan Anh (Sr. Lending Accountant):
6,587 tỷ chuyển nợ nhóm 3 Cake</t>
        </r>
      </text>
    </comment>
    <comment ref="P273" authorId="1" shapeId="0" xr:uid="{577FABCD-31AD-064F-B799-D04F2B432F72}">
      <text>
        <r>
          <rPr>
            <b/>
            <sz val="9"/>
            <color indexed="81"/>
            <rFont val="Tahoma"/>
            <family val="2"/>
          </rPr>
          <t>Hà Ngô (Business Finance Analyst):</t>
        </r>
        <r>
          <rPr>
            <sz val="9"/>
            <color indexed="81"/>
            <rFont val="Tahoma"/>
            <family val="2"/>
          </rPr>
          <t xml:space="preserve">
400 tiền chi phí quảng cáo</t>
        </r>
      </text>
    </comment>
    <comment ref="R273" authorId="0" shapeId="0" xr:uid="{C95B77E9-A8D4-DB4C-806C-F2DBB3DA841E}">
      <text>
        <r>
          <rPr>
            <sz val="11"/>
            <color theme="1"/>
            <rFont val="Aptos Narrow"/>
            <family val="2"/>
            <scheme val="minor"/>
          </rPr>
          <t>Đỗ Lan Anh (Sr. Lending Accountant):
819tr: chi phí quảng cáo MWG  theo mail Thịnh ngày 3/7/25. Đã ghi nhận 400tr tháng 4.25</t>
        </r>
      </text>
    </comment>
    <comment ref="T273" authorId="2" shapeId="0" xr:uid="{8BA84A48-B0AF-3E4D-AF35-22E4EC876B71}">
      <text>
        <r>
          <rPr>
            <sz val="11"/>
            <color theme="1"/>
            <rFont val="Aptos Narrow"/>
            <family val="2"/>
            <scheme val="minor"/>
          </rPr>
          <t>Đỗ Lan Anh (Lending Accounting Supervisor):
580tr: Hà báo teams ngày 8/9</t>
        </r>
      </text>
    </comment>
    <comment ref="V273" authorId="2" shapeId="0" xr:uid="{97B04B02-0327-0240-9DD2-5F945F8AFBB0}">
      <text>
        <r>
          <rPr>
            <sz val="11"/>
            <color theme="1"/>
            <rFont val="Aptos Narrow"/>
            <family val="2"/>
            <scheme val="minor"/>
          </rPr>
          <t>Đỗ Lan Anh (Lending Accounting Supervisor):
400tr: chi thưởng. Quỳnh BD mail 7/11/25</t>
        </r>
      </text>
    </comment>
    <comment ref="O520" authorId="3" shapeId="0" xr:uid="{206BCE96-2958-8445-AC15-7A0C87A81FD0}">
      <text>
        <t>[Threaded comment]
Your version of Excel allows you to read this threaded comment; however, any edits to it will get removed if the file is opened in a newer version of Excel. Learn more: https://go.microsoft.com/fwlink/?linkid=870924
Comment:
    lấy theo BBĐS bảo hiểm của recon (dash BIgap 28tr)</t>
      </text>
    </comment>
    <comment ref="S585" authorId="2" shapeId="0" xr:uid="{E411661F-9271-3F4D-92FA-645E4CF6BA52}">
      <text>
        <r>
          <rPr>
            <sz val="11"/>
            <color theme="1"/>
            <rFont val="Aptos Narrow"/>
            <family val="2"/>
            <scheme val="minor"/>
          </rPr>
          <t>Đỗ Lan Anh (Lending Accounting Supervisor):
5.269.624đ: bù trừ sharing lỗ tháng 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<sst xmlns="http://schemas.openxmlformats.org/spreadsheetml/2006/main" count="4804" uniqueCount="590">
  <si>
    <t>SAP MODEL - CASHLOAN</t>
  </si>
  <si>
    <t>OFFICIAL</t>
  </si>
  <si>
    <t>HKN</t>
  </si>
  <si>
    <t>v9</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</si>
  <si>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</si>
  <si>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</si>
  <si>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</si>
  <si>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một (01) trong các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</si>
  <si>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</si>
  <si>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Do tính chất thời điểm, mô hình được xây dựng mô phỏng theo cách vận hành sản phẩm tại thời điểm phát hành. Trường hợp hệ thống thay đổi, sản phẩm thay đổi, mô hình sẽ không thể phản ánh đúng bản chất vận hành sản phẩm.</t>
  </si>
  <si>
    <t>- Mô hình được tính toán dựa vào các yếu tố đầu vào xác định tại một thời điểm xác định, do đó kết quả của mô hình có thể có sự khác biệt so với thực tế vận hành sản phẩm.</t>
  </si>
  <si>
    <t>- Mô hình SAP Cashloan tính hiệu quả của khoản vay giải ngân và thời hạn tối đa được áp dụng là  5 năm ( 60 tháng) kể từ ngày bắt đầu sản phẩm đối với sử dụng phương pháp dự phòng IFRS</t>
  </si>
  <si>
    <t>- Lưu ý rằng trường hợp áp dụng cho khoản vay 5 năm, thì các chi phí sẽ không được tính toán đầy đủ do chi phí COF cho thời gian từ lúc khoản vay kết thúc tới lúc được xóa trên sổ kế toán.</t>
  </si>
  <si>
    <t>- Chỉ nên sử dụng với khoản vay dưới 4 năm (48 tháng) để được tính toán đầy đủ chi phí</t>
  </si>
  <si>
    <t>- Đối với phương pháp tính rủi ro VAS, thời hạn khoản vay tối đa sử dụng là 4 năm (48 tháng)</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</si>
  <si>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</si>
  <si>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</si>
  <si>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</si>
  <si>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</si>
  <si>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</si>
  <si>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</si>
  <si>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</si>
  <si>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plan&amp;PnL"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</si>
  <si>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</si>
  <si>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</si>
  <si>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</si>
  <si>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</si>
  <si>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</si>
  <si>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</si>
  <si>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</si>
  <si>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</si>
  <si>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GENERAL INPUT</t>
  </si>
  <si>
    <t>Diễn giải</t>
  </si>
  <si>
    <t>Chú thích</t>
  </si>
  <si>
    <t>Risk input</t>
  </si>
  <si>
    <t>Loại phương pháp tính rủi ro</t>
  </si>
  <si>
    <t>Lựa chon phương pháp tính rủi ro VAS và IFRS</t>
  </si>
  <si>
    <t>Write off</t>
  </si>
  <si>
    <t>Thời điểm WO</t>
  </si>
  <si>
    <t>Lựa chọn thời điểm ghi nhận WO là 360 hoặc 180</t>
  </si>
  <si>
    <t>REVENUE INPUT</t>
  </si>
  <si>
    <t>Amount &amp; Tenor</t>
  </si>
  <si>
    <t>Loan amount</t>
  </si>
  <si>
    <t>Số tiền vay giải ngân (có thể bao gồm bảo hiểm hoặc không)</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</si>
  <si>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</si>
  <si>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</si>
  <si>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</si>
  <si>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</si>
  <si>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</si>
  <si>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</si>
  <si>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</si>
  <si>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</si>
  <si>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</si>
  <si>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</si>
  <si>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</si>
  <si>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</si>
  <si>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</si>
  <si>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</si>
  <si>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</si>
  <si>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</si>
  <si>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</si>
  <si>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</si>
  <si>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</si>
  <si>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</si>
  <si>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</si>
  <si>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</si>
  <si>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</si>
  <si>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</si>
  <si>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</si>
  <si>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</si>
  <si>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</si>
  <si>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</si>
  <si>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</si>
  <si>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</si>
  <si>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</si>
  <si>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</si>
  <si>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</si>
  <si>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</si>
  <si>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</si>
  <si>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</si>
  <si>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</si>
  <si>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</si>
  <si>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</si>
  <si>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</si>
  <si>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</si>
  <si>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</si>
  <si>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</si>
  <si>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</si>
  <si>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</si>
  <si>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</si>
  <si>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</si>
  <si>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</si>
  <si>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</si>
  <si>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</si>
  <si>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</si>
  <si>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</si>
  <si>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</si>
  <si>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</si>
  <si>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</si>
  <si>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</si>
  <si>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</si>
  <si>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</si>
  <si>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</si>
  <si>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</si>
  <si>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</si>
  <si>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</si>
  <si>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</si>
  <si>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</si>
  <si>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</si>
  <si>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</si>
  <si>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</si>
  <si>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</si>
  <si>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</si>
  <si>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</si>
  <si>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</si>
  <si>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</si>
  <si>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</si>
  <si>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</si>
  <si>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</si>
  <si>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</si>
  <si>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</si>
  <si>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</si>
  <si>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</si>
  <si>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</si>
  <si>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</si>
  <si>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</si>
  <si>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</si>
  <si>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</si>
  <si>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</si>
  <si>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</si>
  <si>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</si>
  <si>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</si>
  <si>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</si>
  <si>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</si>
  <si>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</si>
  <si>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</si>
  <si>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</si>
  <si>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</si>
  <si>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</si>
  <si>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</si>
  <si>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</si>
  <si>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</si>
  <si>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</si>
  <si>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</si>
  <si>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</si>
  <si>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</si>
  <si>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</si>
  <si>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</si>
  <si>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</si>
  <si>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</si>
  <si>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PD</t>
  </si>
  <si>
    <t>Percentage of debt (tỉ lệ vỡ nợ)</t>
  </si>
  <si>
    <t>Pro. Rate</t>
  </si>
  <si>
    <t>Tỉ lệ vỡ nợ đã điều chỉnh thu hồi nợ</t>
  </si>
  <si>
    <t>Recovery rate</t>
  </si>
  <si>
    <t>Tỉ lệ thu hồi nợ sau WO</t>
  </si>
  <si>
    <t>Collect after WO</t>
  </si>
  <si>
    <t>Fee and others</t>
  </si>
  <si>
    <t>Tỉ lệ thu được phí, phạt, khác</t>
  </si>
  <si>
    <t>Write-off mode</t>
  </si>
  <si>
    <t>Provision mode</t>
  </si>
  <si>
    <t>DPD360+</t>
  </si>
  <si>
    <t>IFRS</t>
  </si>
  <si>
    <t>DPD180+</t>
  </si>
  <si>
    <t>VAS</t>
  </si>
  <si>
    <t>Export source: 20260122</t>
  </si>
  <si>
    <t>Aproval rate, signed rate</t>
  </si>
  <si>
    <t>aprroval rate</t>
  </si>
  <si>
    <t>Signed rate</t>
  </si>
  <si>
    <t>Application</t>
  </si>
  <si>
    <t>Approval</t>
  </si>
  <si>
    <t>Signed</t>
  </si>
  <si>
    <t>Disburse, Tenor, Insurance, IR</t>
  </si>
  <si>
    <t>Disburse date</t>
  </si>
  <si>
    <t># Disburse</t>
  </si>
  <si>
    <t>Disburse amount (VND)</t>
  </si>
  <si>
    <t>Ticket size (VND)</t>
  </si>
  <si>
    <t>Avg tenor (Month)</t>
  </si>
  <si>
    <t>Avg IR (%)</t>
  </si>
  <si>
    <t>Insurance fee (VND)</t>
  </si>
  <si>
    <t>% Insurance penetration by date</t>
  </si>
  <si>
    <t>Adj ticket size</t>
  </si>
  <si>
    <t>Ticketsize</t>
  </si>
  <si>
    <t>Tenor</t>
  </si>
  <si>
    <t>% Insurance rate</t>
  </si>
  <si>
    <t>AVG</t>
  </si>
  <si>
    <t>Limit  OD</t>
  </si>
  <si>
    <t>Limit fee</t>
  </si>
  <si>
    <t>UW, collection, MKT</t>
  </si>
  <si>
    <t>New  ACC</t>
  </si>
  <si>
    <t>Accum</t>
  </si>
  <si>
    <t>Disbursement</t>
  </si>
  <si>
    <t>UW</t>
  </si>
  <si>
    <t>MKT acquisition</t>
  </si>
  <si>
    <t>Partner acquisition</t>
  </si>
  <si>
    <t>Open cost (Esign, NFC)</t>
  </si>
  <si>
    <t>Collection</t>
  </si>
  <si>
    <t>SMS</t>
  </si>
  <si>
    <t>marketing_acquisition_cost</t>
  </si>
  <si>
    <t>Underwriting</t>
  </si>
  <si>
    <t xml:space="preserve"> (Chi phi Q3 không đầy đủ do chuyển đổi hệ thống)</t>
  </si>
  <si>
    <t>Opening</t>
  </si>
  <si>
    <t>Partner acquisition cost</t>
  </si>
  <si>
    <t>(tính theo tỉ lệ giải ngân)</t>
  </si>
  <si>
    <t>Sharing TOI</t>
  </si>
  <si>
    <t>Leadgen</t>
  </si>
  <si>
    <t>Total Q4</t>
  </si>
  <si>
    <t>VDS</t>
  </si>
  <si>
    <t>Payday</t>
  </si>
  <si>
    <t>payday</t>
  </si>
  <si>
    <t>payroll</t>
  </si>
  <si>
    <t>CAKE</t>
  </si>
  <si>
    <t>VNPAY</t>
  </si>
  <si>
    <t>ZALOPAY</t>
  </si>
  <si>
    <t>AVERAGE</t>
  </si>
  <si>
    <t>From</t>
  </si>
  <si>
    <t>To</t>
  </si>
  <si>
    <t>CL</t>
  </si>
  <si>
    <t>MWG</t>
  </si>
  <si>
    <t>ZaloPAY</t>
  </si>
  <si>
    <t>VNPOST</t>
  </si>
  <si>
    <t>OD</t>
  </si>
  <si>
    <t>2-3</t>
  </si>
  <si>
    <t>other</t>
  </si>
  <si>
    <t>Risk cost</t>
  </si>
  <si>
    <t>Row Labels</t>
  </si>
  <si>
    <t>ADJ</t>
  </si>
  <si>
    <t>AVG q4</t>
  </si>
  <si>
    <t>Allocation cost</t>
  </si>
  <si>
    <t>Accum ACC-ALL</t>
  </si>
  <si>
    <t>System</t>
  </si>
  <si>
    <t>Other</t>
  </si>
  <si>
    <t>Oct</t>
  </si>
  <si>
    <t>Nov</t>
  </si>
  <si>
    <t>Dec</t>
  </si>
  <si>
    <t>Group</t>
  </si>
  <si>
    <t>Product</t>
  </si>
  <si>
    <t>Subproduct</t>
  </si>
  <si>
    <t>Chanel</t>
  </si>
  <si>
    <t>Catergory</t>
  </si>
  <si>
    <t>Index</t>
  </si>
  <si>
    <t>Product PnL</t>
  </si>
  <si>
    <t>LENDING</t>
  </si>
  <si>
    <t>lending</t>
  </si>
  <si>
    <t>all</t>
  </si>
  <si>
    <t>New account</t>
  </si>
  <si>
    <t>Repeat account</t>
  </si>
  <si>
    <t>Accumulated account</t>
  </si>
  <si>
    <t>Disbursement w insurance</t>
  </si>
  <si>
    <t>Disbursement w/o insurance</t>
  </si>
  <si>
    <t>Balance ENR</t>
  </si>
  <si>
    <t>Indue balance</t>
  </si>
  <si>
    <t>Overdue balance (dpd &gt;0)</t>
  </si>
  <si>
    <t>Overdue balance (90d+)- CAKE</t>
  </si>
  <si>
    <t>Overdue balance (10d+)</t>
  </si>
  <si>
    <t>Overdue balance (90+)</t>
  </si>
  <si>
    <t>Overdue balance (11-90d)</t>
  </si>
  <si>
    <t>%NPL CAKE</t>
  </si>
  <si>
    <t>npl</t>
  </si>
  <si>
    <t>%NPL CIC</t>
  </si>
  <si>
    <t>TOI</t>
  </si>
  <si>
    <t>Net interest income</t>
  </si>
  <si>
    <t>Interest Income</t>
  </si>
  <si>
    <t>Thu lãi vay</t>
  </si>
  <si>
    <t>Thoái lãi</t>
  </si>
  <si>
    <t>Net fee income</t>
  </si>
  <si>
    <t>Insurance fee</t>
  </si>
  <si>
    <t>Early repayment fee</t>
  </si>
  <si>
    <t>T3</t>
  </si>
  <si>
    <t>Other TOI</t>
  </si>
  <si>
    <t>Provision expenses</t>
  </si>
  <si>
    <t>Variable expenses</t>
  </si>
  <si>
    <t>Marketing acquisition cost</t>
  </si>
  <si>
    <t>Underwritting</t>
  </si>
  <si>
    <t>E Contract</t>
  </si>
  <si>
    <t>NFC</t>
  </si>
  <si>
    <t>Promotion</t>
  </si>
  <si>
    <t>overhead_cost</t>
  </si>
  <si>
    <t>Overhead expenses</t>
  </si>
  <si>
    <t>direct_HR</t>
  </si>
  <si>
    <t>Direct HR cost</t>
  </si>
  <si>
    <t>indirect_HR</t>
  </si>
  <si>
    <t>Indirect HR cost</t>
  </si>
  <si>
    <t>system_cost</t>
  </si>
  <si>
    <t>Indirect system cost</t>
  </si>
  <si>
    <t>other_support_cost</t>
  </si>
  <si>
    <t>Other indirect supporting cost</t>
  </si>
  <si>
    <t>profit_after_overhead</t>
  </si>
  <si>
    <t>Profit after allocation cost</t>
  </si>
  <si>
    <t>Profit before allocation cost</t>
  </si>
  <si>
    <t>Cashloan with Viettel</t>
  </si>
  <si>
    <t>cashloan</t>
  </si>
  <si>
    <t>new_account</t>
  </si>
  <si>
    <t>active_account</t>
  </si>
  <si>
    <t>disburse/spend</t>
  </si>
  <si>
    <t>ENR</t>
  </si>
  <si>
    <t>lending_cashloan_cashloan_CAKE_CII</t>
  </si>
  <si>
    <t>lending_cashloan_cashloan_VDS_CII</t>
  </si>
  <si>
    <t>overdue_balance_10d</t>
  </si>
  <si>
    <t>overdue_balance_90d</t>
  </si>
  <si>
    <t>NII</t>
  </si>
  <si>
    <t>CII</t>
  </si>
  <si>
    <t>NFI</t>
  </si>
  <si>
    <t>insurance_fee</t>
  </si>
  <si>
    <t>early_terminate_fee</t>
  </si>
  <si>
    <t>loan_grant_fee</t>
  </si>
  <si>
    <t>other_TOI</t>
  </si>
  <si>
    <t>provision</t>
  </si>
  <si>
    <t>variable_cost</t>
  </si>
  <si>
    <t>partner_acquisition_cost</t>
  </si>
  <si>
    <t>underwritting</t>
  </si>
  <si>
    <t>e_contract</t>
  </si>
  <si>
    <t>nfc</t>
  </si>
  <si>
    <t>collection</t>
  </si>
  <si>
    <t>promotion</t>
  </si>
  <si>
    <t>sms</t>
  </si>
  <si>
    <t>profit_before_overhead</t>
  </si>
  <si>
    <t>Cashloan Payroll with VDS</t>
  </si>
  <si>
    <t>BEG</t>
  </si>
  <si>
    <t>Cashloan with BEG</t>
  </si>
  <si>
    <t>Cashloan with NGS</t>
  </si>
  <si>
    <t>NGS</t>
  </si>
  <si>
    <t>Cashloan with CAKE</t>
  </si>
  <si>
    <t>Cashloan with MWG</t>
  </si>
  <si>
    <t>Cashloan with VNPAY</t>
  </si>
  <si>
    <t>Cashloan with ZALOPAY</t>
  </si>
  <si>
    <t>Cashloan with VNPOST</t>
  </si>
  <si>
    <t>Cashloan payroll with VNPOST</t>
  </si>
  <si>
    <t>MISA</t>
  </si>
  <si>
    <t>Cashloan with MISA</t>
  </si>
  <si>
    <t>overdraft</t>
  </si>
  <si>
    <t>Overdraft</t>
  </si>
  <si>
    <t>ENR_staff</t>
  </si>
  <si>
    <t>Balance OD staff</t>
  </si>
  <si>
    <t>ENR_mass</t>
  </si>
  <si>
    <t>Balance OD mass</t>
  </si>
  <si>
    <t>Viettel Payday</t>
  </si>
  <si>
    <t>Payday Payroll with VDS</t>
  </si>
  <si>
    <t>Payday  with CAKE</t>
  </si>
  <si>
    <t>Payday  with VNPAY</t>
  </si>
  <si>
    <t>Payday  with ZALOPAY</t>
  </si>
  <si>
    <t>Zalopay</t>
  </si>
  <si>
    <t>MOB1-3</t>
  </si>
  <si>
    <t>MOB4-end</t>
  </si>
  <si>
    <t>RATE</t>
  </si>
  <si>
    <t>Disburse</t>
  </si>
  <si>
    <t>Balance</t>
  </si>
  <si>
    <t>Sum of principal balance</t>
  </si>
  <si>
    <t>Column Labels</t>
  </si>
  <si>
    <t>B00</t>
  </si>
  <si>
    <t>B01</t>
  </si>
  <si>
    <t>B02</t>
  </si>
  <si>
    <t>B03</t>
  </si>
  <si>
    <t>B04</t>
  </si>
  <si>
    <t>B05</t>
  </si>
  <si>
    <t>B06</t>
  </si>
  <si>
    <t>B07</t>
  </si>
  <si>
    <t>B08</t>
  </si>
  <si>
    <t>B09</t>
  </si>
  <si>
    <t>B10</t>
  </si>
  <si>
    <t>B10+</t>
  </si>
  <si>
    <t>B11</t>
  </si>
  <si>
    <t>B12</t>
  </si>
  <si>
    <t>B13</t>
  </si>
  <si>
    <t>B14</t>
  </si>
  <si>
    <t>B15</t>
  </si>
  <si>
    <t>B16</t>
  </si>
  <si>
    <t>B17</t>
  </si>
  <si>
    <t>B18</t>
  </si>
  <si>
    <t>B19</t>
  </si>
  <si>
    <t>B20</t>
  </si>
  <si>
    <t>B21</t>
  </si>
  <si>
    <t>B22</t>
  </si>
  <si>
    <t>B23</t>
  </si>
  <si>
    <t>B24</t>
  </si>
  <si>
    <t>B25</t>
  </si>
  <si>
    <t>B26</t>
  </si>
  <si>
    <t>B27</t>
  </si>
  <si>
    <t>B28</t>
  </si>
  <si>
    <t>B29</t>
  </si>
  <si>
    <t>B30</t>
  </si>
  <si>
    <t>B31</t>
  </si>
  <si>
    <t>B32</t>
  </si>
  <si>
    <t>SAP PAYDAY MODEL</t>
  </si>
  <si>
    <t>NOTE</t>
  </si>
  <si>
    <t>Please read carefully about before using model</t>
  </si>
  <si>
    <t>Unsecured loan</t>
  </si>
  <si>
    <t>UPL</t>
  </si>
  <si>
    <t>Disclaimer</t>
  </si>
  <si>
    <t>Sub-Product</t>
  </si>
  <si>
    <t>ALL</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</si>
  <si>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</si>
  <si>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</si>
  <si>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</si>
  <si>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</si>
  <si>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</si>
  <si>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</si>
  <si>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</si>
  <si>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</si>
  <si>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</si>
  <si>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</si>
  <si>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</si>
  <si>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</si>
  <si>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</si>
  <si>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</si>
  <si>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</si>
  <si>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</si>
  <si>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</si>
  <si>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Other income</t>
  </si>
  <si>
    <t>PROVISION</t>
  </si>
  <si>
    <t>OPEX</t>
  </si>
  <si>
    <t>In due</t>
  </si>
  <si>
    <t>Overdue</t>
  </si>
  <si>
    <t>UW &amp; Disbursal</t>
  </si>
  <si>
    <t>Collection &amp; aftersale service</t>
  </si>
  <si>
    <t>per disbursement amount</t>
  </si>
  <si>
    <t>Support unit</t>
  </si>
  <si>
    <t>PBT</t>
  </si>
  <si>
    <r>
      <rPr>
        <i/>
        <sz val="8"/>
        <color theme="1" tint="0.14999847407452621"/>
        <rFont val="Arial"/>
        <family val="2"/>
      </rPr>
      <t>In which:</t>
    </r>
    <r>
      <rPr>
        <sz val="8"/>
        <color theme="1" tint="0.14999847407452621"/>
        <rFont val="Arial"/>
        <family val="2"/>
      </rPr>
      <t xml:space="preserve"> PROFIT BEFORE SU</t>
    </r>
  </si>
  <si>
    <t>done</t>
  </si>
  <si>
    <t>per account</t>
  </si>
  <si>
    <t>PERFORMANCE OUTPUT</t>
  </si>
  <si>
    <t>per ticketsize</t>
  </si>
  <si>
    <t>% per year</t>
  </si>
  <si>
    <t>Interest income</t>
  </si>
  <si>
    <t>Cost of fund</t>
  </si>
  <si>
    <t>Auto MODE</t>
  </si>
  <si>
    <t>% per month</t>
  </si>
  <si>
    <t>Insurance commission</t>
  </si>
  <si>
    <t>Adjust MODE</t>
  </si>
  <si>
    <t>Lead Acquisition</t>
  </si>
  <si>
    <t>Sharing performance</t>
  </si>
  <si>
    <t>Marketing</t>
  </si>
  <si>
    <t>Collection &amp; after sale service</t>
  </si>
  <si>
    <t>Early collections</t>
  </si>
  <si>
    <t>AMC</t>
  </si>
  <si>
    <t>of application</t>
  </si>
  <si>
    <t>Supporting Units</t>
  </si>
  <si>
    <t>of account</t>
  </si>
  <si>
    <t>Indiect HR</t>
  </si>
  <si>
    <t>of submitted application</t>
  </si>
  <si>
    <t>of aproved application</t>
  </si>
  <si>
    <t>Other support units</t>
  </si>
  <si>
    <t>Inflation</t>
  </si>
  <si>
    <t>per account/month</t>
  </si>
  <si>
    <t>Collections_B1+</t>
  </si>
  <si>
    <t>Incentive</t>
  </si>
  <si>
    <t>AMC_principal collected</t>
  </si>
  <si>
    <t>per 1mVND collected amount</t>
  </si>
  <si>
    <t>Sale team</t>
  </si>
  <si>
    <t>AMC_interest collected</t>
  </si>
  <si>
    <t>Sale Mgt</t>
  </si>
  <si>
    <t>AMC_penalty collected</t>
  </si>
  <si>
    <t>MA</t>
  </si>
  <si>
    <t>CPCUW</t>
  </si>
  <si>
    <t>Net flow</t>
  </si>
  <si>
    <t>B0 - B1</t>
  </si>
  <si>
    <t>B1 - B2</t>
  </si>
  <si>
    <t>B2 - B3</t>
  </si>
  <si>
    <t>B3 - B4</t>
  </si>
  <si>
    <t>B4 - B5</t>
  </si>
  <si>
    <t>B5 - B6</t>
  </si>
  <si>
    <t>B6 - B7</t>
  </si>
  <si>
    <t>B7 - B8</t>
  </si>
  <si>
    <t>B8 - B9</t>
  </si>
  <si>
    <t>B9 - B10</t>
  </si>
  <si>
    <t>B10 - B11</t>
  </si>
  <si>
    <t>B11 - B12</t>
  </si>
  <si>
    <t>B12 - B13</t>
  </si>
  <si>
    <t>B13-B24</t>
  </si>
  <si>
    <t>B25-B36</t>
  </si>
  <si>
    <t>B36+</t>
  </si>
  <si>
    <t>Recovery rate B13-B24</t>
  </si>
  <si>
    <t>Risk cost/ Disburse</t>
  </si>
  <si>
    <t>Recovery rate B24-B36</t>
  </si>
  <si>
    <t>Riskcost/ANR</t>
  </si>
  <si>
    <t>Recovery rate B36+</t>
  </si>
  <si>
    <t>B8-B12</t>
  </si>
  <si>
    <t>B24-B36</t>
  </si>
  <si>
    <t>%B1A/B1</t>
  </si>
  <si>
    <t>Collected after WO</t>
  </si>
  <si>
    <t>Fee and Penalty</t>
  </si>
  <si>
    <t>per principle</t>
  </si>
  <si>
    <t>SAP Speadsheet</t>
  </si>
  <si>
    <t>Method</t>
  </si>
  <si>
    <t>Oustanding tenor</t>
  </si>
  <si>
    <t>Last month on book</t>
  </si>
  <si>
    <t>Interest rate</t>
  </si>
  <si>
    <t>INR rate</t>
  </si>
  <si>
    <t>COF rate</t>
  </si>
  <si>
    <t>Prepayment Penalty</t>
  </si>
  <si>
    <t>Account accumulated</t>
  </si>
  <si>
    <t>Nominal ENR</t>
  </si>
  <si>
    <t>EMI payment</t>
  </si>
  <si>
    <t>Nominal Interest</t>
  </si>
  <si>
    <t>Nominal Payment</t>
  </si>
  <si>
    <t>Schedule Payment</t>
  </si>
  <si>
    <t>SBV</t>
  </si>
  <si>
    <t>Balance by Bucket/Group</t>
  </si>
  <si>
    <t>G1</t>
  </si>
  <si>
    <t>B0</t>
  </si>
  <si>
    <t>G2</t>
  </si>
  <si>
    <t>B1</t>
  </si>
  <si>
    <t>B2</t>
  </si>
  <si>
    <t>B3</t>
  </si>
  <si>
    <t>G3</t>
  </si>
  <si>
    <t>B4</t>
  </si>
  <si>
    <t>B5</t>
  </si>
  <si>
    <t>B6</t>
  </si>
  <si>
    <t>G4</t>
  </si>
  <si>
    <t>B7</t>
  </si>
  <si>
    <t>B8</t>
  </si>
  <si>
    <t>B9</t>
  </si>
  <si>
    <t>G5</t>
  </si>
  <si>
    <t>420+</t>
  </si>
  <si>
    <t>B14+</t>
  </si>
  <si>
    <t>Total bank</t>
  </si>
  <si>
    <t>Outstanding balance</t>
  </si>
  <si>
    <t>Writeoff balance</t>
  </si>
  <si>
    <t>Outstanding Bal/TB</t>
  </si>
  <si>
    <t>ANR for CII (B0+B1A)</t>
  </si>
  <si>
    <t>Performance</t>
  </si>
  <si>
    <t>Insurrance fee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</si>
  <si>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</si>
  <si>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</si>
  <si>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</si>
  <si>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</si>
  <si>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</si>
  <si>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</si>
  <si>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</si>
  <si>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</si>
  <si>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</si>
  <si>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</si>
  <si>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</si>
  <si>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</si>
  <si>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</si>
  <si>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</si>
  <si>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</si>
  <si>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</si>
  <si>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</si>
  <si>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</si>
  <si>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</si>
  <si>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</si>
  <si>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</si>
  <si>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</si>
  <si>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</si>
  <si>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</si>
  <si>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</si>
  <si>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</si>
  <si>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</si>
  <si>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</si>
  <si>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</si>
  <si>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</si>
  <si>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</si>
  <si>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</si>
  <si>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</si>
  <si>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</si>
  <si>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</si>
  <si>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</si>
  <si>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</si>
  <si>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</si>
  <si>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</si>
  <si>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</si>
  <si>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</si>
  <si>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</si>
  <si>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</si>
  <si>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</si>
  <si>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</si>
  <si>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</si>
  <si>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</si>
  <si>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</si>
  <si>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</si>
  <si>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</si>
  <si>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</si>
  <si>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</si>
  <si>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</si>
  <si>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</si>
  <si>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</si>
  <si>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Sales incentives</t>
  </si>
  <si>
    <t>After-sales services</t>
  </si>
  <si>
    <t>In which: PROFIT BEFORE SU</t>
  </si>
  <si>
    <t>PL PROJECTION</t>
  </si>
  <si>
    <t>60 months</t>
  </si>
  <si>
    <t>Month on board</t>
  </si>
  <si>
    <t>Unit: mVND</t>
  </si>
  <si>
    <t>Sale incentive&amp;mkt</t>
  </si>
  <si>
    <t>DOP</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</si>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</sst>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_(* \(#,##0.00\);_(* &quot;-&quot;??_);_(@_)"/>
    <numFmt numFmtId="164" formatCode="_(* #,##0_);_(* \(#,##0\);_(* &quot;-&quot;??_);_(@_)"/>
    <numFmt numFmtId="165" formatCode="_(* #,##0.000_);_(* \(#,##0.000\);_(* &quot;-&quot;??_);_(@_)"/>
    <numFmt numFmtId="166" formatCode="0.000"/>
    <numFmt numFmtId="167" formatCode="0.0%"/>
    <numFmt numFmtId="168" formatCode="_(* #,##0.0000_);_(* \(#,##0.0000\);_(* &quot;-&quot;??_);_(@_)"/>
    <numFmt numFmtId="169" formatCode="_-* #,##0.00_-;\-* #,##0.00_-;_-* &quot;-&quot;??_-;_-@_-"/>
    <numFmt numFmtId="170" formatCode="_-* #,##0.0_-;\-* #,##0.0_-;_-* &quot;-&quot;??_-;_-@_-"/>
    <numFmt numFmtId="171" formatCode="_-* #,##0_-;\-* #,##0_-;_-* &quot;-&quot;??_-;_-@_-"/>
    <numFmt numFmtId="172" formatCode="_-* #,##0.00\ _₫_-;\-* #,##0.00\ _₫_-;_-* &quot;-&quot;??\ _₫_-;_-@_-"/>
    <numFmt numFmtId="173" formatCode="_-* #,##0\ _₫_-;\-* #,##0\ _₫_-;_-* &quot;-&quot;??\ _₫_-;_-@_-"/>
    <numFmt numFmtId="174" formatCode="_(* #,##0.0_);_(* \(#,##0.0\);_(* &quot;-&quot;??_);_(@_)"/>
    <numFmt numFmtId="175" formatCode="_(* #,##0.0000_);_(* \(#,##0.0000\);_(* &quot;-&quot;????_);_(@_)"/>
    <numFmt numFmtId="176" formatCode="[$-409]mmm\-yy;@"/>
    <numFmt numFmtId="177" formatCode="#,##0.0"/>
    <numFmt numFmtId="178" formatCode="[$-409]dd\-mmm\-yy;@"/>
  </numFmts>
  <fonts count="108" x14ac:knownFonts="1">
    <font>
      <sz val="12"/>
      <color theme="1"/>
      <name val="Aptos Narrow"/>
      <family val="2"/>
      <scheme val="minor"/>
    </font>
    <font>
      <sz val="12"/>
      <color theme="1"/>
      <name val="Aptos Narrow"/>
      <family val="2"/>
      <scheme val="minor"/>
    </font>
    <font>
      <b/>
      <sz val="15"/>
      <color theme="3"/>
      <name val="Aptos Narrow"/>
      <family val="2"/>
      <scheme val="minor"/>
    </font>
    <font>
      <sz val="11"/>
      <color theme="1"/>
      <name val="Aptos Narrow"/>
      <family val="2"/>
      <charset val="163"/>
      <scheme val="minor"/>
    </font>
    <font>
      <b/>
      <sz val="20"/>
      <color theme="1"/>
      <name val="Arial"/>
      <family val="2"/>
    </font>
    <font>
      <sz val="11"/>
      <color theme="1"/>
      <name val="Arial"/>
      <family val="2"/>
    </font>
    <font>
      <b/>
      <i/>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name val="Arial"/>
      <family val="2"/>
    </font>
    <font>
      <sz val="10"/>
      <color rgb="FFFF0000"/>
      <name val="Arial"/>
      <family val="2"/>
    </font>
    <font>
      <b/>
      <sz val="10"/>
      <color rgb="FFFF0000"/>
      <name val="Arial"/>
      <family val="2"/>
    </font>
    <font>
      <b/>
      <sz val="10"/>
      <color theme="1" tint="0.14999847407452621"/>
      <name val="Arial"/>
      <family val="2"/>
    </font>
    <font>
      <i/>
      <sz val="10"/>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1" tint="0.14999847407452621"/>
      <name val="Arial"/>
      <family val="2"/>
    </font>
    <font>
      <b/>
      <sz val="11"/>
      <color theme="1"/>
      <name val="Aptos Narrow"/>
      <family val="2"/>
      <scheme val="minor"/>
    </font>
    <font>
      <sz val="10"/>
      <color theme="1"/>
      <name val="Aptos Narrow"/>
      <family val="2"/>
      <scheme val="minor"/>
    </font>
    <font>
      <i/>
      <sz val="10"/>
      <color rgb="FF00B050"/>
      <name val="Aptos Narrow"/>
      <family val="2"/>
      <scheme val="minor"/>
    </font>
    <font>
      <i/>
      <sz val="11"/>
      <color rgb="FFFF0000"/>
      <name val="Aptos Narrow"/>
      <family val="2"/>
      <scheme val="minor"/>
    </font>
    <font>
      <b/>
      <sz val="11"/>
      <color theme="0"/>
      <name val="Aptos Narrow"/>
      <family val="2"/>
      <scheme val="minor"/>
    </font>
    <font>
      <b/>
      <sz val="8"/>
      <color theme="0" tint="-0.34998626667073579"/>
      <name val="Arial"/>
      <family val="2"/>
    </font>
    <font>
      <sz val="8"/>
      <name val="Arial"/>
      <family val="2"/>
    </font>
    <font>
      <sz val="11"/>
      <color rgb="FFFF0000"/>
      <name val="Aptos Narrow"/>
      <family val="2"/>
      <scheme val="minor"/>
    </font>
    <font>
      <b/>
      <i/>
      <sz val="10"/>
      <color rgb="FF00B050"/>
      <name val="Aptos Narrow"/>
      <family val="2"/>
      <scheme val="minor"/>
    </font>
    <font>
      <sz val="11"/>
      <name val="Aptos Narrow"/>
      <family val="2"/>
      <scheme val="minor"/>
    </font>
    <font>
      <i/>
      <sz val="11"/>
      <color theme="1"/>
      <name val="Aptos Narrow"/>
      <family val="2"/>
      <scheme val="minor"/>
    </font>
    <font>
      <b/>
      <sz val="11"/>
      <name val="Aptos Narrow"/>
      <family val="2"/>
      <scheme val="minor"/>
    </font>
    <font>
      <i/>
      <sz val="10"/>
      <name val="Aptos Narrow"/>
      <family val="2"/>
      <scheme val="minor"/>
    </font>
    <font>
      <i/>
      <sz val="10"/>
      <color theme="1"/>
      <name val="Aptos Narrow"/>
      <family val="2"/>
      <scheme val="minor"/>
    </font>
    <font>
      <b/>
      <sz val="10"/>
      <color theme="1"/>
      <name val="Aptos Narrow"/>
      <family val="2"/>
      <scheme val="minor"/>
    </font>
    <font>
      <sz val="11"/>
      <color rgb="FF000000"/>
      <name val="Aptos Narrow"/>
      <family val="2"/>
      <scheme val="minor"/>
    </font>
    <font>
      <b/>
      <sz val="11"/>
      <color rgb="FF000000"/>
      <name val="Aptos Narrow"/>
      <family val="2"/>
      <scheme val="minor"/>
    </font>
    <font>
      <i/>
      <sz val="11"/>
      <color rgb="FF000000"/>
      <name val="Aptos Narrow"/>
      <family val="2"/>
      <scheme val="minor"/>
    </font>
    <font>
      <sz val="11"/>
      <color rgb="FF000000"/>
      <name val="Calibri"/>
      <family val="2"/>
    </font>
    <font>
      <sz val="11"/>
      <color rgb="FF000000"/>
      <name val="Aptos Narrow"/>
      <family val="2"/>
    </font>
    <font>
      <sz val="10"/>
      <color rgb="FF000000"/>
      <name val="Aptos Narrow"/>
      <family val="2"/>
      <scheme val="minor"/>
    </font>
    <font>
      <b/>
      <sz val="10"/>
      <color rgb="FF00B050"/>
      <name val="Aptos Narrow"/>
      <family val="2"/>
      <scheme val="minor"/>
    </font>
    <font>
      <b/>
      <i/>
      <sz val="10"/>
      <color theme="1"/>
      <name val="Aptos Narrow"/>
      <family val="2"/>
      <scheme val="minor"/>
    </font>
    <font>
      <sz val="10"/>
      <name val="Aptos Narrow"/>
      <family val="2"/>
      <scheme val="minor"/>
    </font>
    <font>
      <sz val="10"/>
      <color rgb="FF444444"/>
      <name val="Aptos Narrow"/>
      <family val="2"/>
      <scheme val="minor"/>
    </font>
    <font>
      <b/>
      <sz val="9"/>
      <color indexed="81"/>
      <name val="Tahoma"/>
      <family val="2"/>
    </font>
    <font>
      <sz val="9"/>
      <color indexed="81"/>
      <name val="Tahoma"/>
      <family val="2"/>
    </font>
    <font>
      <sz val="10"/>
      <color rgb="FF000000"/>
      <name val="Tahoma"/>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name val="Arial"/>
      <family val="2"/>
    </font>
    <font>
      <i/>
      <sz val="8"/>
      <color theme="1" tint="0.499984740745262"/>
      <name val="Arial"/>
      <family val="2"/>
    </font>
    <font>
      <i/>
      <sz val="8"/>
      <color theme="1" tint="0.14999847407452621"/>
      <name val="Arial"/>
      <family val="2"/>
    </font>
    <font>
      <sz val="8"/>
      <color rgb="FFFF0000"/>
      <name val="Arial"/>
      <family val="2"/>
    </font>
    <font>
      <sz val="8"/>
      <color theme="1"/>
      <name val="Arial"/>
      <family val="2"/>
    </font>
    <font>
      <b/>
      <i/>
      <sz val="8"/>
      <color theme="1" tint="0.1499984740745262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4">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9" tint="0.79998168889431442"/>
        <bgColor indexed="64"/>
      </patternFill>
    </fill>
    <fill>
      <patternFill patternType="solid">
        <fgColor rgb="FF002060"/>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22">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top style="double">
        <color rgb="FF000000"/>
      </top>
      <bottom/>
      <diagonal/>
    </border>
    <border>
      <left/>
      <right/>
      <top/>
      <bottom style="double">
        <color rgb="FF000000"/>
      </bottom>
      <diagonal/>
    </border>
    <border>
      <left style="medium">
        <color indexed="64"/>
      </left>
      <right/>
      <top style="thin">
        <color theme="4" tint="0.39997558519241921"/>
      </top>
      <bottom/>
      <diagonal/>
    </border>
    <border>
      <left/>
      <right/>
      <top style="thin">
        <color theme="4" tint="0.39997558519241921"/>
      </top>
      <bottom style="thin">
        <color theme="4" tint="0.39997558519241921"/>
      </bottom>
      <diagonal/>
    </border>
    <border>
      <left/>
      <right/>
      <top style="double">
        <color rgb="FF000000"/>
      </top>
      <bottom style="thin">
        <color theme="4" tint="0.39997558519241921"/>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4">
    <xf numFmtId="0" fontId="0" fillId="0" borderId="0"/>
    <xf numFmtId="0" fontId="3" fillId="0" borderId="0"/>
    <xf numFmtId="0" fontId="11" fillId="0" borderId="0"/>
    <xf numFmtId="0" fontId="11" fillId="0" borderId="0"/>
    <xf numFmtId="0" fontId="30"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169"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172" fontId="3" fillId="0" borderId="0" applyFont="0" applyFill="0" applyBorder="0" applyAlignment="0" applyProtection="0"/>
    <xf numFmtId="0" fontId="89" fillId="2" borderId="2" applyNumberFormat="0" applyAlignment="0" applyProtection="0"/>
    <xf numFmtId="0" fontId="2" fillId="0" borderId="1" applyNumberFormat="0" applyFill="0" applyAlignment="0" applyProtection="0"/>
  </cellStyleXfs>
  <cellXfs count="501">
    <xf numFmtId="0" fontId="0" fillId="0" borderId="0" xfId="0"/>
    <xf numFmtId="0" fontId="4" fillId="0" borderId="0" xfId="1" applyFont="1"/>
    <xf numFmtId="0" fontId="5" fillId="0" borderId="0" xfId="1" applyFont="1"/>
    <xf numFmtId="0" fontId="6" fillId="0" borderId="0" xfId="1" applyFont="1"/>
    <xf numFmtId="0" fontId="7" fillId="0" borderId="0" xfId="1" applyFont="1"/>
    <xf numFmtId="0" fontId="8" fillId="0" borderId="0" xfId="1" applyFont="1" applyAlignment="1">
      <alignment vertical="center"/>
    </xf>
    <xf numFmtId="0" fontId="9" fillId="0" borderId="0" xfId="1" applyFont="1"/>
    <xf numFmtId="0" fontId="10" fillId="0" borderId="0" xfId="1" applyFont="1" applyAlignment="1">
      <alignment vertical="center"/>
    </xf>
    <xf numFmtId="0" fontId="5" fillId="0" borderId="0" xfId="2" quotePrefix="1" applyFont="1" applyAlignment="1">
      <alignment vertical="center"/>
    </xf>
    <xf numFmtId="0" fontId="5" fillId="0" borderId="0" xfId="2" applyFont="1"/>
    <xf numFmtId="0" fontId="13" fillId="0" borderId="0" xfId="1" applyFont="1"/>
    <xf numFmtId="0" fontId="13" fillId="0" borderId="0" xfId="2" quotePrefix="1" applyFont="1" applyAlignment="1">
      <alignment vertical="center"/>
    </xf>
    <xf numFmtId="0" fontId="5" fillId="3" borderId="0" xfId="2" quotePrefix="1" applyFont="1" applyFill="1" applyAlignment="1">
      <alignment vertical="center"/>
    </xf>
    <xf numFmtId="0" fontId="5" fillId="3" borderId="0" xfId="1" applyFont="1" applyFill="1"/>
    <xf numFmtId="0" fontId="5" fillId="0" borderId="0" xfId="2" quotePrefix="1" applyFont="1"/>
    <xf numFmtId="0" fontId="5" fillId="0" borderId="0" xfId="1" quotePrefix="1" applyFont="1"/>
    <xf numFmtId="0" fontId="14" fillId="0" borderId="3" xfId="3" applyFont="1" applyBorder="1"/>
    <xf numFmtId="0" fontId="15" fillId="0" borderId="3" xfId="3" applyFont="1" applyBorder="1"/>
    <xf numFmtId="0" fontId="16" fillId="0" borderId="3" xfId="3" applyFont="1" applyBorder="1"/>
    <xf numFmtId="0" fontId="17" fillId="0" borderId="3" xfId="3" applyFont="1" applyBorder="1"/>
    <xf numFmtId="0" fontId="18" fillId="0" borderId="0" xfId="1" applyFont="1" applyAlignment="1">
      <alignment vertical="center"/>
    </xf>
    <xf numFmtId="0" fontId="12" fillId="0" borderId="0" xfId="1" applyFont="1"/>
    <xf numFmtId="0" fontId="12" fillId="0" borderId="0" xfId="2" applyFont="1"/>
    <xf numFmtId="0" fontId="18" fillId="0" borderId="0" xfId="1" applyFont="1"/>
    <xf numFmtId="0" fontId="19" fillId="0" borderId="0" xfId="3" applyFont="1"/>
    <xf numFmtId="0" fontId="20" fillId="0" borderId="0" xfId="2" applyFont="1"/>
    <xf numFmtId="0" fontId="21" fillId="0" borderId="0" xfId="1" applyFont="1"/>
    <xf numFmtId="0" fontId="20" fillId="0" borderId="0" xfId="1" applyFont="1"/>
    <xf numFmtId="0" fontId="22" fillId="0" borderId="0" xfId="1" applyFont="1"/>
    <xf numFmtId="0" fontId="14" fillId="0" borderId="0" xfId="3" applyFont="1"/>
    <xf numFmtId="0" fontId="23" fillId="0" borderId="0" xfId="3" applyFont="1"/>
    <xf numFmtId="0" fontId="24" fillId="0" borderId="0" xfId="1" applyFont="1"/>
    <xf numFmtId="0" fontId="24" fillId="0" borderId="0" xfId="2" applyFont="1"/>
    <xf numFmtId="0" fontId="25" fillId="0" borderId="0" xfId="1" applyFont="1"/>
    <xf numFmtId="0" fontId="22" fillId="0" borderId="0" xfId="1" quotePrefix="1" applyFont="1"/>
    <xf numFmtId="0" fontId="20" fillId="0" borderId="0" xfId="2" quotePrefix="1" applyFont="1" applyAlignment="1">
      <alignment vertical="center"/>
    </xf>
    <xf numFmtId="0" fontId="26" fillId="0" borderId="0" xfId="3" applyFont="1"/>
    <xf numFmtId="0" fontId="27" fillId="0" borderId="0" xfId="3" applyFont="1"/>
    <xf numFmtId="0" fontId="28" fillId="0" borderId="0" xfId="1" applyFont="1"/>
    <xf numFmtId="0" fontId="29" fillId="0" borderId="0" xfId="3" applyFont="1"/>
    <xf numFmtId="0" fontId="30" fillId="0" borderId="0" xfId="4" quotePrefix="1"/>
    <xf numFmtId="0" fontId="30" fillId="0" borderId="0" xfId="4" applyAlignment="1">
      <alignment vertical="center"/>
    </xf>
    <xf numFmtId="0" fontId="31" fillId="0" borderId="0" xfId="1" quotePrefix="1" applyFont="1"/>
    <xf numFmtId="0" fontId="5" fillId="0" borderId="0" xfId="2" applyFont="1" applyAlignment="1">
      <alignment vertical="center"/>
    </xf>
    <xf numFmtId="0" fontId="32" fillId="0" borderId="3" xfId="3" applyFont="1" applyBorder="1"/>
    <xf numFmtId="0" fontId="26" fillId="0" borderId="3" xfId="3" applyFont="1" applyBorder="1"/>
    <xf numFmtId="0" fontId="33" fillId="0" borderId="3" xfId="3" applyFont="1" applyBorder="1"/>
    <xf numFmtId="0" fontId="26" fillId="0" borderId="0" xfId="3" applyFont="1" applyAlignment="1">
      <alignment horizontal="left" vertical="center"/>
    </xf>
    <xf numFmtId="0" fontId="34" fillId="0" borderId="0" xfId="3" applyFont="1"/>
    <xf numFmtId="0" fontId="35" fillId="0" borderId="0" xfId="3" applyFont="1"/>
    <xf numFmtId="0" fontId="36" fillId="0" borderId="0" xfId="3" applyFont="1"/>
    <xf numFmtId="0" fontId="37" fillId="0" borderId="0" xfId="3" applyFont="1"/>
    <xf numFmtId="0" fontId="11" fillId="0" borderId="0" xfId="3"/>
    <xf numFmtId="164" fontId="0" fillId="0" borderId="0" xfId="5" applyNumberFormat="1" applyFont="1"/>
    <xf numFmtId="0" fontId="38" fillId="0" borderId="0" xfId="3" applyFont="1"/>
    <xf numFmtId="0" fontId="11" fillId="3" borderId="0" xfId="3" applyFill="1"/>
    <xf numFmtId="10" fontId="11" fillId="3" borderId="0" xfId="3" applyNumberFormat="1" applyFill="1"/>
    <xf numFmtId="164" fontId="0" fillId="4" borderId="0" xfId="5" applyNumberFormat="1" applyFont="1" applyFill="1"/>
    <xf numFmtId="0" fontId="11" fillId="0" borderId="4" xfId="3" applyBorder="1"/>
    <xf numFmtId="164" fontId="0" fillId="0" borderId="4" xfId="5" applyNumberFormat="1" applyFont="1" applyBorder="1"/>
    <xf numFmtId="164" fontId="0" fillId="3" borderId="4" xfId="5" applyNumberFormat="1" applyFont="1" applyFill="1" applyBorder="1"/>
    <xf numFmtId="0" fontId="11" fillId="3" borderId="4" xfId="3" applyFill="1" applyBorder="1"/>
    <xf numFmtId="17" fontId="11" fillId="0" borderId="4" xfId="3" applyNumberFormat="1" applyBorder="1"/>
    <xf numFmtId="43" fontId="0" fillId="0" borderId="4" xfId="5" applyFont="1" applyFill="1" applyBorder="1"/>
    <xf numFmtId="3" fontId="11" fillId="0" borderId="5" xfId="3" applyNumberFormat="1" applyBorder="1"/>
    <xf numFmtId="17" fontId="11" fillId="0" borderId="0" xfId="3" applyNumberFormat="1"/>
    <xf numFmtId="164" fontId="0" fillId="0" borderId="0" xfId="5" applyNumberFormat="1" applyFont="1" applyBorder="1"/>
    <xf numFmtId="1" fontId="11" fillId="0" borderId="0" xfId="3" applyNumberFormat="1"/>
    <xf numFmtId="10" fontId="11" fillId="0" borderId="0" xfId="3" applyNumberFormat="1"/>
    <xf numFmtId="9" fontId="0" fillId="0" borderId="0" xfId="6" applyFont="1" applyBorder="1"/>
    <xf numFmtId="164" fontId="11" fillId="0" borderId="0" xfId="3" applyNumberFormat="1"/>
    <xf numFmtId="165" fontId="0" fillId="0" borderId="0" xfId="5" applyNumberFormat="1" applyFont="1" applyBorder="1"/>
    <xf numFmtId="10" fontId="0" fillId="0" borderId="0" xfId="6" applyNumberFormat="1" applyFont="1" applyBorder="1"/>
    <xf numFmtId="165" fontId="0" fillId="3" borderId="0" xfId="5" applyNumberFormat="1" applyFont="1" applyFill="1"/>
    <xf numFmtId="166" fontId="11" fillId="3" borderId="0" xfId="3" applyNumberFormat="1" applyFill="1"/>
    <xf numFmtId="10" fontId="0" fillId="3" borderId="0" xfId="6" applyNumberFormat="1" applyFont="1" applyFill="1"/>
    <xf numFmtId="167" fontId="0" fillId="3" borderId="0" xfId="6" applyNumberFormat="1" applyFont="1" applyFill="1"/>
    <xf numFmtId="0" fontId="11" fillId="4" borderId="0" xfId="3" applyFill="1"/>
    <xf numFmtId="168" fontId="11" fillId="3" borderId="0" xfId="3" applyNumberFormat="1" applyFill="1"/>
    <xf numFmtId="164" fontId="0" fillId="0" borderId="0" xfId="5" applyNumberFormat="1" applyFont="1" applyFill="1" applyBorder="1"/>
    <xf numFmtId="0" fontId="39" fillId="0" borderId="5" xfId="3" applyFont="1" applyBorder="1"/>
    <xf numFmtId="0" fontId="40" fillId="0" borderId="5" xfId="3" applyFont="1" applyBorder="1"/>
    <xf numFmtId="164" fontId="0" fillId="0" borderId="5" xfId="5" applyNumberFormat="1" applyFont="1" applyBorder="1"/>
    <xf numFmtId="165" fontId="11" fillId="3" borderId="0" xfId="3" applyNumberFormat="1" applyFill="1"/>
    <xf numFmtId="164" fontId="0" fillId="0" borderId="5" xfId="5" applyNumberFormat="1" applyFont="1" applyFill="1" applyBorder="1"/>
    <xf numFmtId="164" fontId="41" fillId="0" borderId="0" xfId="5" applyNumberFormat="1" applyFont="1"/>
    <xf numFmtId="169" fontId="11" fillId="0" borderId="0" xfId="3" applyNumberFormat="1"/>
    <xf numFmtId="17" fontId="42" fillId="5" borderId="0" xfId="3" applyNumberFormat="1" applyFont="1" applyFill="1" applyAlignment="1">
      <alignment horizontal="center" vertical="center"/>
    </xf>
    <xf numFmtId="9" fontId="11" fillId="0" borderId="0" xfId="3" applyNumberFormat="1"/>
    <xf numFmtId="43" fontId="11" fillId="0" borderId="0" xfId="3" applyNumberFormat="1"/>
    <xf numFmtId="164" fontId="0" fillId="4" borderId="5" xfId="5" applyNumberFormat="1" applyFont="1" applyFill="1" applyBorder="1"/>
    <xf numFmtId="43" fontId="0" fillId="3" borderId="0" xfId="6" applyNumberFormat="1" applyFont="1" applyFill="1"/>
    <xf numFmtId="0" fontId="38" fillId="0" borderId="4" xfId="3" applyFont="1" applyBorder="1"/>
    <xf numFmtId="10" fontId="11" fillId="0" borderId="4" xfId="3" applyNumberFormat="1" applyBorder="1"/>
    <xf numFmtId="9" fontId="0" fillId="0" borderId="4" xfId="6" applyFont="1" applyBorder="1"/>
    <xf numFmtId="10" fontId="0" fillId="0" borderId="4" xfId="6" applyNumberFormat="1" applyFont="1" applyBorder="1"/>
    <xf numFmtId="167" fontId="0" fillId="0" borderId="4" xfId="6" applyNumberFormat="1" applyFont="1" applyBorder="1"/>
    <xf numFmtId="10" fontId="0" fillId="0" borderId="4" xfId="6" applyNumberFormat="1" applyFont="1" applyFill="1" applyBorder="1"/>
    <xf numFmtId="0" fontId="36" fillId="0" borderId="4" xfId="3" applyFont="1" applyBorder="1" applyAlignment="1">
      <alignment horizontal="center" vertical="center" wrapText="1"/>
    </xf>
    <xf numFmtId="164" fontId="43" fillId="0" borderId="4" xfId="5" applyNumberFormat="1" applyFont="1" applyBorder="1" applyAlignment="1">
      <alignment horizontal="center" vertical="center" wrapText="1"/>
    </xf>
    <xf numFmtId="164" fontId="36" fillId="0" borderId="4" xfId="5" applyNumberFormat="1" applyFont="1" applyBorder="1" applyAlignment="1">
      <alignment horizontal="center" vertical="center" wrapText="1"/>
    </xf>
    <xf numFmtId="0" fontId="11" fillId="0" borderId="4" xfId="3" applyBorder="1" applyAlignment="1">
      <alignment horizontal="center" vertical="center"/>
    </xf>
    <xf numFmtId="10" fontId="44" fillId="3" borderId="4" xfId="6" applyNumberFormat="1" applyFont="1" applyFill="1" applyBorder="1" applyAlignment="1">
      <alignment horizontal="right"/>
    </xf>
    <xf numFmtId="164" fontId="37" fillId="3" borderId="4" xfId="5" applyNumberFormat="1" applyFont="1" applyFill="1" applyBorder="1" applyAlignment="1">
      <alignment horizontal="right"/>
    </xf>
    <xf numFmtId="43" fontId="44" fillId="3" borderId="4" xfId="5" applyFont="1" applyFill="1" applyBorder="1" applyAlignment="1">
      <alignment horizontal="right"/>
    </xf>
    <xf numFmtId="16" fontId="11" fillId="0" borderId="4" xfId="3" quotePrefix="1" applyNumberFormat="1" applyBorder="1" applyAlignment="1">
      <alignment horizontal="center" vertical="center"/>
    </xf>
    <xf numFmtId="10" fontId="44" fillId="3" borderId="4" xfId="7" applyNumberFormat="1" applyFont="1" applyFill="1" applyBorder="1" applyAlignment="1">
      <alignment horizontal="right"/>
    </xf>
    <xf numFmtId="164" fontId="44" fillId="3" borderId="4" xfId="5" applyNumberFormat="1" applyFont="1" applyFill="1" applyBorder="1" applyAlignment="1">
      <alignment horizontal="right"/>
    </xf>
    <xf numFmtId="10" fontId="0" fillId="0" borderId="0" xfId="6" applyNumberFormat="1" applyFont="1"/>
    <xf numFmtId="167" fontId="0" fillId="0" borderId="0" xfId="6" applyNumberFormat="1" applyFont="1"/>
    <xf numFmtId="9" fontId="0" fillId="0" borderId="0" xfId="5" applyNumberFormat="1" applyFont="1"/>
    <xf numFmtId="0" fontId="45" fillId="0" borderId="0" xfId="3" applyFont="1"/>
    <xf numFmtId="3" fontId="11" fillId="0" borderId="0" xfId="3" applyNumberFormat="1"/>
    <xf numFmtId="9" fontId="0" fillId="3" borderId="0" xfId="6" applyFont="1" applyFill="1"/>
    <xf numFmtId="0" fontId="40" fillId="0" borderId="0" xfId="3" applyFont="1"/>
    <xf numFmtId="43" fontId="0" fillId="0" borderId="0" xfId="5" applyFont="1"/>
    <xf numFmtId="9" fontId="0" fillId="0" borderId="0" xfId="7" applyFont="1"/>
    <xf numFmtId="2" fontId="46" fillId="0" borderId="6" xfId="3" applyNumberFormat="1" applyFont="1" applyBorder="1"/>
    <xf numFmtId="2" fontId="46" fillId="0" borderId="5" xfId="3" applyNumberFormat="1" applyFont="1" applyBorder="1"/>
    <xf numFmtId="2" fontId="42" fillId="0" borderId="5" xfId="3" applyNumberFormat="1" applyFont="1" applyBorder="1"/>
    <xf numFmtId="2" fontId="42" fillId="5" borderId="5" xfId="3" applyNumberFormat="1" applyFont="1" applyFill="1" applyBorder="1" applyAlignment="1">
      <alignment horizontal="left" vertical="center"/>
    </xf>
    <xf numFmtId="0" fontId="40" fillId="0" borderId="6" xfId="3" applyFont="1" applyBorder="1"/>
    <xf numFmtId="0" fontId="11" fillId="0" borderId="5" xfId="3" applyBorder="1"/>
    <xf numFmtId="17" fontId="42" fillId="5" borderId="5" xfId="3" applyNumberFormat="1" applyFont="1" applyFill="1" applyBorder="1" applyAlignment="1">
      <alignment horizontal="left" vertical="center"/>
    </xf>
    <xf numFmtId="1" fontId="40" fillId="0" borderId="5" xfId="5" applyNumberFormat="1" applyFont="1" applyFill="1" applyBorder="1"/>
    <xf numFmtId="164" fontId="11" fillId="0" borderId="5" xfId="3" applyNumberFormat="1" applyBorder="1"/>
    <xf numFmtId="17" fontId="47" fillId="0" borderId="5" xfId="3" applyNumberFormat="1" applyFont="1" applyBorder="1" applyAlignment="1">
      <alignment horizontal="left" vertical="center"/>
    </xf>
    <xf numFmtId="164" fontId="48" fillId="0" borderId="5" xfId="5" applyNumberFormat="1" applyFont="1" applyFill="1" applyBorder="1" applyAlignment="1">
      <alignment horizontal="left" indent="1"/>
    </xf>
    <xf numFmtId="164" fontId="48" fillId="0" borderId="5" xfId="3" applyNumberFormat="1" applyFont="1" applyBorder="1"/>
    <xf numFmtId="10" fontId="11" fillId="0" borderId="5" xfId="3" applyNumberFormat="1" applyBorder="1"/>
    <xf numFmtId="17" fontId="49" fillId="0" borderId="5" xfId="3" applyNumberFormat="1" applyFont="1" applyBorder="1" applyAlignment="1">
      <alignment horizontal="left" vertical="center"/>
    </xf>
    <xf numFmtId="164" fontId="38" fillId="0" borderId="5" xfId="3" applyNumberFormat="1" applyFont="1" applyBorder="1"/>
    <xf numFmtId="17" fontId="49" fillId="0" borderId="5" xfId="3" applyNumberFormat="1" applyFont="1" applyBorder="1" applyAlignment="1">
      <alignment horizontal="left" vertical="center" indent="1"/>
    </xf>
    <xf numFmtId="164" fontId="40" fillId="0" borderId="5" xfId="3" applyNumberFormat="1" applyFont="1" applyBorder="1"/>
    <xf numFmtId="164" fontId="0" fillId="0" borderId="5" xfId="5" applyNumberFormat="1" applyFont="1" applyFill="1" applyBorder="1" applyAlignment="1">
      <alignment horizontal="left" indent="2"/>
    </xf>
    <xf numFmtId="0" fontId="50" fillId="0" borderId="5" xfId="3" applyFont="1" applyBorder="1" applyAlignment="1">
      <alignment horizontal="left" indent="3"/>
    </xf>
    <xf numFmtId="164" fontId="51" fillId="0" borderId="5" xfId="3" applyNumberFormat="1" applyFont="1" applyBorder="1"/>
    <xf numFmtId="164" fontId="39" fillId="0" borderId="5" xfId="3" applyNumberFormat="1" applyFont="1" applyBorder="1"/>
    <xf numFmtId="0" fontId="46" fillId="0" borderId="5" xfId="3" applyFont="1" applyBorder="1"/>
    <xf numFmtId="164" fontId="52" fillId="0" borderId="5" xfId="3" applyNumberFormat="1" applyFont="1" applyBorder="1"/>
    <xf numFmtId="164" fontId="38" fillId="0" borderId="5" xfId="5" applyNumberFormat="1" applyFont="1" applyFill="1" applyBorder="1"/>
    <xf numFmtId="10" fontId="0" fillId="0" borderId="0" xfId="7" applyNumberFormat="1" applyFont="1"/>
    <xf numFmtId="164" fontId="0" fillId="0" borderId="5" xfId="5" applyNumberFormat="1" applyFont="1" applyFill="1" applyBorder="1" applyAlignment="1">
      <alignment horizontal="left" indent="1"/>
    </xf>
    <xf numFmtId="3" fontId="53" fillId="0" borderId="5" xfId="3" applyNumberFormat="1" applyFont="1" applyBorder="1"/>
    <xf numFmtId="164" fontId="11" fillId="0" borderId="5" xfId="3" applyNumberFormat="1" applyBorder="1" applyAlignment="1">
      <alignment horizontal="left" indent="1"/>
    </xf>
    <xf numFmtId="164" fontId="54" fillId="0" borderId="7" xfId="3" applyNumberFormat="1" applyFont="1" applyBorder="1"/>
    <xf numFmtId="164" fontId="55" fillId="0" borderId="5" xfId="3" applyNumberFormat="1" applyFont="1" applyBorder="1"/>
    <xf numFmtId="164" fontId="54" fillId="0" borderId="0" xfId="3" applyNumberFormat="1" applyFont="1"/>
    <xf numFmtId="0" fontId="54" fillId="0" borderId="5" xfId="3" applyFont="1" applyBorder="1"/>
    <xf numFmtId="164" fontId="54" fillId="0" borderId="5" xfId="3" applyNumberFormat="1" applyFont="1" applyBorder="1"/>
    <xf numFmtId="170" fontId="54" fillId="0" borderId="5" xfId="3" applyNumberFormat="1" applyFont="1" applyBorder="1"/>
    <xf numFmtId="164" fontId="56" fillId="0" borderId="5" xfId="5" applyNumberFormat="1" applyFont="1" applyFill="1" applyBorder="1"/>
    <xf numFmtId="0" fontId="57" fillId="0" borderId="0" xfId="3" applyFont="1"/>
    <xf numFmtId="164" fontId="0" fillId="0" borderId="5" xfId="5" applyNumberFormat="1" applyFont="1" applyFill="1" applyBorder="1" applyAlignment="1">
      <alignment horizontal="right"/>
    </xf>
    <xf numFmtId="164" fontId="11" fillId="0" borderId="5" xfId="3" applyNumberFormat="1" applyBorder="1" applyAlignment="1">
      <alignment horizontal="right"/>
    </xf>
    <xf numFmtId="164" fontId="48" fillId="0" borderId="5" xfId="5" applyNumberFormat="1" applyFont="1" applyFill="1" applyBorder="1"/>
    <xf numFmtId="164" fontId="48" fillId="0" borderId="5" xfId="5" applyNumberFormat="1" applyFont="1" applyFill="1" applyBorder="1" applyAlignment="1">
      <alignment horizontal="right"/>
    </xf>
    <xf numFmtId="164" fontId="48" fillId="0" borderId="5" xfId="3" applyNumberFormat="1" applyFont="1" applyBorder="1" applyAlignment="1">
      <alignment horizontal="right"/>
    </xf>
    <xf numFmtId="164" fontId="48" fillId="0" borderId="5" xfId="5" applyNumberFormat="1" applyFont="1" applyBorder="1"/>
    <xf numFmtId="3" fontId="55" fillId="0" borderId="5" xfId="3" applyNumberFormat="1" applyFont="1" applyBorder="1"/>
    <xf numFmtId="0" fontId="50" fillId="0" borderId="5" xfId="3" applyFont="1" applyBorder="1" applyAlignment="1">
      <alignment horizontal="left" indent="4"/>
    </xf>
    <xf numFmtId="164" fontId="58" fillId="0" borderId="5" xfId="5" applyNumberFormat="1" applyFont="1" applyFill="1" applyBorder="1"/>
    <xf numFmtId="164" fontId="51" fillId="0" borderId="5" xfId="5" applyNumberFormat="1" applyFont="1" applyFill="1" applyBorder="1"/>
    <xf numFmtId="164" fontId="51" fillId="0" borderId="5" xfId="5" applyNumberFormat="1" applyFont="1" applyBorder="1"/>
    <xf numFmtId="3" fontId="51" fillId="0" borderId="5" xfId="3" applyNumberFormat="1" applyFont="1" applyBorder="1"/>
    <xf numFmtId="0" fontId="59" fillId="0" borderId="5" xfId="3" applyFont="1" applyBorder="1"/>
    <xf numFmtId="164" fontId="52" fillId="0" borderId="5" xfId="5" applyNumberFormat="1" applyFont="1" applyFill="1" applyBorder="1"/>
    <xf numFmtId="164" fontId="38" fillId="0" borderId="5" xfId="5" applyNumberFormat="1" applyFont="1" applyBorder="1"/>
    <xf numFmtId="3" fontId="38" fillId="0" borderId="5" xfId="3" applyNumberFormat="1" applyFont="1" applyBorder="1"/>
    <xf numFmtId="164" fontId="0" fillId="0" borderId="5" xfId="5" applyNumberFormat="1" applyFont="1" applyFill="1" applyBorder="1" applyAlignment="1">
      <alignment wrapText="1"/>
    </xf>
    <xf numFmtId="164" fontId="0" fillId="0" borderId="5" xfId="8" applyNumberFormat="1" applyFont="1" applyFill="1" applyBorder="1"/>
    <xf numFmtId="0" fontId="11" fillId="0" borderId="8" xfId="3" applyBorder="1"/>
    <xf numFmtId="0" fontId="40" fillId="0" borderId="7" xfId="3" applyFont="1" applyBorder="1"/>
    <xf numFmtId="0" fontId="39" fillId="0" borderId="7" xfId="3" applyFont="1" applyBorder="1"/>
    <xf numFmtId="164" fontId="54" fillId="6" borderId="7" xfId="3" applyNumberFormat="1" applyFont="1" applyFill="1" applyBorder="1"/>
    <xf numFmtId="0" fontId="53" fillId="0" borderId="5" xfId="3" applyFont="1" applyBorder="1"/>
    <xf numFmtId="0" fontId="57" fillId="0" borderId="5" xfId="3" applyFont="1" applyBorder="1"/>
    <xf numFmtId="10" fontId="0" fillId="0" borderId="5" xfId="5" applyNumberFormat="1" applyFont="1" applyFill="1" applyBorder="1"/>
    <xf numFmtId="164" fontId="60" fillId="0" borderId="5" xfId="3" applyNumberFormat="1" applyFont="1" applyBorder="1"/>
    <xf numFmtId="164" fontId="60" fillId="0" borderId="5" xfId="5" applyNumberFormat="1" applyFont="1" applyFill="1" applyBorder="1"/>
    <xf numFmtId="164" fontId="53" fillId="0" borderId="5" xfId="5" applyNumberFormat="1" applyFont="1" applyFill="1" applyBorder="1"/>
    <xf numFmtId="37" fontId="48" fillId="0" borderId="5" xfId="5" applyNumberFormat="1" applyFont="1" applyFill="1" applyBorder="1"/>
    <xf numFmtId="37" fontId="48" fillId="0" borderId="5" xfId="5" applyNumberFormat="1" applyFont="1" applyBorder="1"/>
    <xf numFmtId="164" fontId="0" fillId="0" borderId="5" xfId="5" applyNumberFormat="1" applyFont="1" applyFill="1" applyBorder="1" applyAlignment="1">
      <alignment horizontal="left" indent="3"/>
    </xf>
    <xf numFmtId="3" fontId="54" fillId="0" borderId="5" xfId="3" applyNumberFormat="1" applyFont="1" applyBorder="1"/>
    <xf numFmtId="164" fontId="38" fillId="0" borderId="5" xfId="5" applyNumberFormat="1" applyFont="1" applyFill="1" applyBorder="1" applyAlignment="1">
      <alignment horizontal="right" wrapText="1"/>
    </xf>
    <xf numFmtId="171" fontId="53" fillId="0" borderId="5" xfId="3" applyNumberFormat="1" applyFont="1" applyBorder="1"/>
    <xf numFmtId="164" fontId="38" fillId="0" borderId="5" xfId="5" applyNumberFormat="1" applyFont="1" applyFill="1" applyBorder="1" applyAlignment="1">
      <alignment horizontal="right"/>
    </xf>
    <xf numFmtId="171" fontId="48" fillId="0" borderId="5" xfId="3" applyNumberFormat="1" applyFont="1" applyBorder="1"/>
    <xf numFmtId="10" fontId="51" fillId="0" borderId="5" xfId="7" applyNumberFormat="1" applyFont="1" applyFill="1" applyBorder="1"/>
    <xf numFmtId="164" fontId="1" fillId="0" borderId="5" xfId="9" applyNumberFormat="1" applyFont="1" applyFill="1" applyBorder="1"/>
    <xf numFmtId="164" fontId="0" fillId="0" borderId="5" xfId="8" applyNumberFormat="1" applyFont="1" applyBorder="1"/>
    <xf numFmtId="164" fontId="39" fillId="0" borderId="5" xfId="5" applyNumberFormat="1" applyFont="1" applyFill="1" applyBorder="1"/>
    <xf numFmtId="0" fontId="61" fillId="0" borderId="5" xfId="3" applyFont="1" applyBorder="1"/>
    <xf numFmtId="10" fontId="48" fillId="0" borderId="5" xfId="5" applyNumberFormat="1" applyFont="1" applyFill="1" applyBorder="1"/>
    <xf numFmtId="0" fontId="39" fillId="0" borderId="0" xfId="3" applyFont="1"/>
    <xf numFmtId="164" fontId="53" fillId="0" borderId="5" xfId="5" applyNumberFormat="1" applyFont="1" applyBorder="1"/>
    <xf numFmtId="167" fontId="0" fillId="0" borderId="5" xfId="5" applyNumberFormat="1" applyFont="1" applyFill="1" applyBorder="1"/>
    <xf numFmtId="164" fontId="53" fillId="0" borderId="5" xfId="3" applyNumberFormat="1" applyFont="1" applyBorder="1"/>
    <xf numFmtId="164" fontId="11" fillId="0" borderId="5" xfId="3" applyNumberFormat="1" applyBorder="1" applyAlignment="1">
      <alignment wrapText="1"/>
    </xf>
    <xf numFmtId="3" fontId="54" fillId="0" borderId="5" xfId="3" applyNumberFormat="1" applyFont="1" applyBorder="1" applyAlignment="1">
      <alignment wrapText="1"/>
    </xf>
    <xf numFmtId="164" fontId="48" fillId="0" borderId="5" xfId="5" applyNumberFormat="1" applyFont="1" applyFill="1" applyBorder="1" applyAlignment="1">
      <alignment horizontal="left" indent="3"/>
    </xf>
    <xf numFmtId="0" fontId="58" fillId="0" borderId="5" xfId="3" applyFont="1" applyBorder="1"/>
    <xf numFmtId="0" fontId="62" fillId="0" borderId="5" xfId="3" applyFont="1" applyBorder="1"/>
    <xf numFmtId="164" fontId="54" fillId="0" borderId="5" xfId="5" applyNumberFormat="1" applyFont="1" applyFill="1" applyBorder="1"/>
    <xf numFmtId="164" fontId="54" fillId="0" borderId="5" xfId="5" applyNumberFormat="1" applyFont="1" applyBorder="1"/>
    <xf numFmtId="3" fontId="38" fillId="0" borderId="9" xfId="3" applyNumberFormat="1" applyFont="1" applyBorder="1"/>
    <xf numFmtId="0" fontId="40" fillId="0" borderId="10" xfId="3" applyFont="1" applyBorder="1"/>
    <xf numFmtId="0" fontId="39" fillId="0" borderId="10" xfId="3" applyFont="1" applyBorder="1"/>
    <xf numFmtId="164" fontId="54" fillId="0" borderId="11" xfId="3" applyNumberFormat="1" applyFont="1" applyBorder="1"/>
    <xf numFmtId="3" fontId="60" fillId="0" borderId="5" xfId="3" applyNumberFormat="1" applyFont="1" applyBorder="1"/>
    <xf numFmtId="167" fontId="11" fillId="0" borderId="0" xfId="3" applyNumberFormat="1"/>
    <xf numFmtId="16" fontId="11" fillId="0" borderId="0" xfId="3" applyNumberFormat="1"/>
    <xf numFmtId="0" fontId="38" fillId="3" borderId="0" xfId="3" applyFont="1" applyFill="1"/>
    <xf numFmtId="164" fontId="45" fillId="4" borderId="0" xfId="5" applyNumberFormat="1" applyFont="1" applyFill="1"/>
    <xf numFmtId="3" fontId="45" fillId="4" borderId="5" xfId="3" applyNumberFormat="1" applyFont="1" applyFill="1" applyBorder="1"/>
    <xf numFmtId="164" fontId="45" fillId="4" borderId="5" xfId="3" applyNumberFormat="1" applyFont="1" applyFill="1" applyBorder="1" applyAlignment="1">
      <alignment horizontal="right"/>
    </xf>
    <xf numFmtId="164" fontId="45" fillId="4" borderId="5" xfId="5" applyNumberFormat="1" applyFont="1" applyFill="1" applyBorder="1"/>
    <xf numFmtId="164" fontId="45" fillId="4" borderId="0" xfId="5" applyNumberFormat="1" applyFont="1" applyFill="1" applyBorder="1"/>
    <xf numFmtId="164" fontId="41" fillId="4" borderId="5" xfId="5" applyNumberFormat="1" applyFont="1" applyFill="1" applyBorder="1"/>
    <xf numFmtId="37" fontId="41" fillId="4" borderId="5" xfId="5" applyNumberFormat="1" applyFont="1" applyFill="1" applyBorder="1"/>
    <xf numFmtId="10" fontId="0" fillId="3" borderId="0" xfId="7" applyNumberFormat="1" applyFont="1" applyFill="1"/>
    <xf numFmtId="0" fontId="11" fillId="0" borderId="0" xfId="3" applyAlignment="1">
      <alignment horizontal="left"/>
    </xf>
    <xf numFmtId="0" fontId="45" fillId="4" borderId="0" xfId="3" applyFont="1" applyFill="1"/>
    <xf numFmtId="0" fontId="66" fillId="0" borderId="0" xfId="3" applyFont="1"/>
    <xf numFmtId="0" fontId="67" fillId="0" borderId="0" xfId="3" applyFont="1"/>
    <xf numFmtId="0" fontId="68" fillId="0" borderId="0" xfId="3" applyFont="1"/>
    <xf numFmtId="0" fontId="69" fillId="0" borderId="0" xfId="3" applyFont="1"/>
    <xf numFmtId="0" fontId="70" fillId="0" borderId="0" xfId="3" applyFont="1"/>
    <xf numFmtId="43" fontId="68" fillId="0" borderId="0" xfId="10" applyFont="1" applyFill="1" applyBorder="1"/>
    <xf numFmtId="0" fontId="71" fillId="0" borderId="0" xfId="3" applyFont="1"/>
    <xf numFmtId="0" fontId="72" fillId="0" borderId="0" xfId="3" applyFont="1"/>
    <xf numFmtId="1" fontId="72" fillId="0" borderId="0" xfId="3" applyNumberFormat="1" applyFont="1"/>
    <xf numFmtId="10" fontId="72" fillId="0" borderId="0" xfId="7" applyNumberFormat="1" applyFont="1" applyFill="1" applyBorder="1"/>
    <xf numFmtId="0" fontId="25" fillId="0" borderId="0" xfId="3" applyFont="1"/>
    <xf numFmtId="43" fontId="72" fillId="0" borderId="0" xfId="10" applyFont="1" applyFill="1" applyBorder="1"/>
    <xf numFmtId="0" fontId="73" fillId="0" borderId="0" xfId="3" applyFont="1"/>
    <xf numFmtId="0" fontId="24" fillId="0" borderId="0" xfId="3" applyFont="1"/>
    <xf numFmtId="10" fontId="44" fillId="0" borderId="0" xfId="7" applyNumberFormat="1" applyFont="1" applyFill="1" applyBorder="1"/>
    <xf numFmtId="0" fontId="74" fillId="0" borderId="0" xfId="3" applyFont="1"/>
    <xf numFmtId="0" fontId="20" fillId="0" borderId="0" xfId="3" applyFont="1"/>
    <xf numFmtId="0" fontId="33" fillId="0" borderId="0" xfId="3" applyFont="1"/>
    <xf numFmtId="0" fontId="26" fillId="0" borderId="12" xfId="3" applyFont="1" applyBorder="1"/>
    <xf numFmtId="0" fontId="75" fillId="0" borderId="0" xfId="3" applyFont="1"/>
    <xf numFmtId="0" fontId="26" fillId="0" borderId="12" xfId="3" applyFont="1" applyBorder="1" applyAlignment="1">
      <alignment horizontal="right"/>
    </xf>
    <xf numFmtId="1" fontId="75" fillId="0" borderId="0" xfId="3" applyNumberFormat="1" applyFont="1"/>
    <xf numFmtId="0" fontId="30" fillId="0" borderId="0" xfId="4" applyAlignment="1" applyProtection="1"/>
    <xf numFmtId="0" fontId="26" fillId="0" borderId="13" xfId="3" applyFont="1" applyBorder="1"/>
    <xf numFmtId="0" fontId="32" fillId="0" borderId="0" xfId="3" applyFont="1"/>
    <xf numFmtId="0" fontId="26" fillId="0" borderId="13" xfId="3" applyFont="1" applyBorder="1" applyAlignment="1">
      <alignment horizontal="right"/>
    </xf>
    <xf numFmtId="0" fontId="76" fillId="0" borderId="0" xfId="3" applyFont="1" applyAlignment="1">
      <alignment horizontal="left"/>
    </xf>
    <xf numFmtId="172" fontId="23" fillId="0" borderId="0" xfId="11" applyFont="1" applyFill="1" applyBorder="1" applyAlignment="1">
      <alignment horizontal="left"/>
    </xf>
    <xf numFmtId="43" fontId="23" fillId="0" borderId="0" xfId="11" applyNumberFormat="1" applyFont="1" applyBorder="1" applyAlignment="1">
      <alignment horizontal="right"/>
    </xf>
    <xf numFmtId="43" fontId="32" fillId="0" borderId="0" xfId="10" applyFont="1" applyFill="1" applyBorder="1"/>
    <xf numFmtId="173" fontId="77" fillId="0" borderId="0" xfId="11" applyNumberFormat="1" applyFont="1" applyBorder="1" applyAlignment="1">
      <alignment horizontal="right"/>
    </xf>
    <xf numFmtId="0" fontId="37" fillId="0" borderId="3" xfId="3" applyFont="1" applyBorder="1"/>
    <xf numFmtId="0" fontId="44" fillId="0" borderId="3" xfId="3" applyFont="1" applyBorder="1"/>
    <xf numFmtId="0" fontId="44" fillId="0" borderId="0" xfId="3" applyFont="1"/>
    <xf numFmtId="0" fontId="26" fillId="0" borderId="14" xfId="3" applyFont="1" applyBorder="1"/>
    <xf numFmtId="0" fontId="37" fillId="0" borderId="14" xfId="3" applyFont="1" applyBorder="1"/>
    <xf numFmtId="43" fontId="37" fillId="0" borderId="0" xfId="3" applyNumberFormat="1" applyFont="1"/>
    <xf numFmtId="43" fontId="44" fillId="0" borderId="0" xfId="10" applyFont="1" applyFill="1" applyBorder="1"/>
    <xf numFmtId="174" fontId="37" fillId="3" borderId="15" xfId="10" applyNumberFormat="1" applyFont="1" applyFill="1" applyBorder="1" applyAlignment="1">
      <alignment horizontal="right" wrapText="1"/>
    </xf>
    <xf numFmtId="164" fontId="37" fillId="0" borderId="0" xfId="10" applyNumberFormat="1" applyFont="1" applyFill="1"/>
    <xf numFmtId="0" fontId="76" fillId="0" borderId="0" xfId="3" applyFont="1"/>
    <xf numFmtId="0" fontId="36" fillId="0" borderId="0" xfId="3" applyFont="1" applyAlignment="1">
      <alignment horizontal="center" vertical="center"/>
    </xf>
    <xf numFmtId="0" fontId="36" fillId="0" borderId="0" xfId="3" applyFont="1" applyAlignment="1">
      <alignment horizontal="right"/>
    </xf>
    <xf numFmtId="43" fontId="78" fillId="0" borderId="0" xfId="10" applyFont="1" applyFill="1" applyBorder="1"/>
    <xf numFmtId="164" fontId="36" fillId="3" borderId="15" xfId="10" applyNumberFormat="1" applyFont="1" applyFill="1" applyBorder="1" applyAlignment="1">
      <alignment horizontal="right"/>
    </xf>
    <xf numFmtId="165" fontId="36" fillId="0" borderId="16" xfId="10" applyNumberFormat="1" applyFont="1" applyFill="1" applyBorder="1"/>
    <xf numFmtId="43" fontId="36" fillId="0" borderId="16" xfId="10" applyFont="1" applyFill="1" applyBorder="1"/>
    <xf numFmtId="10" fontId="36" fillId="0" borderId="16" xfId="3" applyNumberFormat="1" applyFont="1" applyBorder="1"/>
    <xf numFmtId="167" fontId="36" fillId="0" borderId="16" xfId="7" applyNumberFormat="1" applyFont="1" applyFill="1" applyBorder="1"/>
    <xf numFmtId="0" fontId="37" fillId="3" borderId="15" xfId="3" applyFont="1" applyFill="1" applyBorder="1" applyAlignment="1">
      <alignment horizontal="right"/>
    </xf>
    <xf numFmtId="43" fontId="37" fillId="0" borderId="0" xfId="10" applyFont="1" applyFill="1"/>
    <xf numFmtId="43" fontId="44" fillId="0" borderId="0" xfId="7" applyNumberFormat="1" applyFont="1" applyFill="1"/>
    <xf numFmtId="0" fontId="37" fillId="0" borderId="0" xfId="3" applyFont="1" applyAlignment="1">
      <alignment wrapText="1"/>
    </xf>
    <xf numFmtId="10" fontId="36" fillId="0" borderId="16" xfId="7" applyNumberFormat="1" applyFont="1" applyFill="1" applyBorder="1"/>
    <xf numFmtId="164" fontId="37" fillId="3" borderId="15" xfId="10" applyNumberFormat="1" applyFont="1" applyFill="1" applyBorder="1" applyAlignment="1">
      <alignment horizontal="right"/>
    </xf>
    <xf numFmtId="10" fontId="44" fillId="0" borderId="0" xfId="3" applyNumberFormat="1" applyFont="1"/>
    <xf numFmtId="0" fontId="37" fillId="0" borderId="0" xfId="3" applyFont="1" applyAlignment="1">
      <alignment horizontal="left" indent="1"/>
    </xf>
    <xf numFmtId="165" fontId="37" fillId="0" borderId="16" xfId="10" applyNumberFormat="1" applyFont="1" applyFill="1" applyBorder="1"/>
    <xf numFmtId="43" fontId="37" fillId="0" borderId="16" xfId="10" applyFont="1" applyFill="1" applyBorder="1"/>
    <xf numFmtId="10" fontId="37" fillId="0" borderId="16" xfId="7" applyNumberFormat="1" applyFont="1" applyFill="1" applyBorder="1"/>
    <xf numFmtId="167" fontId="37" fillId="0" borderId="16" xfId="7" applyNumberFormat="1" applyFont="1" applyFill="1" applyBorder="1"/>
    <xf numFmtId="164" fontId="37" fillId="0" borderId="15" xfId="10" applyNumberFormat="1" applyFont="1" applyFill="1" applyBorder="1" applyAlignment="1">
      <alignment horizontal="right"/>
    </xf>
    <xf numFmtId="1" fontId="37" fillId="0" borderId="0" xfId="3" applyNumberFormat="1" applyFont="1"/>
    <xf numFmtId="0" fontId="79" fillId="0" borderId="17" xfId="3" applyFont="1" applyBorder="1"/>
    <xf numFmtId="0" fontId="79" fillId="0" borderId="0" xfId="3" applyFont="1"/>
    <xf numFmtId="0" fontId="36" fillId="0" borderId="18" xfId="3" applyFont="1" applyBorder="1" applyAlignment="1">
      <alignment horizontal="right"/>
    </xf>
    <xf numFmtId="0" fontId="78" fillId="0" borderId="18" xfId="3" applyFont="1" applyBorder="1" applyAlignment="1">
      <alignment horizontal="right"/>
    </xf>
    <xf numFmtId="0" fontId="44" fillId="0" borderId="0" xfId="3" applyFont="1" applyAlignment="1">
      <alignment horizontal="left" vertical="center" indent="1"/>
    </xf>
    <xf numFmtId="164" fontId="37" fillId="3" borderId="18" xfId="10" applyNumberFormat="1" applyFont="1" applyFill="1" applyBorder="1" applyAlignment="1">
      <alignment horizontal="right"/>
    </xf>
    <xf numFmtId="164" fontId="44" fillId="3" borderId="18" xfId="10" applyNumberFormat="1" applyFont="1" applyFill="1" applyBorder="1" applyAlignment="1">
      <alignment horizontal="right"/>
    </xf>
    <xf numFmtId="10" fontId="44" fillId="3" borderId="18" xfId="7" applyNumberFormat="1" applyFont="1" applyFill="1" applyBorder="1" applyAlignment="1">
      <alignment horizontal="right"/>
    </xf>
    <xf numFmtId="10" fontId="37" fillId="3" borderId="18" xfId="7" applyNumberFormat="1" applyFont="1" applyFill="1" applyBorder="1" applyAlignment="1">
      <alignment horizontal="right"/>
    </xf>
    <xf numFmtId="165" fontId="37" fillId="0" borderId="16" xfId="3" applyNumberFormat="1" applyFont="1" applyBorder="1"/>
    <xf numFmtId="43" fontId="37" fillId="0" borderId="16" xfId="3" applyNumberFormat="1" applyFont="1" applyBorder="1"/>
    <xf numFmtId="0" fontId="66" fillId="0" borderId="0" xfId="3" applyFont="1" applyAlignment="1">
      <alignment vertical="center"/>
    </xf>
    <xf numFmtId="0" fontId="37" fillId="0" borderId="0" xfId="3" applyFont="1" applyAlignment="1">
      <alignment vertical="center"/>
    </xf>
    <xf numFmtId="10" fontId="44" fillId="0" borderId="0" xfId="3" applyNumberFormat="1" applyFont="1" applyAlignment="1">
      <alignment vertical="center"/>
    </xf>
    <xf numFmtId="43" fontId="44" fillId="0" borderId="0" xfId="7" applyNumberFormat="1" applyFont="1" applyFill="1" applyAlignment="1">
      <alignment vertical="center"/>
    </xf>
    <xf numFmtId="0" fontId="37" fillId="0" borderId="0" xfId="3" applyFont="1" applyAlignment="1">
      <alignment horizontal="left" vertical="center"/>
    </xf>
    <xf numFmtId="165" fontId="37" fillId="0" borderId="16" xfId="3" applyNumberFormat="1" applyFont="1" applyBorder="1" applyAlignment="1">
      <alignment vertical="center"/>
    </xf>
    <xf numFmtId="43" fontId="37" fillId="0" borderId="16" xfId="3" applyNumberFormat="1" applyFont="1" applyBorder="1" applyAlignment="1">
      <alignment vertical="center"/>
    </xf>
    <xf numFmtId="10" fontId="37" fillId="0" borderId="16" xfId="7" applyNumberFormat="1" applyFont="1" applyFill="1" applyBorder="1" applyAlignment="1">
      <alignment vertical="center"/>
    </xf>
    <xf numFmtId="167" fontId="37" fillId="0" borderId="16" xfId="7" applyNumberFormat="1" applyFont="1" applyFill="1" applyBorder="1" applyAlignment="1">
      <alignment vertical="center"/>
    </xf>
    <xf numFmtId="0" fontId="36" fillId="0" borderId="0" xfId="3" applyFont="1" applyAlignment="1">
      <alignment vertical="center"/>
    </xf>
    <xf numFmtId="0" fontId="80" fillId="0" borderId="0" xfId="3" applyFont="1" applyAlignment="1">
      <alignment vertical="center"/>
    </xf>
    <xf numFmtId="167" fontId="37" fillId="3" borderId="15" xfId="10" applyNumberFormat="1" applyFont="1" applyFill="1" applyBorder="1" applyAlignment="1">
      <alignment vertical="center"/>
    </xf>
    <xf numFmtId="10" fontId="81" fillId="0" borderId="0" xfId="7" applyNumberFormat="1" applyFont="1" applyFill="1" applyAlignment="1">
      <alignment vertical="center"/>
    </xf>
    <xf numFmtId="0" fontId="26" fillId="0" borderId="0" xfId="3" applyFont="1" applyAlignment="1">
      <alignment vertical="center"/>
    </xf>
    <xf numFmtId="0" fontId="37" fillId="0" borderId="0" xfId="3" applyFont="1" applyAlignment="1">
      <alignment vertical="center" wrapText="1"/>
    </xf>
    <xf numFmtId="0" fontId="44" fillId="0" borderId="0" xfId="3" applyFont="1" applyAlignment="1">
      <alignment vertical="center"/>
    </xf>
    <xf numFmtId="165" fontId="37" fillId="0" borderId="16" xfId="10" applyNumberFormat="1" applyFont="1" applyFill="1" applyBorder="1" applyAlignment="1">
      <alignment vertical="center"/>
    </xf>
    <xf numFmtId="43" fontId="37" fillId="0" borderId="16" xfId="10" applyFont="1" applyFill="1" applyBorder="1" applyAlignment="1">
      <alignment vertical="center"/>
    </xf>
    <xf numFmtId="165" fontId="36" fillId="0" borderId="16" xfId="10" applyNumberFormat="1" applyFont="1" applyFill="1" applyBorder="1" applyAlignment="1">
      <alignment vertical="center"/>
    </xf>
    <xf numFmtId="43" fontId="36" fillId="0" borderId="16" xfId="10" applyFont="1" applyFill="1" applyBorder="1" applyAlignment="1">
      <alignment vertical="center"/>
    </xf>
    <xf numFmtId="10" fontId="36" fillId="0" borderId="16" xfId="7" applyNumberFormat="1" applyFont="1" applyFill="1" applyBorder="1" applyAlignment="1">
      <alignment vertical="center"/>
    </xf>
    <xf numFmtId="167" fontId="36" fillId="0" borderId="16" xfId="7" applyNumberFormat="1" applyFont="1" applyFill="1" applyBorder="1" applyAlignment="1">
      <alignment vertical="center"/>
    </xf>
    <xf numFmtId="0" fontId="82" fillId="0" borderId="0" xfId="3" applyFont="1" applyAlignment="1">
      <alignment vertical="center"/>
    </xf>
    <xf numFmtId="43" fontId="44" fillId="0" borderId="0" xfId="10" applyFont="1" applyFill="1" applyBorder="1" applyAlignment="1">
      <alignment vertical="center"/>
    </xf>
    <xf numFmtId="10" fontId="44" fillId="0" borderId="0" xfId="7" applyNumberFormat="1" applyFont="1" applyFill="1" applyBorder="1" applyAlignment="1">
      <alignment vertical="center"/>
    </xf>
    <xf numFmtId="10" fontId="81" fillId="0" borderId="0" xfId="7" applyNumberFormat="1" applyFont="1" applyFill="1" applyBorder="1" applyAlignment="1">
      <alignment vertical="center"/>
    </xf>
    <xf numFmtId="43" fontId="44" fillId="0" borderId="0" xfId="3" applyNumberFormat="1" applyFont="1" applyAlignment="1">
      <alignment vertical="center"/>
    </xf>
    <xf numFmtId="164" fontId="37" fillId="0" borderId="0" xfId="3" applyNumberFormat="1" applyFont="1" applyAlignment="1">
      <alignment vertical="center"/>
    </xf>
    <xf numFmtId="43" fontId="37" fillId="3" borderId="15" xfId="10" applyFont="1" applyFill="1" applyBorder="1"/>
    <xf numFmtId="10" fontId="81" fillId="0" borderId="0" xfId="7" applyNumberFormat="1" applyFont="1" applyFill="1"/>
    <xf numFmtId="0" fontId="83" fillId="0" borderId="0" xfId="3" applyFont="1"/>
    <xf numFmtId="0" fontId="44" fillId="0" borderId="0" xfId="3" applyFont="1" applyAlignment="1">
      <alignment wrapText="1"/>
    </xf>
    <xf numFmtId="43" fontId="44" fillId="0" borderId="0" xfId="3" applyNumberFormat="1" applyFont="1"/>
    <xf numFmtId="164" fontId="37" fillId="0" borderId="0" xfId="3" applyNumberFormat="1" applyFont="1"/>
    <xf numFmtId="0" fontId="66" fillId="0" borderId="0" xfId="3" applyFont="1" applyAlignment="1">
      <alignment wrapText="1"/>
    </xf>
    <xf numFmtId="167" fontId="37" fillId="3" borderId="15" xfId="10" applyNumberFormat="1" applyFont="1" applyFill="1" applyBorder="1"/>
    <xf numFmtId="0" fontId="36" fillId="0" borderId="0" xfId="3" applyFont="1" applyAlignment="1">
      <alignment horizontal="center" wrapText="1"/>
    </xf>
    <xf numFmtId="43" fontId="44" fillId="0" borderId="0" xfId="10" applyFont="1" applyFill="1"/>
    <xf numFmtId="43" fontId="78" fillId="0" borderId="0" xfId="10" applyFont="1" applyFill="1" applyBorder="1" applyAlignment="1">
      <alignment horizontal="center" vertical="center"/>
    </xf>
    <xf numFmtId="0" fontId="78" fillId="0" borderId="0" xfId="3" applyFont="1"/>
    <xf numFmtId="0" fontId="36" fillId="0" borderId="16" xfId="3" applyFont="1" applyBorder="1"/>
    <xf numFmtId="10" fontId="36" fillId="0" borderId="16" xfId="7" applyNumberFormat="1" applyFont="1" applyBorder="1"/>
    <xf numFmtId="43" fontId="78" fillId="0" borderId="16" xfId="10" applyFont="1" applyFill="1" applyBorder="1"/>
    <xf numFmtId="43" fontId="83" fillId="0" borderId="0" xfId="3" applyNumberFormat="1" applyFont="1"/>
    <xf numFmtId="167" fontId="37" fillId="3" borderId="15" xfId="7" applyNumberFormat="1" applyFont="1" applyFill="1" applyBorder="1"/>
    <xf numFmtId="0" fontId="84" fillId="0" borderId="0" xfId="3" applyFont="1"/>
    <xf numFmtId="172" fontId="37" fillId="0" borderId="0" xfId="3" applyNumberFormat="1" applyFont="1"/>
    <xf numFmtId="0" fontId="37" fillId="0" borderId="0" xfId="3" applyFont="1" applyAlignment="1">
      <alignment horizontal="left" indent="2"/>
    </xf>
    <xf numFmtId="43" fontId="44" fillId="0" borderId="16" xfId="10" applyFont="1" applyFill="1" applyBorder="1"/>
    <xf numFmtId="0" fontId="82" fillId="0" borderId="0" xfId="3" applyFont="1"/>
    <xf numFmtId="0" fontId="85" fillId="0" borderId="0" xfId="3" applyFont="1"/>
    <xf numFmtId="0" fontId="86" fillId="0" borderId="0" xfId="3" applyFont="1"/>
    <xf numFmtId="43" fontId="86" fillId="0" borderId="0" xfId="10" applyFont="1" applyFill="1" applyBorder="1"/>
    <xf numFmtId="9" fontId="37" fillId="3" borderId="15" xfId="7" applyFont="1" applyFill="1" applyBorder="1"/>
    <xf numFmtId="165" fontId="37" fillId="0" borderId="0" xfId="10" applyNumberFormat="1" applyFont="1" applyFill="1" applyBorder="1"/>
    <xf numFmtId="43" fontId="37" fillId="0" borderId="0" xfId="10" applyFont="1" applyFill="1" applyBorder="1"/>
    <xf numFmtId="167" fontId="37" fillId="0" borderId="0" xfId="7" applyNumberFormat="1" applyFont="1"/>
    <xf numFmtId="0" fontId="80" fillId="0" borderId="0" xfId="3" applyFont="1"/>
    <xf numFmtId="0" fontId="36" fillId="0" borderId="0" xfId="3" applyFont="1" applyAlignment="1">
      <alignment horizontal="left"/>
    </xf>
    <xf numFmtId="43" fontId="78" fillId="0" borderId="16" xfId="10" applyFont="1" applyFill="1" applyBorder="1" applyAlignment="1">
      <alignment horizontal="right"/>
    </xf>
    <xf numFmtId="0" fontId="44" fillId="0" borderId="0" xfId="3" applyFont="1" applyAlignment="1">
      <alignment horizontal="left" indent="1"/>
    </xf>
    <xf numFmtId="0" fontId="87" fillId="0" borderId="0" xfId="3" applyFont="1"/>
    <xf numFmtId="9" fontId="37" fillId="0" borderId="15" xfId="7" applyFont="1" applyFill="1" applyBorder="1"/>
    <xf numFmtId="0" fontId="37" fillId="0" borderId="0" xfId="3" applyFont="1" applyProtection="1">
      <protection locked="0"/>
    </xf>
    <xf numFmtId="165" fontId="44" fillId="3" borderId="15" xfId="10" applyNumberFormat="1" applyFont="1" applyFill="1" applyBorder="1"/>
    <xf numFmtId="168" fontId="37" fillId="0" borderId="0" xfId="10" applyNumberFormat="1" applyFont="1" applyFill="1" applyBorder="1"/>
    <xf numFmtId="0" fontId="44" fillId="0" borderId="0" xfId="3" applyFont="1" applyAlignment="1">
      <alignment horizontal="left"/>
    </xf>
    <xf numFmtId="9" fontId="44" fillId="3" borderId="15" xfId="10" applyNumberFormat="1" applyFont="1" applyFill="1" applyBorder="1"/>
    <xf numFmtId="167" fontId="37" fillId="0" borderId="0" xfId="7" applyNumberFormat="1" applyFont="1" applyFill="1" applyBorder="1"/>
    <xf numFmtId="9" fontId="37" fillId="0" borderId="0" xfId="7" applyFont="1" applyFill="1" applyBorder="1"/>
    <xf numFmtId="165" fontId="37" fillId="3" borderId="15" xfId="10" applyNumberFormat="1" applyFont="1" applyFill="1" applyBorder="1"/>
    <xf numFmtId="165" fontId="37" fillId="0" borderId="15" xfId="10" applyNumberFormat="1" applyFont="1" applyFill="1" applyBorder="1"/>
    <xf numFmtId="43" fontId="44" fillId="0" borderId="15" xfId="10" applyFont="1" applyFill="1" applyBorder="1"/>
    <xf numFmtId="43" fontId="36" fillId="0" borderId="0" xfId="3" applyNumberFormat="1" applyFont="1"/>
    <xf numFmtId="10" fontId="36" fillId="0" borderId="0" xfId="7" applyNumberFormat="1" applyFont="1" applyFill="1" applyBorder="1"/>
    <xf numFmtId="9" fontId="36" fillId="0" borderId="0" xfId="7" applyFont="1" applyFill="1" applyBorder="1"/>
    <xf numFmtId="168" fontId="37" fillId="3" borderId="15" xfId="10" applyNumberFormat="1" applyFont="1" applyFill="1" applyBorder="1"/>
    <xf numFmtId="43" fontId="88" fillId="0" borderId="0" xfId="3" applyNumberFormat="1" applyFont="1"/>
    <xf numFmtId="0" fontId="36" fillId="0" borderId="0" xfId="3" applyFont="1" applyAlignment="1">
      <alignment horizontal="left" vertical="top"/>
    </xf>
    <xf numFmtId="0" fontId="36" fillId="0" borderId="0" xfId="3" applyFont="1" applyAlignment="1">
      <alignment horizontal="center"/>
    </xf>
    <xf numFmtId="0" fontId="44" fillId="0" borderId="0" xfId="3" applyFont="1" applyAlignment="1">
      <alignment horizontal="right"/>
    </xf>
    <xf numFmtId="167" fontId="37" fillId="0" borderId="0" xfId="12" applyNumberFormat="1" applyFont="1" applyFill="1" applyBorder="1"/>
    <xf numFmtId="10" fontId="37" fillId="3" borderId="2" xfId="12" applyNumberFormat="1" applyFont="1" applyFill="1"/>
    <xf numFmtId="10" fontId="37" fillId="0" borderId="2" xfId="12" applyNumberFormat="1" applyFont="1" applyFill="1"/>
    <xf numFmtId="10" fontId="83" fillId="0" borderId="2" xfId="12" applyNumberFormat="1" applyFont="1" applyFill="1"/>
    <xf numFmtId="10" fontId="37" fillId="0" borderId="0" xfId="12" applyNumberFormat="1" applyFont="1" applyFill="1" applyBorder="1"/>
    <xf numFmtId="167" fontId="36" fillId="0" borderId="0" xfId="12" applyNumberFormat="1" applyFont="1" applyFill="1" applyBorder="1"/>
    <xf numFmtId="10" fontId="88" fillId="0" borderId="0" xfId="7" applyNumberFormat="1" applyFont="1"/>
    <xf numFmtId="10" fontId="88" fillId="0" borderId="0" xfId="3" applyNumberFormat="1" applyFont="1"/>
    <xf numFmtId="10" fontId="37" fillId="3" borderId="16" xfId="7" applyNumberFormat="1" applyFont="1" applyFill="1" applyBorder="1"/>
    <xf numFmtId="0" fontId="73" fillId="0" borderId="0" xfId="13" applyFont="1" applyFill="1" applyBorder="1"/>
    <xf numFmtId="0" fontId="90" fillId="0" borderId="0" xfId="3" applyFont="1"/>
    <xf numFmtId="43" fontId="32" fillId="0" borderId="0" xfId="10" applyFont="1" applyFill="1"/>
    <xf numFmtId="0" fontId="91" fillId="0" borderId="0" xfId="3" applyFont="1"/>
    <xf numFmtId="164" fontId="44" fillId="0" borderId="0" xfId="10" applyNumberFormat="1" applyFont="1" applyFill="1"/>
    <xf numFmtId="2" fontId="44" fillId="0" borderId="0" xfId="10" applyNumberFormat="1" applyFont="1" applyFill="1" applyAlignment="1">
      <alignment horizontal="right"/>
    </xf>
    <xf numFmtId="0" fontId="92" fillId="0" borderId="0" xfId="3" applyFont="1"/>
    <xf numFmtId="9" fontId="44" fillId="0" borderId="0" xfId="7" applyFont="1" applyFill="1"/>
    <xf numFmtId="9" fontId="44" fillId="0" borderId="0" xfId="3" applyNumberFormat="1" applyFont="1"/>
    <xf numFmtId="164" fontId="78" fillId="7" borderId="0" xfId="10" applyNumberFormat="1" applyFont="1" applyFill="1"/>
    <xf numFmtId="164" fontId="78" fillId="0" borderId="0" xfId="10" applyNumberFormat="1" applyFont="1" applyFill="1"/>
    <xf numFmtId="0" fontId="93" fillId="0" borderId="19" xfId="3" applyFont="1" applyBorder="1"/>
    <xf numFmtId="0" fontId="78" fillId="0" borderId="19" xfId="3" applyFont="1" applyBorder="1"/>
    <xf numFmtId="0" fontId="44" fillId="0" borderId="19" xfId="3" applyFont="1" applyBorder="1"/>
    <xf numFmtId="164" fontId="44" fillId="0" borderId="19" xfId="10" applyNumberFormat="1" applyFont="1" applyFill="1" applyBorder="1"/>
    <xf numFmtId="10" fontId="44" fillId="0" borderId="0" xfId="7" applyNumberFormat="1" applyFont="1" applyFill="1"/>
    <xf numFmtId="9" fontId="44" fillId="3" borderId="0" xfId="3" applyNumberFormat="1" applyFont="1" applyFill="1"/>
    <xf numFmtId="10" fontId="44" fillId="3" borderId="0" xfId="7" applyNumberFormat="1" applyFont="1" applyFill="1"/>
    <xf numFmtId="43" fontId="78" fillId="0" borderId="0" xfId="10" applyFont="1" applyFill="1"/>
    <xf numFmtId="0" fontId="84" fillId="0" borderId="0" xfId="3" applyFont="1" applyAlignment="1">
      <alignment horizontal="left"/>
    </xf>
    <xf numFmtId="168" fontId="78" fillId="8" borderId="0" xfId="10" applyNumberFormat="1" applyFont="1" applyFill="1"/>
    <xf numFmtId="43" fontId="94" fillId="0" borderId="0" xfId="10" applyFont="1" applyFill="1"/>
    <xf numFmtId="43" fontId="44" fillId="0" borderId="0" xfId="10" applyFont="1" applyFill="1" applyAlignment="1">
      <alignment horizontal="center" vertical="center"/>
    </xf>
    <xf numFmtId="164" fontId="44" fillId="0" borderId="0" xfId="10" applyNumberFormat="1" applyFont="1" applyFill="1" applyAlignment="1">
      <alignment horizontal="right"/>
    </xf>
    <xf numFmtId="43" fontId="44" fillId="9" borderId="0" xfId="10" applyFont="1" applyFill="1"/>
    <xf numFmtId="165" fontId="44" fillId="9" borderId="0" xfId="10" applyNumberFormat="1" applyFont="1" applyFill="1"/>
    <xf numFmtId="0" fontId="44" fillId="0" borderId="0" xfId="3" applyFont="1" applyAlignment="1">
      <alignment horizontal="center" vertical="center"/>
    </xf>
    <xf numFmtId="164" fontId="44" fillId="0" borderId="0" xfId="10" applyNumberFormat="1" applyFont="1" applyAlignment="1">
      <alignment horizontal="right"/>
    </xf>
    <xf numFmtId="0" fontId="44" fillId="9" borderId="0" xfId="3" applyFont="1" applyFill="1"/>
    <xf numFmtId="0" fontId="78" fillId="9" borderId="0" xfId="3" applyFont="1" applyFill="1"/>
    <xf numFmtId="164" fontId="44" fillId="0" borderId="0" xfId="3" applyNumberFormat="1" applyFont="1"/>
    <xf numFmtId="167" fontId="44" fillId="0" borderId="0" xfId="7" applyNumberFormat="1" applyFont="1" applyFill="1"/>
    <xf numFmtId="0" fontId="93" fillId="0" borderId="0" xfId="3" applyFont="1"/>
    <xf numFmtId="164" fontId="44" fillId="0" borderId="0" xfId="10" applyNumberFormat="1" applyFont="1" applyFill="1" applyBorder="1"/>
    <xf numFmtId="43" fontId="78" fillId="0" borderId="0" xfId="3" applyNumberFormat="1" applyFont="1"/>
    <xf numFmtId="43" fontId="44" fillId="0" borderId="0" xfId="10" quotePrefix="1" applyFont="1" applyFill="1"/>
    <xf numFmtId="0" fontId="44" fillId="0" borderId="0" xfId="3" applyFont="1" applyAlignment="1">
      <alignment horizontal="left" indent="2"/>
    </xf>
    <xf numFmtId="175" fontId="44" fillId="0" borderId="0" xfId="3" applyNumberFormat="1" applyFont="1"/>
    <xf numFmtId="0" fontId="44" fillId="10" borderId="0" xfId="3" applyFont="1" applyFill="1"/>
    <xf numFmtId="43" fontId="44" fillId="10" borderId="0" xfId="10" applyFont="1" applyFill="1"/>
    <xf numFmtId="165" fontId="44" fillId="0" borderId="0" xfId="10" applyNumberFormat="1" applyFont="1" applyFill="1"/>
    <xf numFmtId="165" fontId="44" fillId="0" borderId="0" xfId="3" applyNumberFormat="1" applyFont="1"/>
    <xf numFmtId="43" fontId="80" fillId="0" borderId="0" xfId="3" applyNumberFormat="1" applyFont="1"/>
    <xf numFmtId="0" fontId="78" fillId="3" borderId="0" xfId="3" applyFont="1" applyFill="1"/>
    <xf numFmtId="10" fontId="44" fillId="0" borderId="0" xfId="7" applyNumberFormat="1" applyFont="1"/>
    <xf numFmtId="172" fontId="44" fillId="0" borderId="0" xfId="3" applyNumberFormat="1" applyFont="1"/>
    <xf numFmtId="0" fontId="44" fillId="11" borderId="0" xfId="3" applyFont="1" applyFill="1"/>
    <xf numFmtId="0" fontId="95" fillId="0" borderId="0" xfId="3" applyFont="1"/>
    <xf numFmtId="0" fontId="96" fillId="0" borderId="0" xfId="3" applyFont="1"/>
    <xf numFmtId="0" fontId="20" fillId="0" borderId="0" xfId="3" applyFont="1" applyAlignment="1">
      <alignment horizontal="left"/>
    </xf>
    <xf numFmtId="0" fontId="34" fillId="0" borderId="14" xfId="3" applyFont="1" applyBorder="1" applyAlignment="1">
      <alignment horizontal="left"/>
    </xf>
    <xf numFmtId="0" fontId="34" fillId="0" borderId="14" xfId="3" applyFont="1" applyBorder="1"/>
    <xf numFmtId="0" fontId="34" fillId="0" borderId="0" xfId="3" applyFont="1" applyAlignment="1">
      <alignment horizontal="left"/>
    </xf>
    <xf numFmtId="0" fontId="20" fillId="0" borderId="0" xfId="3" applyFont="1" applyAlignment="1">
      <alignment horizontal="right"/>
    </xf>
    <xf numFmtId="1" fontId="20" fillId="0" borderId="0" xfId="3" applyNumberFormat="1" applyFont="1"/>
    <xf numFmtId="0" fontId="97" fillId="0" borderId="17" xfId="3" applyFont="1" applyBorder="1"/>
    <xf numFmtId="176" fontId="25" fillId="3" borderId="17" xfId="3" applyNumberFormat="1" applyFont="1" applyFill="1" applyBorder="1" applyAlignment="1">
      <alignment horizontal="right"/>
    </xf>
    <xf numFmtId="176" fontId="97" fillId="0" borderId="17" xfId="3" applyNumberFormat="1" applyFont="1" applyBorder="1" applyAlignment="1">
      <alignment horizontal="right"/>
    </xf>
    <xf numFmtId="0" fontId="75" fillId="0" borderId="0" xfId="3" applyFont="1" applyAlignment="1">
      <alignment horizontal="left"/>
    </xf>
    <xf numFmtId="0" fontId="98" fillId="0" borderId="0" xfId="3" applyFont="1"/>
    <xf numFmtId="164" fontId="35" fillId="0" borderId="0" xfId="10" applyNumberFormat="1" applyFont="1" applyFill="1" applyBorder="1" applyAlignment="1">
      <alignment horizontal="right"/>
    </xf>
    <xf numFmtId="0" fontId="75" fillId="0" borderId="0" xfId="3" applyFont="1" applyAlignment="1">
      <alignment horizontal="right"/>
    </xf>
    <xf numFmtId="177" fontId="99" fillId="12" borderId="20" xfId="3" applyNumberFormat="1" applyFont="1" applyFill="1" applyBorder="1"/>
    <xf numFmtId="3" fontId="99" fillId="12" borderId="20" xfId="3" applyNumberFormat="1" applyFont="1" applyFill="1" applyBorder="1"/>
    <xf numFmtId="164" fontId="34" fillId="0" borderId="14" xfId="10" applyNumberFormat="1" applyFont="1" applyFill="1" applyBorder="1"/>
    <xf numFmtId="164" fontId="20" fillId="0" borderId="14" xfId="10" applyNumberFormat="1" applyFont="1" applyFill="1" applyBorder="1"/>
    <xf numFmtId="0" fontId="97" fillId="11" borderId="0" xfId="3" applyFont="1" applyFill="1" applyAlignment="1">
      <alignment horizontal="right"/>
    </xf>
    <xf numFmtId="0" fontId="20" fillId="0" borderId="17" xfId="3" applyFont="1" applyBorder="1" applyAlignment="1">
      <alignment horizontal="right"/>
    </xf>
    <xf numFmtId="164" fontId="34" fillId="0" borderId="0" xfId="3" applyNumberFormat="1" applyFont="1"/>
    <xf numFmtId="164" fontId="34" fillId="0" borderId="0" xfId="10" applyNumberFormat="1" applyFont="1" applyFill="1"/>
    <xf numFmtId="164" fontId="34" fillId="0" borderId="0" xfId="10" applyNumberFormat="1" applyFont="1" applyFill="1" applyBorder="1"/>
    <xf numFmtId="164" fontId="20" fillId="0" borderId="0" xfId="10" applyNumberFormat="1" applyFont="1" applyFill="1"/>
    <xf numFmtId="164" fontId="20" fillId="0" borderId="17" xfId="3" applyNumberFormat="1" applyFont="1" applyBorder="1"/>
    <xf numFmtId="164" fontId="20" fillId="0" borderId="17" xfId="10" applyNumberFormat="1" applyFont="1" applyFill="1" applyBorder="1"/>
    <xf numFmtId="164" fontId="20" fillId="0" borderId="0" xfId="10" applyNumberFormat="1" applyFont="1" applyFill="1" applyBorder="1"/>
    <xf numFmtId="164" fontId="20" fillId="0" borderId="0" xfId="3" applyNumberFormat="1" applyFont="1"/>
    <xf numFmtId="174" fontId="34" fillId="0" borderId="0" xfId="10" applyNumberFormat="1" applyFont="1" applyFill="1"/>
    <xf numFmtId="174" fontId="34" fillId="0" borderId="17" xfId="10" applyNumberFormat="1" applyFont="1" applyFill="1" applyBorder="1"/>
    <xf numFmtId="43" fontId="20" fillId="0" borderId="0" xfId="3" applyNumberFormat="1" applyFont="1"/>
    <xf numFmtId="174" fontId="20" fillId="0" borderId="0" xfId="3" applyNumberFormat="1" applyFont="1"/>
    <xf numFmtId="174" fontId="34" fillId="0" borderId="0" xfId="3" applyNumberFormat="1" applyFont="1"/>
    <xf numFmtId="43" fontId="34" fillId="0" borderId="0" xfId="3" applyNumberFormat="1" applyFont="1"/>
    <xf numFmtId="0" fontId="20" fillId="0" borderId="0" xfId="3" applyFont="1" applyAlignment="1">
      <alignment horizontal="left" indent="1"/>
    </xf>
    <xf numFmtId="174" fontId="20" fillId="0" borderId="0" xfId="10" applyNumberFormat="1" applyFont="1" applyFill="1"/>
    <xf numFmtId="174" fontId="20" fillId="0" borderId="0" xfId="10" applyNumberFormat="1" applyFont="1" applyFill="1" applyBorder="1"/>
    <xf numFmtId="0" fontId="84" fillId="0" borderId="0" xfId="3" applyFont="1" applyAlignment="1">
      <alignment horizontal="left" indent="4"/>
    </xf>
    <xf numFmtId="164" fontId="84" fillId="0" borderId="0" xfId="3" applyNumberFormat="1" applyFont="1"/>
    <xf numFmtId="164" fontId="84" fillId="0" borderId="0" xfId="10" applyNumberFormat="1" applyFont="1" applyFill="1"/>
    <xf numFmtId="0" fontId="100" fillId="0" borderId="0" xfId="3" applyFont="1"/>
    <xf numFmtId="0" fontId="101" fillId="0" borderId="0" xfId="3" applyFont="1"/>
    <xf numFmtId="43" fontId="101" fillId="0" borderId="0" xfId="3" applyNumberFormat="1" applyFont="1"/>
    <xf numFmtId="0" fontId="102" fillId="0" borderId="0" xfId="3" applyFont="1"/>
    <xf numFmtId="0" fontId="103" fillId="13" borderId="21" xfId="3" applyFont="1" applyFill="1" applyBorder="1"/>
    <xf numFmtId="178" fontId="104" fillId="13" borderId="21" xfId="3" applyNumberFormat="1" applyFont="1" applyFill="1" applyBorder="1" applyAlignment="1">
      <alignment horizontal="right"/>
    </xf>
    <xf numFmtId="0" fontId="103" fillId="13" borderId="0" xfId="3" applyFont="1" applyFill="1"/>
    <xf numFmtId="164" fontId="100" fillId="0" borderId="0" xfId="10" applyNumberFormat="1" applyFont="1"/>
    <xf numFmtId="164" fontId="105" fillId="0" borderId="0" xfId="3" applyNumberFormat="1" applyFont="1"/>
    <xf numFmtId="164" fontId="102" fillId="0" borderId="0" xfId="10" applyNumberFormat="1" applyFont="1"/>
    <xf numFmtId="164" fontId="102" fillId="0" borderId="0" xfId="3" applyNumberFormat="1" applyFont="1"/>
    <xf numFmtId="0" fontId="101" fillId="0" borderId="0" xfId="3" applyFont="1" applyAlignment="1">
      <alignment horizontal="left" indent="1"/>
    </xf>
    <xf numFmtId="164" fontId="101" fillId="0" borderId="0" xfId="10" applyNumberFormat="1" applyFont="1"/>
    <xf numFmtId="0" fontId="100" fillId="9" borderId="0" xfId="3" applyFont="1" applyFill="1"/>
    <xf numFmtId="0" fontId="106" fillId="0" borderId="0" xfId="3" applyFont="1"/>
    <xf numFmtId="164" fontId="106" fillId="0" borderId="0" xfId="10" applyNumberFormat="1" applyFont="1"/>
    <xf numFmtId="10" fontId="101" fillId="0" borderId="0" xfId="7" applyNumberFormat="1" applyFont="1"/>
    <xf numFmtId="164" fontId="101" fillId="0" borderId="0" xfId="3" applyNumberFormat="1" applyFont="1"/>
    <xf numFmtId="164" fontId="106" fillId="0" borderId="0" xfId="3" applyNumberFormat="1" applyFont="1"/>
    <xf numFmtId="0" fontId="107" fillId="0" borderId="0" xfId="3" applyFont="1"/>
    <xf numFmtId="0" fontId="100" fillId="11" borderId="21" xfId="3" applyFont="1" applyFill="1" applyBorder="1"/>
    <xf numFmtId="164" fontId="100" fillId="11" borderId="21" xfId="10" applyNumberFormat="1" applyFont="1" applyFill="1" applyBorder="1"/>
    <xf numFmtId="0" fontId="100" fillId="0" borderId="0" xfId="3" applyFont="1" applyAlignment="1">
      <alignment horizontal="left"/>
    </xf>
    <xf numFmtId="164" fontId="100" fillId="0" borderId="0" xfId="3" applyNumberFormat="1" applyFont="1"/>
    <xf numFmtId="43" fontId="101" fillId="0" borderId="0" xfId="10" applyFont="1"/>
  </cellXfs>
  <cellStyles count="14">
    <cellStyle name="Comma 19" xfId="10" xr:uid="{16D9FFB2-7F6B-9542-8EAB-C6018B665C63}"/>
    <cellStyle name="Comma 2" xfId="5" xr:uid="{C0806990-CA20-544B-B931-B7CC9B757A94}"/>
    <cellStyle name="Comma 2 14 3" xfId="11" xr:uid="{C5C51A49-98EE-974A-9BD6-FD4FC353E782}"/>
    <cellStyle name="Comma 2 2 7" xfId="8" xr:uid="{A8BC0503-FB51-B74A-B889-9EC11B372C90}"/>
    <cellStyle name="Comma 4" xfId="9" xr:uid="{69A22415-8C64-F947-8836-B68B9987C6FD}"/>
    <cellStyle name="Heading 1 3" xfId="13" xr:uid="{745DBE5F-E209-8D49-92D0-AB746FBED0E5}"/>
    <cellStyle name="Hyperlink 2" xfId="4" xr:uid="{3D47DF74-0533-9746-9643-FE9F4D9A445D}"/>
    <cellStyle name="Input 3" xfId="12" xr:uid="{B1D7D8A5-2B80-7C42-89CC-D9CCC76FAD21}"/>
    <cellStyle name="Normal" xfId="0" builtinId="0"/>
    <cellStyle name="Normal 2" xfId="1" xr:uid="{63764EF3-A1EB-7F4E-92C5-018BC83B683B}"/>
    <cellStyle name="Normal 22" xfId="3" xr:uid="{788C8CB8-EA4C-DD4D-BAF9-A4F9CD2351CE}"/>
    <cellStyle name="Normal 25" xfId="2" xr:uid="{25BE5986-05E3-0340-A464-F93D8E665C5C}"/>
    <cellStyle name="Percent 15" xfId="7" xr:uid="{EBF23B4F-E7B4-8944-B736-02C05A4E3FDA}"/>
    <cellStyle name="Percent 2" xfId="6" xr:uid="{63E65FAD-69A8-C248-B9E2-84423E541F95}"/>
  </cellStyles>
  <dxfs count="2">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31</xdr:col>
      <xdr:colOff>812800</xdr:colOff>
      <xdr:row>3</xdr:row>
      <xdr:rowOff>177800</xdr:rowOff>
    </xdr:from>
    <xdr:to>
      <xdr:col>41</xdr:col>
      <xdr:colOff>444811</xdr:colOff>
      <xdr:row>13</xdr:row>
      <xdr:rowOff>111602</xdr:rowOff>
    </xdr:to>
    <xdr:pic>
      <xdr:nvPicPr>
        <xdr:cNvPr id="2" name="Picture 1">
          <a:extLst>
            <a:ext uri="{FF2B5EF4-FFF2-40B4-BE49-F238E27FC236}">
              <a16:creationId xmlns:a16="http://schemas.microsoft.com/office/drawing/2014/main" id="{72D81E8E-8FED-2341-BB76-E61C8F995B72}"/>
            </a:ext>
          </a:extLst>
        </xdr:cNvPr>
        <xdr:cNvPicPr>
          <a:picLocks noChangeAspect="1"/>
        </xdr:cNvPicPr>
      </xdr:nvPicPr>
      <xdr:blipFill>
        <a:blip xmlns:r="http://schemas.openxmlformats.org/officeDocument/2006/relationships" r:embed="rId1"/>
        <a:stretch>
          <a:fillRect/>
        </a:stretch>
      </xdr:blipFill>
      <xdr:spPr>
        <a:xfrm>
          <a:off x="45643800" y="749300"/>
          <a:ext cx="6667811" cy="1943200"/>
        </a:xfrm>
        <a:prstGeom prst="rect">
          <a:avLst/>
        </a:prstGeom>
      </xdr:spPr>
    </xdr:pic>
    <xdr:clientData/>
  </xdr:twoCellAnchor>
  <xdr:twoCellAnchor editAs="oneCell">
    <xdr:from>
      <xdr:col>6</xdr:col>
      <xdr:colOff>0</xdr:colOff>
      <xdr:row>2</xdr:row>
      <xdr:rowOff>0</xdr:rowOff>
    </xdr:from>
    <xdr:to>
      <xdr:col>9</xdr:col>
      <xdr:colOff>54948</xdr:colOff>
      <xdr:row>14</xdr:row>
      <xdr:rowOff>109884</xdr:rowOff>
    </xdr:to>
    <xdr:pic>
      <xdr:nvPicPr>
        <xdr:cNvPr id="3" name="Picture 2">
          <a:extLst>
            <a:ext uri="{FF2B5EF4-FFF2-40B4-BE49-F238E27FC236}">
              <a16:creationId xmlns:a16="http://schemas.microsoft.com/office/drawing/2014/main" id="{332EFEB9-C419-C743-86DF-3ADAAFE2E44C}"/>
            </a:ext>
          </a:extLst>
        </xdr:cNvPr>
        <xdr:cNvPicPr>
          <a:picLocks noChangeAspect="1"/>
        </xdr:cNvPicPr>
      </xdr:nvPicPr>
      <xdr:blipFill>
        <a:blip xmlns:r="http://schemas.openxmlformats.org/officeDocument/2006/relationships" r:embed="rId2"/>
        <a:stretch>
          <a:fillRect/>
        </a:stretch>
      </xdr:blipFill>
      <xdr:spPr>
        <a:xfrm>
          <a:off x="9499600" y="381000"/>
          <a:ext cx="4779348" cy="25218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400049</xdr:colOff>
      <xdr:row>1</xdr:row>
      <xdr:rowOff>66675</xdr:rowOff>
    </xdr:from>
    <xdr:to>
      <xdr:col>6</xdr:col>
      <xdr:colOff>211322</xdr:colOff>
      <xdr:row>26</xdr:row>
      <xdr:rowOff>41161</xdr:rowOff>
    </xdr:to>
    <xdr:pic>
      <xdr:nvPicPr>
        <xdr:cNvPr id="2" name="Picture 1">
          <a:extLst>
            <a:ext uri="{FF2B5EF4-FFF2-40B4-BE49-F238E27FC236}">
              <a16:creationId xmlns:a16="http://schemas.microsoft.com/office/drawing/2014/main" id="{9F606E61-6252-D147-A863-753A382221F8}"/>
            </a:ext>
          </a:extLst>
        </xdr:cNvPr>
        <xdr:cNvPicPr>
          <a:picLocks noChangeAspect="1"/>
        </xdr:cNvPicPr>
      </xdr:nvPicPr>
      <xdr:blipFill>
        <a:blip xmlns:r="http://schemas.openxmlformats.org/officeDocument/2006/relationships" r:embed="rId1"/>
        <a:stretch>
          <a:fillRect/>
        </a:stretch>
      </xdr:blipFill>
      <xdr:spPr>
        <a:xfrm>
          <a:off x="400049" y="257175"/>
          <a:ext cx="6999473" cy="4736986"/>
        </a:xfrm>
        <a:prstGeom prst="rect">
          <a:avLst/>
        </a:prstGeom>
      </xdr:spPr>
    </xdr:pic>
    <xdr:clientData/>
  </xdr:twoCellAnchor>
  <xdr:twoCellAnchor editAs="oneCell">
    <xdr:from>
      <xdr:col>15</xdr:col>
      <xdr:colOff>358775</xdr:colOff>
      <xdr:row>3</xdr:row>
      <xdr:rowOff>85725</xdr:rowOff>
    </xdr:from>
    <xdr:to>
      <xdr:col>30</xdr:col>
      <xdr:colOff>439099</xdr:colOff>
      <xdr:row>23</xdr:row>
      <xdr:rowOff>162115</xdr:rowOff>
    </xdr:to>
    <xdr:pic>
      <xdr:nvPicPr>
        <xdr:cNvPr id="3" name="Picture 2">
          <a:extLst>
            <a:ext uri="{FF2B5EF4-FFF2-40B4-BE49-F238E27FC236}">
              <a16:creationId xmlns:a16="http://schemas.microsoft.com/office/drawing/2014/main" id="{C759E39A-FBFB-514B-B9A8-EF98F3B7B9AE}"/>
            </a:ext>
          </a:extLst>
        </xdr:cNvPr>
        <xdr:cNvPicPr>
          <a:picLocks noChangeAspect="1"/>
        </xdr:cNvPicPr>
      </xdr:nvPicPr>
      <xdr:blipFill>
        <a:blip xmlns:r="http://schemas.openxmlformats.org/officeDocument/2006/relationships" r:embed="rId2"/>
        <a:stretch>
          <a:fillRect/>
        </a:stretch>
      </xdr:blipFill>
      <xdr:spPr>
        <a:xfrm>
          <a:off x="22266275" y="657225"/>
          <a:ext cx="10634024" cy="3886390"/>
        </a:xfrm>
        <a:prstGeom prst="rect">
          <a:avLst/>
        </a:prstGeom>
      </xdr:spPr>
    </xdr:pic>
    <xdr:clientData/>
  </xdr:twoCellAnchor>
  <xdr:twoCellAnchor editAs="oneCell">
    <xdr:from>
      <xdr:col>15</xdr:col>
      <xdr:colOff>609599</xdr:colOff>
      <xdr:row>25</xdr:row>
      <xdr:rowOff>66675</xdr:rowOff>
    </xdr:from>
    <xdr:to>
      <xdr:col>28</xdr:col>
      <xdr:colOff>391456</xdr:colOff>
      <xdr:row>47</xdr:row>
      <xdr:rowOff>88464</xdr:rowOff>
    </xdr:to>
    <xdr:pic>
      <xdr:nvPicPr>
        <xdr:cNvPr id="4" name="Picture 3">
          <a:extLst>
            <a:ext uri="{FF2B5EF4-FFF2-40B4-BE49-F238E27FC236}">
              <a16:creationId xmlns:a16="http://schemas.microsoft.com/office/drawing/2014/main" id="{D9C7F57B-63E3-8349-BB29-713432C8B155}"/>
            </a:ext>
          </a:extLst>
        </xdr:cNvPr>
        <xdr:cNvPicPr>
          <a:picLocks noChangeAspect="1"/>
        </xdr:cNvPicPr>
      </xdr:nvPicPr>
      <xdr:blipFill>
        <a:blip xmlns:r="http://schemas.openxmlformats.org/officeDocument/2006/relationships" r:embed="rId3"/>
        <a:stretch>
          <a:fillRect/>
        </a:stretch>
      </xdr:blipFill>
      <xdr:spPr>
        <a:xfrm>
          <a:off x="22517099" y="4829175"/>
          <a:ext cx="8989357" cy="4212789"/>
        </a:xfrm>
        <a:prstGeom prst="rect">
          <a:avLst/>
        </a:prstGeom>
      </xdr:spPr>
    </xdr:pic>
    <xdr:clientData/>
  </xdr:twoCellAnchor>
  <xdr:twoCellAnchor editAs="oneCell">
    <xdr:from>
      <xdr:col>15</xdr:col>
      <xdr:colOff>412749</xdr:colOff>
      <xdr:row>48</xdr:row>
      <xdr:rowOff>66675</xdr:rowOff>
    </xdr:from>
    <xdr:to>
      <xdr:col>28</xdr:col>
      <xdr:colOff>239073</xdr:colOff>
      <xdr:row>70</xdr:row>
      <xdr:rowOff>47834</xdr:rowOff>
    </xdr:to>
    <xdr:pic>
      <xdr:nvPicPr>
        <xdr:cNvPr id="5" name="Picture 4">
          <a:extLst>
            <a:ext uri="{FF2B5EF4-FFF2-40B4-BE49-F238E27FC236}">
              <a16:creationId xmlns:a16="http://schemas.microsoft.com/office/drawing/2014/main" id="{F31EDAA9-8365-6B49-81D9-67021521355B}"/>
            </a:ext>
          </a:extLst>
        </xdr:cNvPr>
        <xdr:cNvPicPr>
          <a:picLocks noChangeAspect="1"/>
        </xdr:cNvPicPr>
      </xdr:nvPicPr>
      <xdr:blipFill>
        <a:blip xmlns:r="http://schemas.openxmlformats.org/officeDocument/2006/relationships" r:embed="rId4"/>
        <a:stretch>
          <a:fillRect/>
        </a:stretch>
      </xdr:blipFill>
      <xdr:spPr>
        <a:xfrm>
          <a:off x="22320249" y="9210675"/>
          <a:ext cx="9033824" cy="4172159"/>
        </a:xfrm>
        <a:prstGeom prst="rect">
          <a:avLst/>
        </a:prstGeom>
      </xdr:spPr>
    </xdr:pic>
    <xdr:clientData/>
  </xdr:twoCellAnchor>
  <xdr:twoCellAnchor editAs="oneCell">
    <xdr:from>
      <xdr:col>16</xdr:col>
      <xdr:colOff>345937</xdr:colOff>
      <xdr:row>71</xdr:row>
      <xdr:rowOff>57150</xdr:rowOff>
    </xdr:from>
    <xdr:to>
      <xdr:col>29</xdr:col>
      <xdr:colOff>568830</xdr:colOff>
      <xdr:row>91</xdr:row>
      <xdr:rowOff>76425</xdr:rowOff>
    </xdr:to>
    <xdr:pic>
      <xdr:nvPicPr>
        <xdr:cNvPr id="6" name="Picture 5">
          <a:extLst>
            <a:ext uri="{FF2B5EF4-FFF2-40B4-BE49-F238E27FC236}">
              <a16:creationId xmlns:a16="http://schemas.microsoft.com/office/drawing/2014/main" id="{588387BE-5AF0-9B4D-9B17-52C241BA5EE5}"/>
            </a:ext>
          </a:extLst>
        </xdr:cNvPr>
        <xdr:cNvPicPr>
          <a:picLocks noChangeAspect="1"/>
        </xdr:cNvPicPr>
      </xdr:nvPicPr>
      <xdr:blipFill>
        <a:blip xmlns:r="http://schemas.openxmlformats.org/officeDocument/2006/relationships" r:embed="rId5"/>
        <a:stretch>
          <a:fillRect/>
        </a:stretch>
      </xdr:blipFill>
      <xdr:spPr>
        <a:xfrm>
          <a:off x="23383737" y="13582650"/>
          <a:ext cx="8973193" cy="3829275"/>
        </a:xfrm>
        <a:prstGeom prst="rect">
          <a:avLst/>
        </a:prstGeom>
      </xdr:spPr>
    </xdr:pic>
    <xdr:clientData/>
  </xdr:twoCellAnchor>
  <xdr:twoCellAnchor editAs="oneCell">
    <xdr:from>
      <xdr:col>16</xdr:col>
      <xdr:colOff>401955</xdr:colOff>
      <xdr:row>93</xdr:row>
      <xdr:rowOff>139700</xdr:rowOff>
    </xdr:from>
    <xdr:to>
      <xdr:col>30</xdr:col>
      <xdr:colOff>73512</xdr:colOff>
      <xdr:row>112</xdr:row>
      <xdr:rowOff>130378</xdr:rowOff>
    </xdr:to>
    <xdr:pic>
      <xdr:nvPicPr>
        <xdr:cNvPr id="7" name="Picture 6">
          <a:extLst>
            <a:ext uri="{FF2B5EF4-FFF2-40B4-BE49-F238E27FC236}">
              <a16:creationId xmlns:a16="http://schemas.microsoft.com/office/drawing/2014/main" id="{3C9DF6B7-950E-9541-9F38-CECC14371AE0}"/>
            </a:ext>
          </a:extLst>
        </xdr:cNvPr>
        <xdr:cNvPicPr>
          <a:picLocks noChangeAspect="1"/>
        </xdr:cNvPicPr>
      </xdr:nvPicPr>
      <xdr:blipFill>
        <a:blip xmlns:r="http://schemas.openxmlformats.org/officeDocument/2006/relationships" r:embed="rId6"/>
        <a:stretch>
          <a:fillRect/>
        </a:stretch>
      </xdr:blipFill>
      <xdr:spPr>
        <a:xfrm>
          <a:off x="23439755" y="17856200"/>
          <a:ext cx="9094957" cy="3610178"/>
        </a:xfrm>
        <a:prstGeom prst="rect">
          <a:avLst/>
        </a:prstGeom>
      </xdr:spPr>
    </xdr:pic>
    <xdr:clientData/>
  </xdr:twoCellAnchor>
  <xdr:twoCellAnchor editAs="oneCell">
    <xdr:from>
      <xdr:col>16</xdr:col>
      <xdr:colOff>1</xdr:colOff>
      <xdr:row>115</xdr:row>
      <xdr:rowOff>1</xdr:rowOff>
    </xdr:from>
    <xdr:to>
      <xdr:col>31</xdr:col>
      <xdr:colOff>492974</xdr:colOff>
      <xdr:row>138</xdr:row>
      <xdr:rowOff>122466</xdr:rowOff>
    </xdr:to>
    <xdr:pic>
      <xdr:nvPicPr>
        <xdr:cNvPr id="8" name="Picture 7">
          <a:extLst>
            <a:ext uri="{FF2B5EF4-FFF2-40B4-BE49-F238E27FC236}">
              <a16:creationId xmlns:a16="http://schemas.microsoft.com/office/drawing/2014/main" id="{AA09EAA3-7853-1A4C-AAB6-0A1CD5D1F592}"/>
            </a:ext>
          </a:extLst>
        </xdr:cNvPr>
        <xdr:cNvPicPr>
          <a:picLocks noChangeAspect="1"/>
        </xdr:cNvPicPr>
      </xdr:nvPicPr>
      <xdr:blipFill>
        <a:blip xmlns:r="http://schemas.openxmlformats.org/officeDocument/2006/relationships" r:embed="rId7"/>
        <a:stretch>
          <a:fillRect/>
        </a:stretch>
      </xdr:blipFill>
      <xdr:spPr>
        <a:xfrm>
          <a:off x="23037801" y="21907501"/>
          <a:ext cx="10589473" cy="45039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12.%20Dec/SAP%202025/ss/3.1.%20CAKE_Payday_Model_SAP&amp;PnL_v5_2025.xlsb" TargetMode="External"/><Relationship Id="rId1" Type="http://schemas.openxmlformats.org/officeDocument/2006/relationships/externalLinkPath" Target="https://cakedigital-my.sharepoint.com/personal/huong_thieu_cake_vn/Documents/BE/BEF%20accounting%20&amp;%20Finance/Accounting%20Report/BEF%20report/BC%20doanh%20thu/2025/12.%20Dec/SAP%202025/ss/3.1.%20CAKE_Payday_Model_SAP&amp;PnL_v5_2025.xlsb"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ownloads/SAP%20Q4.2025_update%202/4.2.%20ALL_PD_SAP&amp;PnL_v9_2025Q4.xlsb" TargetMode="External"/><Relationship Id="rId2" Type="http://schemas.openxmlformats.org/officeDocument/2006/relationships/externalLinkPath" Target="/Users/dam.ho/Downloads/SAP%20Q4.2025_update%202/4.2.%20ALL_PD_SAP&amp;PnL_v9_2025Q4.xlsb" TargetMode="External"/><Relationship Id="rId1" Type="http://schemas.openxmlformats.org/officeDocument/2006/relationships/externalLinkPath" Target="/Users/dam.ho/Downloads/SAP%20Q4.2025_update%202/4.2.%20ALL_PD_SAP&amp;PnL_v9_2025Q4.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OTE"/>
      <sheetName val="Leadsheet"/>
      <sheetName val="DATA"/>
      <sheetName val="SAP_Speadsheet"/>
      <sheetName val="Saleplan&amp;PnL"/>
      <sheetName val="PnL_Speadsheet"/>
    </sheetNames>
    <sheetDataSet>
      <sheetData sheetId="0">
        <row r="2">
          <cell r="O2" t="str">
            <v>v5</v>
          </cell>
          <cell r="P2">
            <v>20251001</v>
          </cell>
        </row>
      </sheetData>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DATA"/>
      <sheetName val="PNL"/>
      <sheetName val="Early repayment"/>
      <sheetName val="RISK"/>
      <sheetName val="IR"/>
      <sheetName val="Leadsheet"/>
      <sheetName val="SAP_Speadsheet"/>
      <sheetName val="Saleplan&amp;PnL"/>
      <sheetName val="PnL_Speadsheet"/>
    </sheetNames>
    <sheetDataSet>
      <sheetData sheetId="0"/>
      <sheetData sheetId="1"/>
      <sheetData sheetId="2"/>
      <sheetData sheetId="3"/>
      <sheetData sheetId="4"/>
      <sheetData sheetId="5"/>
      <sheetData sheetId="6"/>
      <sheetData sheetId="7"/>
      <sheetData sheetId="8"/>
      <sheetData sheetId="9"/>
    </sheetDataSet>
  </externalBook>
</externalLink>
</file>

<file path=xl/persons/person.xml><?xml version="1.0" encoding="utf-8"?>
<personList xmlns="http://schemas.microsoft.com/office/spreadsheetml/2018/threadedcomments" xmlns:x="http://schemas.openxmlformats.org/spreadsheetml/2006/main">
  <person displayName="Đỗ Lan Anh (Sr. Lending Accountant)" id="{8DB680DD-0DE3-204F-8DF2-B14D0A2F0F65}" userId="S::anh.do@cake.vn::4dad6100-b390-4153-9b02-57321638cdd4"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cakedigital-my.sharepoint.com/Users/H&#224;Ng&#244;(Busine_hl1a98r/Downloads/Lending%20Risk%20Performance%20Overview%20v2_Payday_Pivot%20table.csv"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82.714773495369" createdVersion="8" refreshedVersion="8" minRefreshableVersion="3" recordCount="476" xr:uid="{707EDC1C-048E-2446-A322-69C493853663}">
  <cacheSource type="worksheet">
    <worksheetSource ref="A1:C477" sheet="Lending Risk Performance Overvi" r:id="rId2"/>
  </cacheSource>
  <cacheFields count="3">
    <cacheField name="bucket" numFmtId="0">
      <sharedItems count="31">
        <s v="B00"/>
        <s v="B01"/>
        <s v="B02"/>
        <s v="B03"/>
        <s v="B04"/>
        <s v="B05"/>
        <s v="B06"/>
        <s v="B07"/>
        <s v="B08"/>
        <s v="B09"/>
        <s v="B10"/>
        <s v="B11"/>
        <s v="B12"/>
        <s v="B13"/>
        <s v="B14"/>
        <s v="B15"/>
        <s v="B16"/>
        <s v="B17"/>
        <s v="B18"/>
        <s v="B19"/>
        <s v="B20"/>
        <s v="B21"/>
        <s v="B22"/>
        <s v="B23"/>
        <s v="B24"/>
        <s v="B25"/>
        <s v="B26"/>
        <s v="B27"/>
        <s v="B28"/>
        <s v="B29"/>
        <s v="B30"/>
      </sharedItems>
    </cacheField>
    <cacheField name="report_month" numFmtId="0">
      <sharedItems containsSemiMixedTypes="0" containsString="0" containsNumber="1" containsInteger="1" minValue="202401" maxValue="202511" count="23">
        <n v="202406"/>
        <n v="202502"/>
        <n v="202408"/>
        <n v="202511"/>
        <n v="202505"/>
        <n v="202507"/>
        <n v="202509"/>
        <n v="202404"/>
        <n v="202411"/>
        <n v="202402"/>
        <n v="202501"/>
        <n v="202409"/>
        <n v="202407"/>
        <n v="202510"/>
        <n v="202503"/>
        <n v="202410"/>
        <n v="202412"/>
        <n v="202401"/>
        <n v="202405"/>
        <n v="202504"/>
        <n v="202403"/>
        <n v="202506"/>
        <n v="202508"/>
      </sharedItems>
    </cacheField>
    <cacheField name="principal balance" numFmtId="0">
      <sharedItems containsSemiMixedTypes="0" containsString="0" containsNumber="1" containsInteger="1" minValue="6000000" maxValue="42707314736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6">
  <r>
    <x v="0"/>
    <x v="0"/>
    <n v="82139005584"/>
  </r>
  <r>
    <x v="0"/>
    <x v="1"/>
    <n v="120452958029"/>
  </r>
  <r>
    <x v="0"/>
    <x v="2"/>
    <n v="102917027574"/>
  </r>
  <r>
    <x v="0"/>
    <x v="3"/>
    <n v="425322075659"/>
  </r>
  <r>
    <x v="0"/>
    <x v="4"/>
    <n v="132564696356"/>
  </r>
  <r>
    <x v="0"/>
    <x v="5"/>
    <n v="187034559967"/>
  </r>
  <r>
    <x v="0"/>
    <x v="6"/>
    <n v="361167057609"/>
  </r>
  <r>
    <x v="0"/>
    <x v="7"/>
    <n v="61774567080"/>
  </r>
  <r>
    <x v="0"/>
    <x v="8"/>
    <n v="108183945508"/>
  </r>
  <r>
    <x v="0"/>
    <x v="9"/>
    <n v="42374875041"/>
  </r>
  <r>
    <x v="0"/>
    <x v="10"/>
    <n v="125733474174"/>
  </r>
  <r>
    <x v="0"/>
    <x v="11"/>
    <n v="105643467744"/>
  </r>
  <r>
    <x v="0"/>
    <x v="12"/>
    <n v="96238663386"/>
  </r>
  <r>
    <x v="0"/>
    <x v="13"/>
    <n v="427073147362"/>
  </r>
  <r>
    <x v="0"/>
    <x v="14"/>
    <n v="124792371704"/>
  </r>
  <r>
    <x v="0"/>
    <x v="15"/>
    <n v="110489281129"/>
  </r>
  <r>
    <x v="0"/>
    <x v="16"/>
    <n v="140907432312"/>
  </r>
  <r>
    <x v="0"/>
    <x v="17"/>
    <n v="39348047960"/>
  </r>
  <r>
    <x v="0"/>
    <x v="18"/>
    <n v="68692214339"/>
  </r>
  <r>
    <x v="0"/>
    <x v="19"/>
    <n v="130856706527"/>
  </r>
  <r>
    <x v="0"/>
    <x v="20"/>
    <n v="53525927234"/>
  </r>
  <r>
    <x v="0"/>
    <x v="21"/>
    <n v="131668433529"/>
  </r>
  <r>
    <x v="0"/>
    <x v="22"/>
    <n v="234570648779"/>
  </r>
  <r>
    <x v="1"/>
    <x v="15"/>
    <n v="7702626249"/>
  </r>
  <r>
    <x v="1"/>
    <x v="16"/>
    <n v="8049379348"/>
  </r>
  <r>
    <x v="1"/>
    <x v="17"/>
    <n v="4035632295"/>
  </r>
  <r>
    <x v="1"/>
    <x v="18"/>
    <n v="3958274941"/>
  </r>
  <r>
    <x v="1"/>
    <x v="19"/>
    <n v="7402106547"/>
  </r>
  <r>
    <x v="1"/>
    <x v="20"/>
    <n v="2847803991"/>
  </r>
  <r>
    <x v="1"/>
    <x v="21"/>
    <n v="8559537399"/>
  </r>
  <r>
    <x v="1"/>
    <x v="22"/>
    <n v="16822083715"/>
  </r>
  <r>
    <x v="1"/>
    <x v="0"/>
    <n v="4302043622"/>
  </r>
  <r>
    <x v="1"/>
    <x v="1"/>
    <n v="9674986086"/>
  </r>
  <r>
    <x v="1"/>
    <x v="2"/>
    <n v="6368791795"/>
  </r>
  <r>
    <x v="1"/>
    <x v="3"/>
    <n v="42500624709"/>
  </r>
  <r>
    <x v="1"/>
    <x v="4"/>
    <n v="8351092769"/>
  </r>
  <r>
    <x v="1"/>
    <x v="5"/>
    <n v="8307280207"/>
  </r>
  <r>
    <x v="1"/>
    <x v="6"/>
    <n v="19265374663"/>
  </r>
  <r>
    <x v="1"/>
    <x v="7"/>
    <n v="3672521113"/>
  </r>
  <r>
    <x v="1"/>
    <x v="8"/>
    <n v="6533997439"/>
  </r>
  <r>
    <x v="1"/>
    <x v="9"/>
    <n v="4205955262"/>
  </r>
  <r>
    <x v="1"/>
    <x v="10"/>
    <n v="10430070154"/>
  </r>
  <r>
    <x v="1"/>
    <x v="11"/>
    <n v="7091212819"/>
  </r>
  <r>
    <x v="1"/>
    <x v="12"/>
    <n v="5416018045"/>
  </r>
  <r>
    <x v="1"/>
    <x v="13"/>
    <n v="40594276097"/>
  </r>
  <r>
    <x v="1"/>
    <x v="14"/>
    <n v="8031063372"/>
  </r>
  <r>
    <x v="2"/>
    <x v="5"/>
    <n v="6768128609"/>
  </r>
  <r>
    <x v="2"/>
    <x v="6"/>
    <n v="12875173819"/>
  </r>
  <r>
    <x v="2"/>
    <x v="7"/>
    <n v="2233498458"/>
  </r>
  <r>
    <x v="2"/>
    <x v="8"/>
    <n v="5391653568"/>
  </r>
  <r>
    <x v="2"/>
    <x v="4"/>
    <n v="5654194523"/>
  </r>
  <r>
    <x v="2"/>
    <x v="9"/>
    <n v="3174370625"/>
  </r>
  <r>
    <x v="2"/>
    <x v="10"/>
    <n v="4896829780"/>
  </r>
  <r>
    <x v="2"/>
    <x v="11"/>
    <n v="4904293943"/>
  </r>
  <r>
    <x v="2"/>
    <x v="12"/>
    <n v="3484982082"/>
  </r>
  <r>
    <x v="2"/>
    <x v="13"/>
    <n v="15270541419"/>
  </r>
  <r>
    <x v="2"/>
    <x v="14"/>
    <n v="7706420334"/>
  </r>
  <r>
    <x v="2"/>
    <x v="15"/>
    <n v="5139898244"/>
  </r>
  <r>
    <x v="2"/>
    <x v="16"/>
    <n v="4435792144"/>
  </r>
  <r>
    <x v="2"/>
    <x v="18"/>
    <n v="2391107621"/>
  </r>
  <r>
    <x v="2"/>
    <x v="19"/>
    <n v="5771683753"/>
  </r>
  <r>
    <x v="2"/>
    <x v="21"/>
    <n v="6582155229"/>
  </r>
  <r>
    <x v="2"/>
    <x v="22"/>
    <n v="6476677859"/>
  </r>
  <r>
    <x v="2"/>
    <x v="17"/>
    <n v="2778427359"/>
  </r>
  <r>
    <x v="2"/>
    <x v="20"/>
    <n v="3312646636"/>
  </r>
  <r>
    <x v="2"/>
    <x v="0"/>
    <n v="2852934539"/>
  </r>
  <r>
    <x v="2"/>
    <x v="1"/>
    <n v="8595511000"/>
  </r>
  <r>
    <x v="2"/>
    <x v="2"/>
    <n v="3975055706"/>
  </r>
  <r>
    <x v="2"/>
    <x v="3"/>
    <n v="26050668495"/>
  </r>
  <r>
    <x v="3"/>
    <x v="10"/>
    <n v="4313905587"/>
  </r>
  <r>
    <x v="3"/>
    <x v="11"/>
    <n v="3718124379"/>
  </r>
  <r>
    <x v="3"/>
    <x v="12"/>
    <n v="2532202957"/>
  </r>
  <r>
    <x v="3"/>
    <x v="13"/>
    <n v="11999715261"/>
  </r>
  <r>
    <x v="3"/>
    <x v="14"/>
    <n v="7751016797"/>
  </r>
  <r>
    <x v="3"/>
    <x v="15"/>
    <n v="4494646673"/>
  </r>
  <r>
    <x v="3"/>
    <x v="16"/>
    <n v="5098774496"/>
  </r>
  <r>
    <x v="3"/>
    <x v="17"/>
    <n v="2819801637"/>
  </r>
  <r>
    <x v="3"/>
    <x v="18"/>
    <n v="2130402607"/>
  </r>
  <r>
    <x v="3"/>
    <x v="19"/>
    <n v="7330539438"/>
  </r>
  <r>
    <x v="3"/>
    <x v="20"/>
    <n v="3086059713"/>
  </r>
  <r>
    <x v="3"/>
    <x v="21"/>
    <n v="5340986249"/>
  </r>
  <r>
    <x v="3"/>
    <x v="22"/>
    <n v="6185152797"/>
  </r>
  <r>
    <x v="3"/>
    <x v="0"/>
    <n v="2200806316"/>
  </r>
  <r>
    <x v="3"/>
    <x v="1"/>
    <n v="4713700431"/>
  </r>
  <r>
    <x v="3"/>
    <x v="2"/>
    <n v="3378967115"/>
  </r>
  <r>
    <x v="3"/>
    <x v="3"/>
    <n v="14455937765"/>
  </r>
  <r>
    <x v="3"/>
    <x v="4"/>
    <n v="5690338454"/>
  </r>
  <r>
    <x v="3"/>
    <x v="5"/>
    <n v="5791073866"/>
  </r>
  <r>
    <x v="3"/>
    <x v="8"/>
    <n v="4877191404"/>
  </r>
  <r>
    <x v="3"/>
    <x v="6"/>
    <n v="6135605392"/>
  </r>
  <r>
    <x v="3"/>
    <x v="7"/>
    <n v="3102789415"/>
  </r>
  <r>
    <x v="3"/>
    <x v="9"/>
    <n v="2765711490"/>
  </r>
  <r>
    <x v="4"/>
    <x v="10"/>
    <n v="4888975408"/>
  </r>
  <r>
    <x v="4"/>
    <x v="11"/>
    <n v="3252923978"/>
  </r>
  <r>
    <x v="4"/>
    <x v="12"/>
    <n v="2291794701"/>
  </r>
  <r>
    <x v="4"/>
    <x v="14"/>
    <n v="4758990057"/>
  </r>
  <r>
    <x v="4"/>
    <x v="13"/>
    <n v="5935025762"/>
  </r>
  <r>
    <x v="4"/>
    <x v="15"/>
    <n v="3550433410"/>
  </r>
  <r>
    <x v="4"/>
    <x v="16"/>
    <n v="4790023788"/>
  </r>
  <r>
    <x v="4"/>
    <x v="17"/>
    <n v="1875793104"/>
  </r>
  <r>
    <x v="4"/>
    <x v="18"/>
    <n v="3042897699"/>
  </r>
  <r>
    <x v="4"/>
    <x v="19"/>
    <n v="7495611443"/>
  </r>
  <r>
    <x v="4"/>
    <x v="20"/>
    <n v="2592769789"/>
  </r>
  <r>
    <x v="4"/>
    <x v="21"/>
    <n v="5549175405"/>
  </r>
  <r>
    <x v="4"/>
    <x v="22"/>
    <n v="5883465410"/>
  </r>
  <r>
    <x v="4"/>
    <x v="0"/>
    <n v="2041350945"/>
  </r>
  <r>
    <x v="4"/>
    <x v="1"/>
    <n v="4169222252"/>
  </r>
  <r>
    <x v="4"/>
    <x v="2"/>
    <n v="2347545137"/>
  </r>
  <r>
    <x v="4"/>
    <x v="3"/>
    <n v="8611286051"/>
  </r>
  <r>
    <x v="4"/>
    <x v="6"/>
    <n v="5984050756"/>
  </r>
  <r>
    <x v="4"/>
    <x v="8"/>
    <n v="4382332566"/>
  </r>
  <r>
    <x v="4"/>
    <x v="4"/>
    <n v="7133370522"/>
  </r>
  <r>
    <x v="4"/>
    <x v="5"/>
    <n v="5489579313"/>
  </r>
  <r>
    <x v="4"/>
    <x v="7"/>
    <n v="3031088643"/>
  </r>
  <r>
    <x v="4"/>
    <x v="9"/>
    <n v="2760522034"/>
  </r>
  <r>
    <x v="5"/>
    <x v="4"/>
    <n v="7322457696"/>
  </r>
  <r>
    <x v="5"/>
    <x v="5"/>
    <n v="5316725948"/>
  </r>
  <r>
    <x v="5"/>
    <x v="6"/>
    <n v="5783462054"/>
  </r>
  <r>
    <x v="5"/>
    <x v="8"/>
    <n v="3462312311"/>
  </r>
  <r>
    <x v="5"/>
    <x v="7"/>
    <n v="2551771056"/>
  </r>
  <r>
    <x v="5"/>
    <x v="9"/>
    <n v="1770256597"/>
  </r>
  <r>
    <x v="5"/>
    <x v="10"/>
    <n v="4934745342"/>
  </r>
  <r>
    <x v="5"/>
    <x v="11"/>
    <n v="2291195344"/>
  </r>
  <r>
    <x v="5"/>
    <x v="12"/>
    <n v="2047638273"/>
  </r>
  <r>
    <x v="5"/>
    <x v="13"/>
    <n v="5974154178"/>
  </r>
  <r>
    <x v="5"/>
    <x v="14"/>
    <n v="3925917203"/>
  </r>
  <r>
    <x v="5"/>
    <x v="15"/>
    <n v="3123277810"/>
  </r>
  <r>
    <x v="5"/>
    <x v="16"/>
    <n v="4124645905"/>
  </r>
  <r>
    <x v="5"/>
    <x v="19"/>
    <n v="4662271901"/>
  </r>
  <r>
    <x v="5"/>
    <x v="17"/>
    <n v="1355563763"/>
  </r>
  <r>
    <x v="5"/>
    <x v="18"/>
    <n v="2732835840"/>
  </r>
  <r>
    <x v="5"/>
    <x v="20"/>
    <n v="2731967485"/>
  </r>
  <r>
    <x v="5"/>
    <x v="21"/>
    <n v="6999822052"/>
  </r>
  <r>
    <x v="5"/>
    <x v="22"/>
    <n v="5360248366"/>
  </r>
  <r>
    <x v="5"/>
    <x v="2"/>
    <n v="2196388918"/>
  </r>
  <r>
    <x v="5"/>
    <x v="3"/>
    <n v="5948584508"/>
  </r>
  <r>
    <x v="5"/>
    <x v="0"/>
    <n v="2959141268"/>
  </r>
  <r>
    <x v="5"/>
    <x v="1"/>
    <n v="4778161995"/>
  </r>
  <r>
    <x v="6"/>
    <x v="15"/>
    <n v="2356101572"/>
  </r>
  <r>
    <x v="6"/>
    <x v="16"/>
    <n v="3444566681"/>
  </r>
  <r>
    <x v="6"/>
    <x v="19"/>
    <n v="3874414147"/>
  </r>
  <r>
    <x v="6"/>
    <x v="21"/>
    <n v="7219004819"/>
  </r>
  <r>
    <x v="6"/>
    <x v="22"/>
    <n v="5292425080"/>
  </r>
  <r>
    <x v="6"/>
    <x v="17"/>
    <n v="1380968541"/>
  </r>
  <r>
    <x v="6"/>
    <x v="18"/>
    <n v="2826994152"/>
  </r>
  <r>
    <x v="6"/>
    <x v="20"/>
    <n v="1826811582"/>
  </r>
  <r>
    <x v="6"/>
    <x v="0"/>
    <n v="2708836553"/>
  </r>
  <r>
    <x v="6"/>
    <x v="1"/>
    <n v="4501563793"/>
  </r>
  <r>
    <x v="6"/>
    <x v="2"/>
    <n v="1949463239"/>
  </r>
  <r>
    <x v="6"/>
    <x v="3"/>
    <n v="5804118854"/>
  </r>
  <r>
    <x v="6"/>
    <x v="4"/>
    <n v="4311181112"/>
  </r>
  <r>
    <x v="6"/>
    <x v="8"/>
    <n v="3085474825"/>
  </r>
  <r>
    <x v="6"/>
    <x v="5"/>
    <n v="7209935596"/>
  </r>
  <r>
    <x v="6"/>
    <x v="6"/>
    <n v="5287955522"/>
  </r>
  <r>
    <x v="6"/>
    <x v="7"/>
    <n v="2685243875"/>
  </r>
  <r>
    <x v="6"/>
    <x v="9"/>
    <n v="1316343933"/>
  </r>
  <r>
    <x v="6"/>
    <x v="10"/>
    <n v="4087432848"/>
  </r>
  <r>
    <x v="6"/>
    <x v="11"/>
    <n v="2163950798"/>
  </r>
  <r>
    <x v="6"/>
    <x v="13"/>
    <n v="5868477448"/>
  </r>
  <r>
    <x v="6"/>
    <x v="12"/>
    <n v="2771705386"/>
  </r>
  <r>
    <x v="6"/>
    <x v="14"/>
    <n v="4721019466"/>
  </r>
  <r>
    <x v="7"/>
    <x v="1"/>
    <n v="4187173007"/>
  </r>
  <r>
    <x v="7"/>
    <x v="3"/>
    <n v="5266747755"/>
  </r>
  <r>
    <x v="7"/>
    <x v="0"/>
    <n v="2821810652"/>
  </r>
  <r>
    <x v="7"/>
    <x v="2"/>
    <n v="2728001716"/>
  </r>
  <r>
    <x v="7"/>
    <x v="4"/>
    <n v="3968094669"/>
  </r>
  <r>
    <x v="7"/>
    <x v="5"/>
    <n v="6625430860"/>
  </r>
  <r>
    <x v="7"/>
    <x v="6"/>
    <n v="5205196152"/>
  </r>
  <r>
    <x v="7"/>
    <x v="7"/>
    <n v="1812462582"/>
  </r>
  <r>
    <x v="7"/>
    <x v="8"/>
    <n v="2334830218"/>
  </r>
  <r>
    <x v="7"/>
    <x v="9"/>
    <n v="1400327709"/>
  </r>
  <r>
    <x v="7"/>
    <x v="10"/>
    <n v="3297912124"/>
  </r>
  <r>
    <x v="7"/>
    <x v="11"/>
    <n v="1918454209"/>
  </r>
  <r>
    <x v="7"/>
    <x v="12"/>
    <n v="2728316474"/>
  </r>
  <r>
    <x v="7"/>
    <x v="13"/>
    <n v="5018131138"/>
  </r>
  <r>
    <x v="7"/>
    <x v="14"/>
    <n v="4597721703"/>
  </r>
  <r>
    <x v="7"/>
    <x v="15"/>
    <n v="2119902022"/>
  </r>
  <r>
    <x v="7"/>
    <x v="16"/>
    <n v="3056608221"/>
  </r>
  <r>
    <x v="7"/>
    <x v="21"/>
    <n v="4256572638"/>
  </r>
  <r>
    <x v="7"/>
    <x v="17"/>
    <n v="1317168543"/>
  </r>
  <r>
    <x v="7"/>
    <x v="18"/>
    <n v="2515384227"/>
  </r>
  <r>
    <x v="7"/>
    <x v="19"/>
    <n v="4660876514"/>
  </r>
  <r>
    <x v="7"/>
    <x v="20"/>
    <n v="1330596806"/>
  </r>
  <r>
    <x v="7"/>
    <x v="22"/>
    <n v="7277688767"/>
  </r>
  <r>
    <x v="8"/>
    <x v="15"/>
    <n v="1929543056"/>
  </r>
  <r>
    <x v="8"/>
    <x v="16"/>
    <n v="2403947249"/>
  </r>
  <r>
    <x v="8"/>
    <x v="21"/>
    <n v="3907179760"/>
  </r>
  <r>
    <x v="8"/>
    <x v="22"/>
    <n v="6203958337"/>
  </r>
  <r>
    <x v="8"/>
    <x v="17"/>
    <n v="865930990"/>
  </r>
  <r>
    <x v="8"/>
    <x v="18"/>
    <n v="1884742664"/>
  </r>
  <r>
    <x v="8"/>
    <x v="19"/>
    <n v="4455085951"/>
  </r>
  <r>
    <x v="8"/>
    <x v="20"/>
    <n v="1342963129"/>
  </r>
  <r>
    <x v="8"/>
    <x v="0"/>
    <n v="2491352879"/>
  </r>
  <r>
    <x v="8"/>
    <x v="1"/>
    <n v="3231259504"/>
  </r>
  <r>
    <x v="8"/>
    <x v="2"/>
    <n v="2776345730"/>
  </r>
  <r>
    <x v="8"/>
    <x v="3"/>
    <n v="5478590075"/>
  </r>
  <r>
    <x v="8"/>
    <x v="5"/>
    <n v="4539312832"/>
  </r>
  <r>
    <x v="8"/>
    <x v="8"/>
    <n v="2115203348"/>
  </r>
  <r>
    <x v="8"/>
    <x v="4"/>
    <n v="4509113367"/>
  </r>
  <r>
    <x v="8"/>
    <x v="6"/>
    <n v="7170503915"/>
  </r>
  <r>
    <x v="8"/>
    <x v="7"/>
    <n v="1327356801"/>
  </r>
  <r>
    <x v="8"/>
    <x v="9"/>
    <n v="1297383379"/>
  </r>
  <r>
    <x v="8"/>
    <x v="10"/>
    <n v="3032344975"/>
  </r>
  <r>
    <x v="8"/>
    <x v="13"/>
    <n v="5245986074"/>
  </r>
  <r>
    <x v="8"/>
    <x v="14"/>
    <n v="3883092064"/>
  </r>
  <r>
    <x v="8"/>
    <x v="11"/>
    <n v="2706466601"/>
  </r>
  <r>
    <x v="8"/>
    <x v="12"/>
    <n v="2725144959"/>
  </r>
  <r>
    <x v="9"/>
    <x v="16"/>
    <n v="1992845181"/>
  </r>
  <r>
    <x v="9"/>
    <x v="19"/>
    <n v="3870803181"/>
  </r>
  <r>
    <x v="9"/>
    <x v="22"/>
    <n v="4652678695"/>
  </r>
  <r>
    <x v="9"/>
    <x v="15"/>
    <n v="2754647801"/>
  </r>
  <r>
    <x v="9"/>
    <x v="18"/>
    <n v="1370267471"/>
  </r>
  <r>
    <x v="9"/>
    <x v="20"/>
    <n v="1307133543"/>
  </r>
  <r>
    <x v="9"/>
    <x v="21"/>
    <n v="4472172151"/>
  </r>
  <r>
    <x v="9"/>
    <x v="0"/>
    <n v="1881032068"/>
  </r>
  <r>
    <x v="9"/>
    <x v="1"/>
    <n v="2875111337"/>
  </r>
  <r>
    <x v="9"/>
    <x v="2"/>
    <n v="2702559535"/>
  </r>
  <r>
    <x v="9"/>
    <x v="3"/>
    <n v="5067484189"/>
  </r>
  <r>
    <x v="9"/>
    <x v="5"/>
    <n v="4042746905"/>
  </r>
  <r>
    <x v="9"/>
    <x v="6"/>
    <n v="6203958337"/>
  </r>
  <r>
    <x v="9"/>
    <x v="8"/>
    <n v="1913310266"/>
  </r>
  <r>
    <x v="9"/>
    <x v="4"/>
    <n v="4639256336"/>
  </r>
  <r>
    <x v="9"/>
    <x v="7"/>
    <n v="1331633561"/>
  </r>
  <r>
    <x v="9"/>
    <x v="9"/>
    <n v="841830990"/>
  </r>
  <r>
    <x v="9"/>
    <x v="14"/>
    <n v="3263425245"/>
  </r>
  <r>
    <x v="9"/>
    <x v="10"/>
    <n v="2364770807"/>
  </r>
  <r>
    <x v="9"/>
    <x v="11"/>
    <n v="2744433034"/>
  </r>
  <r>
    <x v="9"/>
    <x v="12"/>
    <n v="2503309924"/>
  </r>
  <r>
    <x v="9"/>
    <x v="13"/>
    <n v="5088884000"/>
  </r>
  <r>
    <x v="10"/>
    <x v="10"/>
    <n v="2029094278"/>
  </r>
  <r>
    <x v="10"/>
    <x v="13"/>
    <n v="8160105786"/>
  </r>
  <r>
    <x v="10"/>
    <x v="14"/>
    <n v="2889791733"/>
  </r>
  <r>
    <x v="10"/>
    <x v="11"/>
    <n v="2686097451"/>
  </r>
  <r>
    <x v="10"/>
    <x v="12"/>
    <n v="1949028084"/>
  </r>
  <r>
    <x v="10"/>
    <x v="15"/>
    <n v="2632550160"/>
  </r>
  <r>
    <x v="10"/>
    <x v="16"/>
    <n v="1893505610"/>
  </r>
  <r>
    <x v="10"/>
    <x v="18"/>
    <n v="1266458414"/>
  </r>
  <r>
    <x v="10"/>
    <x v="19"/>
    <n v="3263425245"/>
  </r>
  <r>
    <x v="10"/>
    <x v="20"/>
    <n v="855437913"/>
  </r>
  <r>
    <x v="10"/>
    <x v="21"/>
    <n v="4639256336"/>
  </r>
  <r>
    <x v="10"/>
    <x v="22"/>
    <n v="3904006251"/>
  </r>
  <r>
    <x v="10"/>
    <x v="0"/>
    <n v="1365007471"/>
  </r>
  <r>
    <x v="10"/>
    <x v="1"/>
    <n v="2193788847"/>
  </r>
  <r>
    <x v="10"/>
    <x v="2"/>
    <n v="2547496130"/>
  </r>
  <r>
    <x v="10"/>
    <x v="3"/>
    <n v="5965026312"/>
  </r>
  <r>
    <x v="10"/>
    <x v="4"/>
    <n v="3870803181"/>
  </r>
  <r>
    <x v="10"/>
    <x v="6"/>
    <n v="4652678695"/>
  </r>
  <r>
    <x v="10"/>
    <x v="5"/>
    <n v="4272667881"/>
  </r>
  <r>
    <x v="10"/>
    <x v="7"/>
    <n v="1304047520"/>
  </r>
  <r>
    <x v="10"/>
    <x v="8"/>
    <n v="2734648503"/>
  </r>
  <r>
    <x v="11"/>
    <x v="4"/>
    <n v="3150177356"/>
  </r>
  <r>
    <x v="11"/>
    <x v="6"/>
    <n v="3904006251"/>
  </r>
  <r>
    <x v="11"/>
    <x v="5"/>
    <n v="4264827550"/>
  </r>
  <r>
    <x v="11"/>
    <x v="7"/>
    <n v="855437913"/>
  </r>
  <r>
    <x v="11"/>
    <x v="8"/>
    <n v="2616345520"/>
  </r>
  <r>
    <x v="11"/>
    <x v="10"/>
    <n v="1853047905"/>
  </r>
  <r>
    <x v="11"/>
    <x v="11"/>
    <n v="2528168426"/>
  </r>
  <r>
    <x v="11"/>
    <x v="12"/>
    <n v="1256585535"/>
  </r>
  <r>
    <x v="11"/>
    <x v="13"/>
    <n v="4755861069"/>
  </r>
  <r>
    <x v="11"/>
    <x v="14"/>
    <n v="2284088847"/>
  </r>
  <r>
    <x v="11"/>
    <x v="19"/>
    <n v="2889791733"/>
  </r>
  <r>
    <x v="11"/>
    <x v="21"/>
    <n v="3870803181"/>
  </r>
  <r>
    <x v="11"/>
    <x v="15"/>
    <n v="2690523059"/>
  </r>
  <r>
    <x v="11"/>
    <x v="16"/>
    <n v="2615970631"/>
  </r>
  <r>
    <x v="11"/>
    <x v="18"/>
    <n v="1310262067"/>
  </r>
  <r>
    <x v="11"/>
    <x v="22"/>
    <n v="4383122556"/>
  </r>
  <r>
    <x v="11"/>
    <x v="1"/>
    <n v="2016002111"/>
  </r>
  <r>
    <x v="11"/>
    <x v="3"/>
    <n v="7745990762"/>
  </r>
  <r>
    <x v="11"/>
    <x v="0"/>
    <n v="1262008414"/>
  </r>
  <r>
    <x v="11"/>
    <x v="2"/>
    <n v="1875357203"/>
  </r>
  <r>
    <x v="12"/>
    <x v="21"/>
    <n v="3150177356"/>
  </r>
  <r>
    <x v="12"/>
    <x v="15"/>
    <n v="2390419323"/>
  </r>
  <r>
    <x v="12"/>
    <x v="16"/>
    <n v="2699806684"/>
  </r>
  <r>
    <x v="12"/>
    <x v="18"/>
    <n v="891237857"/>
  </r>
  <r>
    <x v="12"/>
    <x v="19"/>
    <n v="2284088847"/>
  </r>
  <r>
    <x v="12"/>
    <x v="22"/>
    <n v="4222269485"/>
  </r>
  <r>
    <x v="12"/>
    <x v="0"/>
    <n v="1305871067"/>
  </r>
  <r>
    <x v="12"/>
    <x v="1"/>
    <n v="1815945991"/>
  </r>
  <r>
    <x v="12"/>
    <x v="2"/>
    <n v="1266747766"/>
  </r>
  <r>
    <x v="12"/>
    <x v="3"/>
    <n v="3958000770"/>
  </r>
  <r>
    <x v="12"/>
    <x v="4"/>
    <n v="2883667643"/>
  </r>
  <r>
    <x v="12"/>
    <x v="5"/>
    <n v="4095272285"/>
  </r>
  <r>
    <x v="12"/>
    <x v="6"/>
    <n v="4383122556"/>
  </r>
  <r>
    <x v="12"/>
    <x v="8"/>
    <n v="2679251602"/>
  </r>
  <r>
    <x v="12"/>
    <x v="13"/>
    <n v="3918360283"/>
  </r>
  <r>
    <x v="12"/>
    <x v="14"/>
    <n v="1936569111"/>
  </r>
  <r>
    <x v="12"/>
    <x v="10"/>
    <n v="2660589206"/>
  </r>
  <r>
    <x v="12"/>
    <x v="11"/>
    <n v="1873057198"/>
  </r>
  <r>
    <x v="12"/>
    <x v="12"/>
    <n v="1414691104"/>
  </r>
  <r>
    <x v="13"/>
    <x v="0"/>
    <n v="891037857"/>
  </r>
  <r>
    <x v="13"/>
    <x v="1"/>
    <n v="2627512020"/>
  </r>
  <r>
    <x v="13"/>
    <x v="2"/>
    <n v="1362438057"/>
  </r>
  <r>
    <x v="13"/>
    <x v="3"/>
    <n v="4052802425"/>
  </r>
  <r>
    <x v="13"/>
    <x v="4"/>
    <n v="2278417771"/>
  </r>
  <r>
    <x v="13"/>
    <x v="5"/>
    <n v="3374565195"/>
  </r>
  <r>
    <x v="13"/>
    <x v="6"/>
    <n v="4222269485"/>
  </r>
  <r>
    <x v="13"/>
    <x v="8"/>
    <n v="2379172323"/>
  </r>
  <r>
    <x v="13"/>
    <x v="14"/>
    <n v="1803850991"/>
  </r>
  <r>
    <x v="13"/>
    <x v="10"/>
    <n v="2736513609"/>
  </r>
  <r>
    <x v="13"/>
    <x v="11"/>
    <n v="1264085878"/>
  </r>
  <r>
    <x v="13"/>
    <x v="12"/>
    <n v="1274861067"/>
  </r>
  <r>
    <x v="13"/>
    <x v="13"/>
    <n v="4527018767"/>
  </r>
  <r>
    <x v="13"/>
    <x v="19"/>
    <n v="1936569111"/>
  </r>
  <r>
    <x v="13"/>
    <x v="21"/>
    <n v="2883667643"/>
  </r>
  <r>
    <x v="13"/>
    <x v="22"/>
    <n v="4168191840"/>
  </r>
  <r>
    <x v="13"/>
    <x v="15"/>
    <n v="2012044554"/>
  </r>
  <r>
    <x v="13"/>
    <x v="16"/>
    <n v="2678111331"/>
  </r>
  <r>
    <x v="14"/>
    <x v="1"/>
    <n v="2530657107"/>
  </r>
  <r>
    <x v="14"/>
    <x v="2"/>
    <n v="1339610050"/>
  </r>
  <r>
    <x v="14"/>
    <x v="3"/>
    <n v="4419801353"/>
  </r>
  <r>
    <x v="14"/>
    <x v="4"/>
    <n v="1986969275"/>
  </r>
  <r>
    <x v="14"/>
    <x v="5"/>
    <n v="2899343075"/>
  </r>
  <r>
    <x v="14"/>
    <x v="6"/>
    <n v="4168191840"/>
  </r>
  <r>
    <x v="14"/>
    <x v="8"/>
    <n v="1966540137"/>
  </r>
  <r>
    <x v="14"/>
    <x v="10"/>
    <n v="2496616461"/>
  </r>
  <r>
    <x v="14"/>
    <x v="11"/>
    <n v="1332049104"/>
  </r>
  <r>
    <x v="14"/>
    <x v="12"/>
    <n v="886041852"/>
  </r>
  <r>
    <x v="14"/>
    <x v="13"/>
    <n v="4016515924"/>
  </r>
  <r>
    <x v="14"/>
    <x v="14"/>
    <n v="2539397243"/>
  </r>
  <r>
    <x v="14"/>
    <x v="19"/>
    <n v="1803850991"/>
  </r>
  <r>
    <x v="14"/>
    <x v="22"/>
    <n v="3484577486"/>
  </r>
  <r>
    <x v="14"/>
    <x v="15"/>
    <n v="1261210487"/>
  </r>
  <r>
    <x v="14"/>
    <x v="16"/>
    <n v="2335415793"/>
  </r>
  <r>
    <x v="14"/>
    <x v="21"/>
    <n v="2278417771"/>
  </r>
  <r>
    <x v="15"/>
    <x v="21"/>
    <n v="1986969275"/>
  </r>
  <r>
    <x v="15"/>
    <x v="22"/>
    <n v="2806893075"/>
  </r>
  <r>
    <x v="15"/>
    <x v="15"/>
    <n v="1324296196"/>
  </r>
  <r>
    <x v="15"/>
    <x v="16"/>
    <n v="2034681390"/>
  </r>
  <r>
    <x v="15"/>
    <x v="19"/>
    <n v="2539397243"/>
  </r>
  <r>
    <x v="15"/>
    <x v="1"/>
    <n v="2572269731"/>
  </r>
  <r>
    <x v="15"/>
    <x v="2"/>
    <n v="867796980"/>
  </r>
  <r>
    <x v="15"/>
    <x v="3"/>
    <n v="4164126227"/>
  </r>
  <r>
    <x v="15"/>
    <x v="4"/>
    <n v="1784540286"/>
  </r>
  <r>
    <x v="15"/>
    <x v="6"/>
    <n v="3484577486"/>
  </r>
  <r>
    <x v="15"/>
    <x v="5"/>
    <n v="2300520511"/>
  </r>
  <r>
    <x v="15"/>
    <x v="8"/>
    <n v="1261042486"/>
  </r>
  <r>
    <x v="15"/>
    <x v="13"/>
    <n v="4210313522"/>
  </r>
  <r>
    <x v="15"/>
    <x v="10"/>
    <n v="2351385795"/>
  </r>
  <r>
    <x v="15"/>
    <x v="11"/>
    <n v="1324022436"/>
  </r>
  <r>
    <x v="15"/>
    <x v="12"/>
    <n v="6000000"/>
  </r>
  <r>
    <x v="15"/>
    <x v="14"/>
    <n v="2606203706"/>
  </r>
  <r>
    <x v="16"/>
    <x v="5"/>
    <n v="2067319275"/>
  </r>
  <r>
    <x v="16"/>
    <x v="6"/>
    <n v="2806893075"/>
  </r>
  <r>
    <x v="16"/>
    <x v="4"/>
    <n v="2581964319"/>
  </r>
  <r>
    <x v="16"/>
    <x v="8"/>
    <n v="1324296196"/>
  </r>
  <r>
    <x v="16"/>
    <x v="10"/>
    <n v="2041768388"/>
  </r>
  <r>
    <x v="16"/>
    <x v="11"/>
    <n v="862995973"/>
  </r>
  <r>
    <x v="16"/>
    <x v="13"/>
    <n v="3444515187"/>
  </r>
  <r>
    <x v="16"/>
    <x v="14"/>
    <n v="2587616461"/>
  </r>
  <r>
    <x v="16"/>
    <x v="21"/>
    <n v="1784540286"/>
  </r>
  <r>
    <x v="16"/>
    <x v="15"/>
    <n v="1361722436"/>
  </r>
  <r>
    <x v="16"/>
    <x v="16"/>
    <n v="1231619486"/>
  </r>
  <r>
    <x v="16"/>
    <x v="19"/>
    <n v="2606203706"/>
  </r>
  <r>
    <x v="16"/>
    <x v="22"/>
    <n v="2339170511"/>
  </r>
  <r>
    <x v="16"/>
    <x v="3"/>
    <n v="4185842094"/>
  </r>
  <r>
    <x v="16"/>
    <x v="1"/>
    <n v="2311864598"/>
  </r>
  <r>
    <x v="16"/>
    <x v="2"/>
    <n v="55445879"/>
  </r>
  <r>
    <x v="17"/>
    <x v="13"/>
    <n v="2928432253"/>
  </r>
  <r>
    <x v="17"/>
    <x v="10"/>
    <n v="1238496061"/>
  </r>
  <r>
    <x v="17"/>
    <x v="11"/>
    <n v="55445879"/>
  </r>
  <r>
    <x v="17"/>
    <x v="14"/>
    <n v="2332472793"/>
  </r>
  <r>
    <x v="17"/>
    <x v="15"/>
    <n v="833984356"/>
  </r>
  <r>
    <x v="17"/>
    <x v="16"/>
    <n v="1296828243"/>
  </r>
  <r>
    <x v="17"/>
    <x v="19"/>
    <n v="2587616461"/>
  </r>
  <r>
    <x v="17"/>
    <x v="21"/>
    <n v="2581964319"/>
  </r>
  <r>
    <x v="17"/>
    <x v="22"/>
    <n v="1992327072"/>
  </r>
  <r>
    <x v="17"/>
    <x v="3"/>
    <n v="3097694499"/>
  </r>
  <r>
    <x v="17"/>
    <x v="1"/>
    <n v="1966540137"/>
  </r>
  <r>
    <x v="17"/>
    <x v="5"/>
    <n v="1698336998"/>
  </r>
  <r>
    <x v="17"/>
    <x v="4"/>
    <n v="2657590226"/>
  </r>
  <r>
    <x v="17"/>
    <x v="6"/>
    <n v="2339170511"/>
  </r>
  <r>
    <x v="17"/>
    <x v="8"/>
    <n v="1361722436"/>
  </r>
  <r>
    <x v="18"/>
    <x v="10"/>
    <n v="1303001668"/>
  </r>
  <r>
    <x v="18"/>
    <x v="13"/>
    <n v="2345861385"/>
  </r>
  <r>
    <x v="18"/>
    <x v="14"/>
    <n v="2034681390"/>
  </r>
  <r>
    <x v="18"/>
    <x v="15"/>
    <n v="84457496"/>
  </r>
  <r>
    <x v="18"/>
    <x v="16"/>
    <n v="1337512243"/>
  </r>
  <r>
    <x v="18"/>
    <x v="19"/>
    <n v="2332472793"/>
  </r>
  <r>
    <x v="18"/>
    <x v="21"/>
    <n v="2657590226"/>
  </r>
  <r>
    <x v="18"/>
    <x v="22"/>
    <n v="1760129201"/>
  </r>
  <r>
    <x v="18"/>
    <x v="3"/>
    <n v="2661847307"/>
  </r>
  <r>
    <x v="18"/>
    <x v="1"/>
    <n v="1261042486"/>
  </r>
  <r>
    <x v="18"/>
    <x v="6"/>
    <n v="1992327072"/>
  </r>
  <r>
    <x v="18"/>
    <x v="4"/>
    <n v="2496616461"/>
  </r>
  <r>
    <x v="18"/>
    <x v="5"/>
    <n v="2581240264"/>
  </r>
  <r>
    <x v="18"/>
    <x v="8"/>
    <n v="833984356"/>
  </r>
  <r>
    <x v="19"/>
    <x v="6"/>
    <n v="1760129201"/>
  </r>
  <r>
    <x v="19"/>
    <x v="4"/>
    <n v="2351385795"/>
  </r>
  <r>
    <x v="19"/>
    <x v="5"/>
    <n v="2513176585"/>
  </r>
  <r>
    <x v="19"/>
    <x v="8"/>
    <n v="84457496"/>
  </r>
  <r>
    <x v="19"/>
    <x v="10"/>
    <n v="1362472248"/>
  </r>
  <r>
    <x v="19"/>
    <x v="13"/>
    <n v="2008091198"/>
  </r>
  <r>
    <x v="19"/>
    <x v="14"/>
    <n v="1231619486"/>
  </r>
  <r>
    <x v="19"/>
    <x v="16"/>
    <n v="900285502"/>
  </r>
  <r>
    <x v="19"/>
    <x v="19"/>
    <n v="2034681390"/>
  </r>
  <r>
    <x v="19"/>
    <x v="21"/>
    <n v="2496616461"/>
  </r>
  <r>
    <x v="19"/>
    <x v="22"/>
    <n v="2648240264"/>
  </r>
  <r>
    <x v="19"/>
    <x v="3"/>
    <n v="2167142102"/>
  </r>
  <r>
    <x v="19"/>
    <x v="1"/>
    <n v="1324296196"/>
  </r>
  <r>
    <x v="20"/>
    <x v="1"/>
    <n v="1361722436"/>
  </r>
  <r>
    <x v="20"/>
    <x v="3"/>
    <n v="2020746632"/>
  </r>
  <r>
    <x v="20"/>
    <x v="4"/>
    <n v="2041768388"/>
  </r>
  <r>
    <x v="20"/>
    <x v="5"/>
    <n v="2607421630"/>
  </r>
  <r>
    <x v="20"/>
    <x v="6"/>
    <n v="2648240264"/>
  </r>
  <r>
    <x v="20"/>
    <x v="13"/>
    <n v="1819829201"/>
  </r>
  <r>
    <x v="20"/>
    <x v="10"/>
    <n v="927275497"/>
  </r>
  <r>
    <x v="20"/>
    <x v="14"/>
    <n v="1296828243"/>
  </r>
  <r>
    <x v="20"/>
    <x v="16"/>
    <n v="99257496"/>
  </r>
  <r>
    <x v="20"/>
    <x v="19"/>
    <n v="1231619486"/>
  </r>
  <r>
    <x v="20"/>
    <x v="21"/>
    <n v="2351385795"/>
  </r>
  <r>
    <x v="20"/>
    <x v="22"/>
    <n v="2453136727"/>
  </r>
  <r>
    <x v="21"/>
    <x v="19"/>
    <n v="1296828243"/>
  </r>
  <r>
    <x v="21"/>
    <x v="21"/>
    <n v="2041768388"/>
  </r>
  <r>
    <x v="21"/>
    <x v="22"/>
    <n v="2667461488"/>
  </r>
  <r>
    <x v="21"/>
    <x v="1"/>
    <n v="833984356"/>
  </r>
  <r>
    <x v="21"/>
    <x v="3"/>
    <n v="1886316480"/>
  </r>
  <r>
    <x v="21"/>
    <x v="4"/>
    <n v="1238496061"/>
  </r>
  <r>
    <x v="21"/>
    <x v="5"/>
    <n v="2360712598"/>
  </r>
  <r>
    <x v="21"/>
    <x v="6"/>
    <n v="2453136727"/>
  </r>
  <r>
    <x v="21"/>
    <x v="10"/>
    <n v="99257496"/>
  </r>
  <r>
    <x v="21"/>
    <x v="13"/>
    <n v="2648240264"/>
  </r>
  <r>
    <x v="21"/>
    <x v="14"/>
    <n v="1337512243"/>
  </r>
  <r>
    <x v="22"/>
    <x v="4"/>
    <n v="1303001668"/>
  </r>
  <r>
    <x v="22"/>
    <x v="5"/>
    <n v="2111931387"/>
  </r>
  <r>
    <x v="22"/>
    <x v="6"/>
    <n v="2667461488"/>
  </r>
  <r>
    <x v="22"/>
    <x v="13"/>
    <n v="2398091218"/>
  </r>
  <r>
    <x v="22"/>
    <x v="14"/>
    <n v="900285502"/>
  </r>
  <r>
    <x v="22"/>
    <x v="19"/>
    <n v="1337512243"/>
  </r>
  <r>
    <x v="22"/>
    <x v="21"/>
    <n v="1238496061"/>
  </r>
  <r>
    <x v="22"/>
    <x v="22"/>
    <n v="2294962598"/>
  </r>
  <r>
    <x v="22"/>
    <x v="1"/>
    <n v="84457496"/>
  </r>
  <r>
    <x v="22"/>
    <x v="3"/>
    <n v="2655691335"/>
  </r>
  <r>
    <x v="23"/>
    <x v="4"/>
    <n v="1362472248"/>
  </r>
  <r>
    <x v="23"/>
    <x v="5"/>
    <n v="1279542074"/>
  </r>
  <r>
    <x v="23"/>
    <x v="6"/>
    <n v="2294962598"/>
  </r>
  <r>
    <x v="23"/>
    <x v="13"/>
    <n v="2547500942"/>
  </r>
  <r>
    <x v="23"/>
    <x v="14"/>
    <n v="99257496"/>
  </r>
  <r>
    <x v="23"/>
    <x v="19"/>
    <n v="900285502"/>
  </r>
  <r>
    <x v="23"/>
    <x v="21"/>
    <n v="1303001668"/>
  </r>
  <r>
    <x v="23"/>
    <x v="22"/>
    <n v="2132681387"/>
  </r>
  <r>
    <x v="23"/>
    <x v="3"/>
    <n v="2616761204"/>
  </r>
  <r>
    <x v="24"/>
    <x v="13"/>
    <n v="2391409653"/>
  </r>
  <r>
    <x v="24"/>
    <x v="19"/>
    <n v="99257496"/>
  </r>
  <r>
    <x v="24"/>
    <x v="21"/>
    <n v="1362472248"/>
  </r>
  <r>
    <x v="24"/>
    <x v="22"/>
    <n v="1227920064"/>
  </r>
  <r>
    <x v="24"/>
    <x v="3"/>
    <n v="2423898533"/>
  </r>
  <r>
    <x v="24"/>
    <x v="4"/>
    <n v="927275497"/>
  </r>
  <r>
    <x v="24"/>
    <x v="5"/>
    <n v="1256417668"/>
  </r>
  <r>
    <x v="24"/>
    <x v="6"/>
    <n v="2132681387"/>
  </r>
  <r>
    <x v="25"/>
    <x v="4"/>
    <n v="99257496"/>
  </r>
  <r>
    <x v="25"/>
    <x v="5"/>
    <n v="1379185248"/>
  </r>
  <r>
    <x v="25"/>
    <x v="6"/>
    <n v="1227920064"/>
  </r>
  <r>
    <x v="25"/>
    <x v="13"/>
    <n v="2158170455"/>
  </r>
  <r>
    <x v="25"/>
    <x v="21"/>
    <n v="927275497"/>
  </r>
  <r>
    <x v="25"/>
    <x v="22"/>
    <n v="1315039678"/>
  </r>
  <r>
    <x v="25"/>
    <x v="3"/>
    <n v="2461789514"/>
  </r>
  <r>
    <x v="26"/>
    <x v="21"/>
    <n v="99257496"/>
  </r>
  <r>
    <x v="26"/>
    <x v="22"/>
    <n v="1366935303"/>
  </r>
  <r>
    <x v="26"/>
    <x v="3"/>
    <n v="1670400171"/>
  </r>
  <r>
    <x v="26"/>
    <x v="5"/>
    <n v="905598807"/>
  </r>
  <r>
    <x v="26"/>
    <x v="6"/>
    <n v="1315039678"/>
  </r>
  <r>
    <x v="26"/>
    <x v="13"/>
    <n v="1253827736"/>
  </r>
  <r>
    <x v="27"/>
    <x v="3"/>
    <n v="1236852568"/>
  </r>
  <r>
    <x v="27"/>
    <x v="5"/>
    <n v="150805186"/>
  </r>
  <r>
    <x v="27"/>
    <x v="6"/>
    <n v="1366935303"/>
  </r>
  <r>
    <x v="27"/>
    <x v="13"/>
    <n v="1342201938"/>
  </r>
  <r>
    <x v="27"/>
    <x v="22"/>
    <n v="910864752"/>
  </r>
  <r>
    <x v="28"/>
    <x v="3"/>
    <n v="1323061324"/>
  </r>
  <r>
    <x v="28"/>
    <x v="6"/>
    <n v="910864752"/>
  </r>
  <r>
    <x v="28"/>
    <x v="13"/>
    <n v="1310940303"/>
  </r>
  <r>
    <x v="28"/>
    <x v="22"/>
    <n v="195789186"/>
  </r>
  <r>
    <x v="29"/>
    <x v="3"/>
    <n v="1251835893"/>
  </r>
  <r>
    <x v="29"/>
    <x v="6"/>
    <n v="195789186"/>
  </r>
  <r>
    <x v="29"/>
    <x v="13"/>
    <n v="921909752"/>
  </r>
  <r>
    <x v="30"/>
    <x v="13"/>
    <n v="240739186"/>
  </r>
  <r>
    <x v="30"/>
    <x v="3"/>
    <n v="80144190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D3F357-B51C-3F4A-8B8A-2399D2902689}" name="PivotTable7"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6:M38" firstHeaderRow="1" firstDataRow="2" firstDataCol="1"/>
  <pivotFields count="3">
    <pivotField axis="axisRow" showAll="0" defaultSubtotal="0">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Col" showAll="0" defaultSubtotal="0">
      <items count="23">
        <item h="1" x="17"/>
        <item h="1" x="9"/>
        <item h="1" x="20"/>
        <item h="1" x="7"/>
        <item h="1" x="18"/>
        <item h="1" x="0"/>
        <item h="1" x="12"/>
        <item h="1" x="2"/>
        <item h="1" x="11"/>
        <item h="1" x="15"/>
        <item h="1" x="8"/>
        <item x="16"/>
        <item x="10"/>
        <item x="1"/>
        <item x="14"/>
        <item x="19"/>
        <item x="4"/>
        <item x="21"/>
        <item x="5"/>
        <item x="22"/>
        <item x="6"/>
        <item x="13"/>
        <item h="1" x="3"/>
      </items>
    </pivotField>
    <pivotField dataField="1"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11">
    <i>
      <x v="11"/>
    </i>
    <i>
      <x v="12"/>
    </i>
    <i>
      <x v="13"/>
    </i>
    <i>
      <x v="14"/>
    </i>
    <i>
      <x v="15"/>
    </i>
    <i>
      <x v="16"/>
    </i>
    <i>
      <x v="17"/>
    </i>
    <i>
      <x v="18"/>
    </i>
    <i>
      <x v="19"/>
    </i>
    <i>
      <x v="20"/>
    </i>
    <i>
      <x v="21"/>
    </i>
  </colItems>
  <dataFields count="1">
    <dataField name="Sum of principal balanc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O520" dT="2025-04-02T09:48:23.95" personId="{8DB680DD-0DE3-204F-8DF2-B14D0A2F0F65}" id="{206BCE96-2958-8445-AC15-7A0C87A81FD0}">
    <text>lấy theo BBĐS bảo hiểm của recon (dash BIgap 28tr)</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E67DB-0C08-C542-99DD-EB1145967341}">
  <sheetPr>
    <tabColor rgb="FFFF0000"/>
  </sheetPr>
  <dimension ref="A1:T130"/>
  <sheetViews>
    <sheetView showGridLines="0" tabSelected="1" zoomScale="90" workbookViewId="0">
      <pane xSplit="1" ySplit="2" topLeftCell="B3"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8.83203125" defaultRowHeight="14" x14ac:dyDescent="0.15"/>
  <cols>
    <col min="1" max="1" width="8.83203125" style="2"/>
    <col min="2" max="2" width="5.5" style="2" customWidth="1"/>
    <col min="3" max="3" width="5" style="2" customWidth="1"/>
    <col min="4" max="5" width="8.83203125" style="2"/>
    <col min="6" max="6" width="14.5" style="2" customWidth="1"/>
    <col min="7" max="16384" width="8.83203125" style="2"/>
  </cols>
  <sheetData>
    <row r="1" spans="1:20" ht="25" x14ac:dyDescent="0.25">
      <c r="A1" s="1" t="s">
        <v>0</v>
      </c>
    </row>
    <row r="2" spans="1:20" ht="25" x14ac:dyDescent="0.25">
      <c r="A2" s="1"/>
      <c r="B2" s="3" t="s">
        <v>1</v>
      </c>
      <c r="N2" s="4" t="s">
        <v>2</v>
      </c>
      <c r="O2" s="4" t="s">
        <v>3</v>
      </c>
      <c r="P2" s="4">
        <v>20251001</v>
      </c>
    </row>
    <row r="3" spans="1:20" ht="25" x14ac:dyDescent="0.15">
      <c r="B3" s="5" t="s">
        <v>4</v>
      </c>
    </row>
    <row r="4" spans="1:20" s="6" customFormat="1" ht="16" x14ac:dyDescent="0.2">
      <c r="B4" s="7"/>
      <c r="C4" s="7" t="s">
        <v>5</v>
      </c>
    </row>
    <row r="5" spans="1:20" x14ac:dyDescent="0.15">
      <c r="D5" s="8" t="s">
        <v>6</v>
      </c>
      <c r="E5" s="9"/>
      <c r="Q5" s="9"/>
      <c r="R5" s="9"/>
      <c r="S5" s="9"/>
      <c r="T5" s="9"/>
    </row>
    <row r="6" spans="1:20" x14ac:dyDescent="0.15">
      <c r="D6" s="8" t="s">
        <v>7</v>
      </c>
      <c r="E6" s="9"/>
      <c r="Q6" s="9"/>
      <c r="R6" s="9"/>
      <c r="S6" s="9"/>
      <c r="T6" s="9"/>
    </row>
    <row r="7" spans="1:20" x14ac:dyDescent="0.15">
      <c r="D7" s="8" t="s">
        <v>8</v>
      </c>
      <c r="E7" s="9"/>
      <c r="Q7" s="9"/>
      <c r="R7" s="9"/>
      <c r="S7" s="9"/>
      <c r="T7" s="9"/>
    </row>
    <row r="8" spans="1:20" x14ac:dyDescent="0.15">
      <c r="D8" s="8" t="s">
        <v>9</v>
      </c>
      <c r="E8" s="9"/>
      <c r="Q8" s="9"/>
      <c r="R8" s="9"/>
      <c r="S8" s="9"/>
      <c r="T8" s="9"/>
    </row>
    <row r="9" spans="1:20" x14ac:dyDescent="0.15">
      <c r="D9" s="8" t="s">
        <v>10</v>
      </c>
      <c r="E9" s="9"/>
      <c r="Q9" s="9"/>
      <c r="R9" s="9"/>
      <c r="S9" s="9"/>
      <c r="T9" s="9"/>
    </row>
    <row r="10" spans="1:20" x14ac:dyDescent="0.15">
      <c r="D10" s="8" t="s">
        <v>11</v>
      </c>
      <c r="E10" s="9"/>
      <c r="Q10" s="9"/>
      <c r="R10" s="9"/>
      <c r="S10" s="9"/>
      <c r="T10" s="9"/>
    </row>
    <row r="11" spans="1:20" x14ac:dyDescent="0.15">
      <c r="E11" s="8" t="s">
        <v>12</v>
      </c>
      <c r="Q11" s="9"/>
      <c r="R11" s="9"/>
      <c r="S11" s="9"/>
      <c r="T11" s="9"/>
    </row>
    <row r="12" spans="1:20" x14ac:dyDescent="0.15">
      <c r="E12" s="8" t="s">
        <v>13</v>
      </c>
      <c r="Q12" s="9"/>
      <c r="R12" s="9"/>
      <c r="S12" s="9"/>
      <c r="T12" s="9"/>
    </row>
    <row r="13" spans="1:20" x14ac:dyDescent="0.15">
      <c r="E13" s="8" t="s">
        <v>14</v>
      </c>
      <c r="Q13" s="9"/>
      <c r="R13" s="9"/>
      <c r="S13" s="9"/>
      <c r="T13" s="9"/>
    </row>
    <row r="14" spans="1:20" x14ac:dyDescent="0.15">
      <c r="E14" s="9"/>
      <c r="Q14" s="9"/>
      <c r="R14" s="9"/>
      <c r="S14" s="9"/>
      <c r="T14" s="9"/>
    </row>
    <row r="15" spans="1:20" x14ac:dyDescent="0.15">
      <c r="C15" s="10" t="s">
        <v>15</v>
      </c>
      <c r="D15" s="9"/>
      <c r="E15" s="9"/>
      <c r="Q15" s="9"/>
      <c r="R15" s="9"/>
      <c r="S15" s="9"/>
      <c r="T15" s="9"/>
    </row>
    <row r="16" spans="1:20" x14ac:dyDescent="0.15">
      <c r="D16" s="8" t="s">
        <v>16</v>
      </c>
      <c r="E16" s="9"/>
      <c r="Q16" s="9"/>
      <c r="R16" s="9"/>
      <c r="S16" s="9"/>
      <c r="T16" s="9"/>
    </row>
    <row r="17" spans="2:20" x14ac:dyDescent="0.15">
      <c r="D17" s="8" t="s">
        <v>17</v>
      </c>
      <c r="E17" s="9"/>
      <c r="Q17" s="9"/>
      <c r="R17" s="9"/>
      <c r="S17" s="9"/>
      <c r="T17" s="9"/>
    </row>
    <row r="18" spans="2:20" x14ac:dyDescent="0.15">
      <c r="D18" s="8" t="s">
        <v>18</v>
      </c>
      <c r="E18" s="9"/>
      <c r="Q18" s="9"/>
      <c r="R18" s="9"/>
      <c r="S18" s="9"/>
      <c r="T18" s="9"/>
    </row>
    <row r="19" spans="2:20" ht="12" customHeight="1" x14ac:dyDescent="0.15">
      <c r="B19" s="5"/>
      <c r="C19" s="10"/>
      <c r="D19" s="8"/>
      <c r="E19" s="9"/>
      <c r="Q19" s="9"/>
      <c r="R19" s="9"/>
      <c r="S19" s="9"/>
      <c r="T19" s="9"/>
    </row>
    <row r="20" spans="2:20" ht="25" x14ac:dyDescent="0.15">
      <c r="B20" s="5" t="s">
        <v>19</v>
      </c>
      <c r="D20" s="8"/>
      <c r="E20" s="9"/>
      <c r="Q20" s="9"/>
      <c r="R20" s="9"/>
      <c r="S20" s="9"/>
      <c r="T20" s="9"/>
    </row>
    <row r="21" spans="2:20" x14ac:dyDescent="0.15">
      <c r="D21" s="11" t="s">
        <v>20</v>
      </c>
      <c r="E21" s="9"/>
      <c r="Q21" s="9"/>
      <c r="R21" s="9"/>
      <c r="S21" s="9"/>
      <c r="T21" s="9"/>
    </row>
    <row r="22" spans="2:20" x14ac:dyDescent="0.15">
      <c r="D22" s="8"/>
      <c r="E22" s="12" t="s">
        <v>21</v>
      </c>
      <c r="F22" s="13"/>
      <c r="G22" s="13"/>
      <c r="H22" s="13"/>
      <c r="Q22" s="9"/>
      <c r="R22" s="9"/>
      <c r="S22" s="9"/>
      <c r="T22" s="9"/>
    </row>
    <row r="23" spans="2:20" x14ac:dyDescent="0.15">
      <c r="D23" s="8"/>
      <c r="E23" s="14" t="s">
        <v>22</v>
      </c>
      <c r="Q23" s="9"/>
      <c r="R23" s="9"/>
      <c r="S23" s="9"/>
      <c r="T23" s="9"/>
    </row>
    <row r="24" spans="2:20" x14ac:dyDescent="0.15">
      <c r="D24" s="8"/>
      <c r="E24" s="14"/>
      <c r="F24" s="8" t="s">
        <v>23</v>
      </c>
      <c r="Q24" s="9"/>
      <c r="R24" s="9"/>
      <c r="S24" s="9"/>
      <c r="T24" s="9"/>
    </row>
    <row r="25" spans="2:20" x14ac:dyDescent="0.15">
      <c r="D25" s="8"/>
      <c r="F25" s="15" t="s">
        <v>24</v>
      </c>
      <c r="Q25" s="9"/>
      <c r="R25" s="9"/>
      <c r="S25" s="9"/>
      <c r="T25" s="9"/>
    </row>
    <row r="26" spans="2:20" x14ac:dyDescent="0.15">
      <c r="D26" s="8"/>
      <c r="E26" s="14" t="s">
        <v>25</v>
      </c>
      <c r="Q26" s="9"/>
      <c r="R26" s="9"/>
      <c r="S26" s="9"/>
      <c r="T26" s="9"/>
    </row>
    <row r="27" spans="2:20" x14ac:dyDescent="0.15">
      <c r="D27" s="8"/>
      <c r="E27" s="14"/>
      <c r="F27" s="15" t="s">
        <v>26</v>
      </c>
      <c r="Q27" s="9"/>
      <c r="R27" s="9"/>
      <c r="S27" s="9"/>
      <c r="T27" s="9"/>
    </row>
    <row r="28" spans="2:20" x14ac:dyDescent="0.15">
      <c r="D28" s="8"/>
      <c r="E28" s="14"/>
      <c r="F28" s="15" t="s">
        <v>27</v>
      </c>
      <c r="Q28" s="9"/>
      <c r="R28" s="9"/>
      <c r="S28" s="9"/>
      <c r="T28" s="9"/>
    </row>
    <row r="29" spans="2:20" x14ac:dyDescent="0.15">
      <c r="D29" s="8"/>
      <c r="E29" s="9"/>
      <c r="Q29" s="9"/>
      <c r="R29" s="9"/>
      <c r="S29" s="9"/>
      <c r="T29" s="9"/>
    </row>
    <row r="30" spans="2:20" x14ac:dyDescent="0.15">
      <c r="D30" s="11" t="s">
        <v>28</v>
      </c>
      <c r="E30" s="9"/>
      <c r="Q30" s="9"/>
      <c r="R30" s="9"/>
      <c r="S30" s="9"/>
      <c r="T30" s="9"/>
    </row>
    <row r="31" spans="2:20" x14ac:dyDescent="0.15">
      <c r="D31" s="8"/>
      <c r="E31" s="14" t="s">
        <v>29</v>
      </c>
      <c r="Q31" s="9"/>
      <c r="R31" s="9"/>
      <c r="S31" s="9"/>
      <c r="T31" s="9"/>
    </row>
    <row r="32" spans="2:20" x14ac:dyDescent="0.15">
      <c r="D32" s="8"/>
      <c r="E32" s="14"/>
      <c r="Q32" s="9"/>
      <c r="R32" s="9"/>
      <c r="S32" s="9"/>
      <c r="T32" s="9"/>
    </row>
    <row r="33" spans="2:20" x14ac:dyDescent="0.15">
      <c r="D33" s="8"/>
      <c r="E33" s="9"/>
      <c r="Q33" s="9"/>
      <c r="R33" s="9"/>
      <c r="S33" s="9"/>
      <c r="T33" s="9"/>
    </row>
    <row r="34" spans="2:20" ht="25" x14ac:dyDescent="0.15">
      <c r="B34" s="5" t="s">
        <v>30</v>
      </c>
      <c r="D34" s="8"/>
      <c r="E34" s="9"/>
      <c r="Q34" s="9"/>
      <c r="R34" s="9"/>
      <c r="S34" s="9"/>
      <c r="T34" s="9"/>
    </row>
    <row r="35" spans="2:20" ht="19" thickBot="1" x14ac:dyDescent="0.25">
      <c r="B35" s="16"/>
      <c r="C35" s="17" t="s">
        <v>31</v>
      </c>
      <c r="D35" s="18"/>
      <c r="E35" s="19"/>
      <c r="F35" s="18"/>
      <c r="G35" s="18"/>
      <c r="H35" s="18"/>
      <c r="I35" s="16"/>
      <c r="J35" s="18"/>
      <c r="K35" s="18"/>
      <c r="L35" s="18"/>
      <c r="M35" s="16"/>
      <c r="N35" s="18"/>
      <c r="O35" s="18"/>
      <c r="P35" s="18"/>
      <c r="Q35" s="9"/>
      <c r="R35" s="9"/>
      <c r="S35" s="9"/>
      <c r="T35" s="9"/>
    </row>
    <row r="36" spans="2:20" ht="12" customHeight="1" thickTop="1" x14ac:dyDescent="0.15">
      <c r="B36" s="5"/>
      <c r="D36" s="8"/>
      <c r="E36" s="9"/>
      <c r="Q36" s="9"/>
      <c r="R36" s="9"/>
      <c r="S36" s="9"/>
      <c r="T36" s="9"/>
    </row>
    <row r="37" spans="2:20" s="21" customFormat="1" ht="15" customHeight="1" x14ac:dyDescent="0.15">
      <c r="B37" s="20"/>
      <c r="E37" s="22"/>
      <c r="G37" s="23" t="s">
        <v>32</v>
      </c>
      <c r="L37" s="23" t="s">
        <v>33</v>
      </c>
      <c r="Q37" s="22"/>
      <c r="R37" s="22"/>
      <c r="S37" s="22"/>
      <c r="T37" s="22"/>
    </row>
    <row r="38" spans="2:20" ht="12" customHeight="1" x14ac:dyDescent="0.15">
      <c r="B38" s="5"/>
      <c r="D38" s="24" t="s">
        <v>34</v>
      </c>
      <c r="E38" s="25"/>
      <c r="F38" s="21"/>
      <c r="G38" s="26" t="s">
        <v>35</v>
      </c>
      <c r="H38" s="27"/>
      <c r="I38" s="27"/>
      <c r="J38" s="27"/>
      <c r="K38" s="27"/>
      <c r="L38" s="28" t="s">
        <v>36</v>
      </c>
      <c r="Q38" s="9"/>
      <c r="R38" s="9"/>
      <c r="S38" s="9"/>
      <c r="T38" s="9"/>
    </row>
    <row r="39" spans="2:20" ht="12" customHeight="1" x14ac:dyDescent="0.15">
      <c r="B39" s="5"/>
      <c r="D39" s="24" t="s">
        <v>37</v>
      </c>
      <c r="E39" s="25"/>
      <c r="F39" s="21"/>
      <c r="G39" s="26" t="s">
        <v>38</v>
      </c>
      <c r="H39" s="27"/>
      <c r="I39" s="27"/>
      <c r="J39" s="27"/>
      <c r="K39" s="27"/>
      <c r="L39" s="28" t="s">
        <v>39</v>
      </c>
      <c r="Q39" s="9"/>
      <c r="R39" s="9"/>
      <c r="S39" s="9"/>
      <c r="T39" s="9"/>
    </row>
    <row r="40" spans="2:20" ht="20" customHeight="1" thickBot="1" x14ac:dyDescent="0.25">
      <c r="B40" s="16"/>
      <c r="C40" s="17" t="s">
        <v>40</v>
      </c>
      <c r="D40" s="18"/>
      <c r="E40" s="19"/>
      <c r="F40" s="18"/>
      <c r="G40" s="18"/>
      <c r="H40" s="18"/>
      <c r="I40" s="16"/>
      <c r="J40" s="18"/>
      <c r="K40" s="18"/>
      <c r="L40" s="18"/>
      <c r="M40" s="16"/>
      <c r="N40" s="18"/>
      <c r="O40" s="18"/>
      <c r="P40" s="18"/>
      <c r="Q40" s="29"/>
      <c r="R40" s="9"/>
      <c r="S40" s="9"/>
      <c r="T40" s="9"/>
    </row>
    <row r="41" spans="2:20" ht="12" customHeight="1" thickTop="1" x14ac:dyDescent="0.15">
      <c r="B41" s="20"/>
      <c r="D41" s="8"/>
      <c r="E41" s="9"/>
      <c r="Q41" s="9"/>
      <c r="R41" s="9"/>
      <c r="S41" s="9"/>
      <c r="T41" s="9"/>
    </row>
    <row r="42" spans="2:20" s="21" customFormat="1" ht="15" customHeight="1" x14ac:dyDescent="0.15">
      <c r="B42" s="20"/>
      <c r="E42" s="22"/>
      <c r="G42" s="23" t="s">
        <v>32</v>
      </c>
      <c r="L42" s="23" t="s">
        <v>33</v>
      </c>
      <c r="Q42" s="22"/>
      <c r="R42" s="22"/>
      <c r="S42" s="22"/>
      <c r="T42" s="22"/>
    </row>
    <row r="43" spans="2:20" s="21" customFormat="1" ht="15" customHeight="1" x14ac:dyDescent="0.15">
      <c r="B43" s="20"/>
      <c r="C43" s="30" t="s">
        <v>41</v>
      </c>
      <c r="D43" s="31"/>
      <c r="E43" s="32"/>
      <c r="F43" s="31"/>
      <c r="G43" s="33"/>
      <c r="H43" s="31"/>
      <c r="I43" s="31"/>
      <c r="J43" s="31"/>
      <c r="K43" s="31"/>
      <c r="L43" s="33"/>
      <c r="Q43" s="22"/>
      <c r="R43" s="22"/>
      <c r="S43" s="22"/>
      <c r="T43" s="22"/>
    </row>
    <row r="44" spans="2:20" ht="12" customHeight="1" x14ac:dyDescent="0.15">
      <c r="B44" s="20"/>
      <c r="C44" s="24"/>
      <c r="D44" s="24" t="s">
        <v>42</v>
      </c>
      <c r="E44" s="25"/>
      <c r="F44" s="27"/>
      <c r="G44" s="26" t="s">
        <v>43</v>
      </c>
      <c r="H44" s="27"/>
      <c r="I44" s="27"/>
      <c r="J44" s="27"/>
      <c r="K44" s="27"/>
      <c r="L44" s="28" t="s">
        <v>44</v>
      </c>
      <c r="Q44" s="9"/>
      <c r="R44" s="9"/>
      <c r="S44" s="9"/>
      <c r="T44" s="9"/>
    </row>
    <row r="45" spans="2:20" ht="12" customHeight="1" x14ac:dyDescent="0.15">
      <c r="B45" s="20"/>
      <c r="C45" s="24"/>
      <c r="D45" s="24" t="s">
        <v>45</v>
      </c>
      <c r="E45" s="25"/>
      <c r="F45" s="27"/>
      <c r="G45" s="26" t="s">
        <v>46</v>
      </c>
      <c r="H45" s="27"/>
      <c r="I45" s="27"/>
      <c r="J45" s="27"/>
      <c r="K45" s="27"/>
      <c r="L45" s="28" t="s">
        <v>47</v>
      </c>
      <c r="Q45" s="9"/>
      <c r="R45" s="9"/>
      <c r="S45" s="9"/>
      <c r="T45" s="9"/>
    </row>
    <row r="46" spans="2:20" ht="12" customHeight="1" x14ac:dyDescent="0.15">
      <c r="B46" s="20"/>
      <c r="C46" s="24"/>
      <c r="D46" s="24" t="s">
        <v>48</v>
      </c>
      <c r="E46" s="25"/>
      <c r="F46" s="27"/>
      <c r="G46" s="26" t="s">
        <v>49</v>
      </c>
      <c r="H46" s="27"/>
      <c r="I46" s="27"/>
      <c r="J46" s="27"/>
      <c r="K46" s="27"/>
      <c r="L46" s="28" t="s">
        <v>50</v>
      </c>
      <c r="Q46" s="9"/>
      <c r="R46" s="9"/>
      <c r="S46" s="9"/>
      <c r="T46" s="9"/>
    </row>
    <row r="47" spans="2:20" ht="12" customHeight="1" x14ac:dyDescent="0.15">
      <c r="B47" s="20"/>
      <c r="C47" s="24"/>
      <c r="D47" s="24" t="s">
        <v>51</v>
      </c>
      <c r="E47" s="25"/>
      <c r="F47" s="27"/>
      <c r="G47" s="26" t="s">
        <v>52</v>
      </c>
      <c r="H47" s="27"/>
      <c r="I47" s="27"/>
      <c r="J47" s="27"/>
      <c r="K47" s="27"/>
      <c r="L47" s="28" t="s">
        <v>53</v>
      </c>
      <c r="Q47" s="9"/>
      <c r="R47" s="9"/>
      <c r="S47" s="9"/>
      <c r="T47" s="9"/>
    </row>
    <row r="48" spans="2:20" ht="12" customHeight="1" x14ac:dyDescent="0.15">
      <c r="B48" s="20"/>
      <c r="C48" s="27"/>
      <c r="D48" s="24" t="s">
        <v>54</v>
      </c>
      <c r="E48" s="25"/>
      <c r="F48" s="27"/>
      <c r="G48" s="26" t="s">
        <v>55</v>
      </c>
      <c r="H48" s="27"/>
      <c r="I48" s="27"/>
      <c r="J48" s="27"/>
      <c r="K48" s="27"/>
      <c r="L48" s="34" t="s">
        <v>56</v>
      </c>
      <c r="Q48" s="9"/>
      <c r="R48" s="9"/>
      <c r="S48" s="9"/>
      <c r="T48" s="9"/>
    </row>
    <row r="49" spans="2:20" ht="12" customHeight="1" x14ac:dyDescent="0.15">
      <c r="B49" s="5"/>
      <c r="C49" s="27"/>
      <c r="D49" s="35"/>
      <c r="E49" s="25"/>
      <c r="F49" s="27"/>
      <c r="G49" s="27"/>
      <c r="H49" s="27"/>
      <c r="I49" s="27"/>
      <c r="J49" s="27"/>
      <c r="K49" s="27"/>
      <c r="L49" s="27"/>
      <c r="Q49" s="9"/>
      <c r="R49" s="9"/>
      <c r="S49" s="9"/>
      <c r="T49" s="9"/>
    </row>
    <row r="50" spans="2:20" ht="12" customHeight="1" x14ac:dyDescent="0.15">
      <c r="B50" s="5"/>
      <c r="C50" s="36" t="s">
        <v>57</v>
      </c>
      <c r="D50" s="8"/>
      <c r="E50" s="9"/>
      <c r="Q50" s="9"/>
      <c r="R50" s="9"/>
      <c r="S50" s="9"/>
      <c r="T50" s="9"/>
    </row>
    <row r="51" spans="2:20" ht="12" customHeight="1" x14ac:dyDescent="0.15">
      <c r="B51" s="5"/>
      <c r="C51" s="27"/>
      <c r="D51" s="24" t="s">
        <v>58</v>
      </c>
      <c r="E51" s="9"/>
      <c r="G51" s="26" t="s">
        <v>59</v>
      </c>
      <c r="L51" s="34"/>
      <c r="Q51" s="9"/>
      <c r="R51" s="9"/>
      <c r="S51" s="9"/>
      <c r="T51" s="9"/>
    </row>
    <row r="52" spans="2:20" ht="12" customHeight="1" x14ac:dyDescent="0.15">
      <c r="B52" s="5"/>
      <c r="C52" s="27"/>
      <c r="D52" s="24" t="s">
        <v>60</v>
      </c>
      <c r="E52" s="9"/>
      <c r="G52" s="26" t="s">
        <v>61</v>
      </c>
      <c r="L52" s="34"/>
      <c r="Q52" s="9"/>
      <c r="R52" s="9"/>
      <c r="S52" s="9"/>
      <c r="T52" s="9"/>
    </row>
    <row r="53" spans="2:20" ht="12" customHeight="1" x14ac:dyDescent="0.15">
      <c r="B53" s="5"/>
      <c r="C53" s="27"/>
      <c r="D53" s="24" t="s">
        <v>62</v>
      </c>
      <c r="E53" s="9"/>
      <c r="G53" s="26" t="s">
        <v>63</v>
      </c>
      <c r="L53" s="34" t="s">
        <v>64</v>
      </c>
      <c r="Q53" s="9"/>
      <c r="R53" s="9"/>
      <c r="S53" s="9"/>
      <c r="T53" s="9"/>
    </row>
    <row r="54" spans="2:20" ht="12" customHeight="1" x14ac:dyDescent="0.15">
      <c r="B54" s="5"/>
      <c r="C54" s="27"/>
      <c r="D54" s="24" t="s">
        <v>65</v>
      </c>
      <c r="E54" s="9"/>
      <c r="G54" s="26" t="s">
        <v>66</v>
      </c>
      <c r="L54" s="34"/>
      <c r="Q54" s="9"/>
      <c r="R54" s="9"/>
      <c r="S54" s="9"/>
      <c r="T54" s="9"/>
    </row>
    <row r="55" spans="2:20" ht="12" customHeight="1" x14ac:dyDescent="0.15">
      <c r="B55" s="5"/>
      <c r="D55" s="8"/>
      <c r="E55" s="9"/>
      <c r="G55" s="26"/>
      <c r="L55" s="34"/>
      <c r="Q55" s="9"/>
      <c r="R55" s="9"/>
      <c r="S55" s="9"/>
      <c r="T55" s="9"/>
    </row>
    <row r="56" spans="2:20" ht="12" customHeight="1" x14ac:dyDescent="0.15">
      <c r="B56" s="5"/>
      <c r="C56" s="36" t="s">
        <v>67</v>
      </c>
      <c r="D56" s="8"/>
      <c r="E56" s="9"/>
      <c r="G56" s="26"/>
      <c r="L56" s="34"/>
      <c r="Q56" s="9"/>
      <c r="R56" s="9"/>
      <c r="S56" s="9"/>
      <c r="T56" s="9"/>
    </row>
    <row r="57" spans="2:20" ht="12" customHeight="1" x14ac:dyDescent="0.15">
      <c r="B57" s="5"/>
      <c r="D57" s="24" t="s">
        <v>58</v>
      </c>
      <c r="E57" s="9"/>
      <c r="G57" s="26" t="s">
        <v>59</v>
      </c>
      <c r="L57" s="34"/>
      <c r="Q57" s="9"/>
      <c r="R57" s="9"/>
      <c r="S57" s="9"/>
      <c r="T57" s="9"/>
    </row>
    <row r="58" spans="2:20" ht="12" customHeight="1" x14ac:dyDescent="0.15">
      <c r="B58" s="5"/>
      <c r="D58" s="24" t="s">
        <v>68</v>
      </c>
      <c r="E58" s="9"/>
      <c r="G58" s="26" t="s">
        <v>69</v>
      </c>
      <c r="L58" s="34"/>
      <c r="Q58" s="9"/>
      <c r="R58" s="9"/>
      <c r="S58" s="9"/>
      <c r="T58" s="9"/>
    </row>
    <row r="59" spans="2:20" ht="12" customHeight="1" x14ac:dyDescent="0.15">
      <c r="B59" s="5"/>
      <c r="D59" s="24" t="s">
        <v>70</v>
      </c>
      <c r="E59" s="9"/>
      <c r="G59" s="26" t="s">
        <v>71</v>
      </c>
      <c r="L59" s="34"/>
      <c r="Q59" s="9"/>
      <c r="R59" s="9"/>
      <c r="S59" s="9"/>
      <c r="T59" s="9"/>
    </row>
    <row r="60" spans="2:20" ht="12" customHeight="1" x14ac:dyDescent="0.15">
      <c r="B60" s="5"/>
      <c r="D60" s="24" t="s">
        <v>72</v>
      </c>
      <c r="E60" s="9"/>
      <c r="G60" s="26" t="s">
        <v>73</v>
      </c>
      <c r="L60" s="34" t="s">
        <v>74</v>
      </c>
      <c r="Q60" s="9"/>
      <c r="R60" s="9"/>
      <c r="S60" s="9"/>
      <c r="T60" s="9"/>
    </row>
    <row r="61" spans="2:20" ht="12" customHeight="1" x14ac:dyDescent="0.15">
      <c r="B61" s="5"/>
      <c r="C61" s="36" t="s">
        <v>75</v>
      </c>
      <c r="D61" s="27"/>
      <c r="E61" s="25"/>
      <c r="G61" s="26"/>
      <c r="L61" s="34"/>
      <c r="Q61" s="9"/>
      <c r="R61" s="9"/>
      <c r="S61" s="9"/>
      <c r="T61" s="9"/>
    </row>
    <row r="62" spans="2:20" ht="12" customHeight="1" x14ac:dyDescent="0.15">
      <c r="B62" s="5"/>
      <c r="C62" s="37"/>
      <c r="D62" s="24" t="s">
        <v>76</v>
      </c>
      <c r="E62" s="24"/>
      <c r="G62" s="26" t="s">
        <v>77</v>
      </c>
      <c r="L62" s="34" t="s">
        <v>78</v>
      </c>
      <c r="Q62" s="9"/>
      <c r="R62" s="9"/>
      <c r="S62" s="9"/>
      <c r="T62" s="9"/>
    </row>
    <row r="63" spans="2:20" x14ac:dyDescent="0.15">
      <c r="D63" s="24" t="s">
        <v>79</v>
      </c>
      <c r="E63" s="24"/>
      <c r="G63" s="26" t="s">
        <v>80</v>
      </c>
    </row>
    <row r="64" spans="2:20" ht="12" customHeight="1" x14ac:dyDescent="0.15">
      <c r="B64" s="5"/>
      <c r="C64" s="24"/>
      <c r="D64" s="24" t="s">
        <v>81</v>
      </c>
      <c r="E64" s="25"/>
      <c r="G64" s="26" t="s">
        <v>82</v>
      </c>
      <c r="L64" s="34"/>
      <c r="Q64" s="9"/>
      <c r="R64" s="9"/>
      <c r="S64" s="9"/>
      <c r="T64" s="9"/>
    </row>
    <row r="65" spans="2:20" ht="12" customHeight="1" x14ac:dyDescent="0.15">
      <c r="B65" s="5"/>
      <c r="C65" s="24"/>
      <c r="D65" s="24" t="s">
        <v>83</v>
      </c>
      <c r="E65" s="25"/>
      <c r="G65" s="26" t="s">
        <v>84</v>
      </c>
      <c r="L65" s="34" t="s">
        <v>85</v>
      </c>
      <c r="Q65" s="9"/>
      <c r="R65" s="9"/>
      <c r="S65" s="9"/>
      <c r="T65" s="9"/>
    </row>
    <row r="66" spans="2:20" ht="12" customHeight="1" x14ac:dyDescent="0.15">
      <c r="B66" s="5"/>
      <c r="C66" s="36" t="s">
        <v>86</v>
      </c>
      <c r="D66" s="24"/>
      <c r="E66" s="25"/>
      <c r="G66" s="26"/>
      <c r="L66" s="34"/>
      <c r="Q66" s="9"/>
      <c r="R66" s="9"/>
      <c r="S66" s="9"/>
      <c r="T66" s="9"/>
    </row>
    <row r="67" spans="2:20" ht="12" customHeight="1" x14ac:dyDescent="0.15">
      <c r="B67" s="5"/>
      <c r="C67" s="27"/>
      <c r="D67" s="35" t="s">
        <v>87</v>
      </c>
      <c r="E67" s="25"/>
      <c r="G67" s="26"/>
      <c r="L67" s="34" t="s">
        <v>88</v>
      </c>
      <c r="Q67" s="9"/>
      <c r="R67" s="9"/>
      <c r="S67" s="9"/>
      <c r="T67" s="9"/>
    </row>
    <row r="68" spans="2:20" ht="12" customHeight="1" x14ac:dyDescent="0.15">
      <c r="B68" s="5"/>
      <c r="C68" s="27"/>
      <c r="D68" s="35"/>
      <c r="E68" s="25"/>
      <c r="G68" s="26"/>
      <c r="L68" s="34"/>
      <c r="Q68" s="9"/>
      <c r="R68" s="9"/>
      <c r="S68" s="9"/>
      <c r="T68" s="9"/>
    </row>
    <row r="69" spans="2:20" ht="12" customHeight="1" x14ac:dyDescent="0.15">
      <c r="B69" s="5"/>
      <c r="C69" s="27"/>
      <c r="D69" s="35"/>
      <c r="E69" s="25"/>
      <c r="G69" s="26"/>
      <c r="L69" s="34"/>
      <c r="Q69" s="9"/>
      <c r="R69" s="9"/>
      <c r="S69" s="9"/>
      <c r="T69" s="9"/>
    </row>
    <row r="70" spans="2:20" ht="12" customHeight="1" x14ac:dyDescent="0.15">
      <c r="B70" s="5"/>
      <c r="C70" s="27"/>
      <c r="D70" s="35"/>
      <c r="E70" s="25"/>
      <c r="G70" s="26"/>
      <c r="L70" s="34"/>
      <c r="Q70" s="9"/>
      <c r="R70" s="9"/>
      <c r="S70" s="9"/>
      <c r="T70" s="9"/>
    </row>
    <row r="71" spans="2:20" ht="12" customHeight="1" x14ac:dyDescent="0.15">
      <c r="B71" s="5"/>
      <c r="D71" s="8"/>
      <c r="E71" s="9"/>
      <c r="G71" s="26"/>
      <c r="L71" s="34"/>
      <c r="Q71" s="9"/>
      <c r="R71" s="9"/>
      <c r="S71" s="9"/>
      <c r="T71" s="9"/>
    </row>
    <row r="72" spans="2:20" ht="20" customHeight="1" thickBot="1" x14ac:dyDescent="0.25">
      <c r="B72" s="16"/>
      <c r="C72" s="17" t="s">
        <v>89</v>
      </c>
      <c r="D72" s="18"/>
      <c r="E72" s="19"/>
      <c r="F72" s="18"/>
      <c r="G72" s="18"/>
      <c r="H72" s="18"/>
      <c r="I72" s="16"/>
      <c r="J72" s="18"/>
      <c r="K72" s="18"/>
      <c r="L72" s="18"/>
      <c r="M72" s="16"/>
      <c r="N72" s="18"/>
      <c r="O72" s="18"/>
      <c r="P72" s="18"/>
      <c r="Q72" s="29"/>
      <c r="R72" s="9"/>
      <c r="S72" s="9"/>
      <c r="T72" s="9"/>
    </row>
    <row r="73" spans="2:20" ht="12" customHeight="1" thickTop="1" x14ac:dyDescent="0.15">
      <c r="B73" s="5"/>
      <c r="D73" s="8"/>
      <c r="E73" s="9"/>
      <c r="G73" s="26"/>
      <c r="L73" s="34"/>
      <c r="Q73" s="9"/>
      <c r="R73" s="9"/>
      <c r="S73" s="9"/>
      <c r="T73" s="9"/>
    </row>
    <row r="74" spans="2:20" ht="20" customHeight="1" x14ac:dyDescent="0.15">
      <c r="B74" s="5"/>
      <c r="D74" s="8"/>
      <c r="E74" s="9"/>
      <c r="G74" s="23" t="s">
        <v>32</v>
      </c>
      <c r="H74" s="21"/>
      <c r="I74" s="21"/>
      <c r="J74" s="21"/>
      <c r="K74" s="21"/>
      <c r="L74" s="23" t="s">
        <v>33</v>
      </c>
      <c r="Q74" s="9"/>
      <c r="R74" s="9"/>
      <c r="S74" s="9"/>
      <c r="T74" s="9"/>
    </row>
    <row r="75" spans="2:20" ht="12" customHeight="1" x14ac:dyDescent="0.15">
      <c r="B75" s="5"/>
      <c r="C75" s="36" t="s">
        <v>90</v>
      </c>
      <c r="D75" s="24"/>
      <c r="E75" s="9"/>
      <c r="G75" s="26" t="s">
        <v>91</v>
      </c>
      <c r="L75" s="34"/>
      <c r="Q75" s="9"/>
      <c r="R75" s="9"/>
      <c r="S75" s="9"/>
      <c r="T75" s="9"/>
    </row>
    <row r="76" spans="2:20" ht="12" customHeight="1" x14ac:dyDescent="0.15">
      <c r="B76" s="5"/>
      <c r="C76" s="24"/>
      <c r="D76" s="24"/>
      <c r="E76" s="9"/>
      <c r="G76" s="26"/>
      <c r="L76" s="34"/>
      <c r="Q76" s="9"/>
      <c r="R76" s="9"/>
      <c r="S76" s="9"/>
      <c r="T76" s="9"/>
    </row>
    <row r="77" spans="2:20" ht="12" customHeight="1" x14ac:dyDescent="0.15">
      <c r="B77" s="5"/>
      <c r="C77" s="36" t="s">
        <v>92</v>
      </c>
      <c r="D77" s="37"/>
      <c r="E77" s="9"/>
      <c r="G77" s="38" t="s">
        <v>93</v>
      </c>
      <c r="L77" s="34"/>
      <c r="Q77" s="9"/>
      <c r="R77" s="9"/>
      <c r="S77" s="9"/>
      <c r="T77" s="9"/>
    </row>
    <row r="78" spans="2:20" ht="12" customHeight="1" x14ac:dyDescent="0.15">
      <c r="B78" s="5"/>
      <c r="C78" s="37"/>
      <c r="D78" s="39" t="s">
        <v>94</v>
      </c>
      <c r="E78" s="9"/>
      <c r="G78" s="38" t="s">
        <v>95</v>
      </c>
      <c r="L78" s="34"/>
      <c r="Q78" s="9"/>
      <c r="R78" s="9"/>
      <c r="S78" s="9"/>
      <c r="T78" s="9"/>
    </row>
    <row r="79" spans="2:20" ht="12" customHeight="1" x14ac:dyDescent="0.2">
      <c r="B79" s="5"/>
      <c r="C79" s="24"/>
      <c r="D79" s="24" t="s">
        <v>96</v>
      </c>
      <c r="E79" s="9"/>
      <c r="G79" s="26" t="s">
        <v>97</v>
      </c>
      <c r="L79" s="40" t="s">
        <v>98</v>
      </c>
      <c r="Q79" s="9"/>
      <c r="R79" s="9"/>
      <c r="S79" s="9"/>
      <c r="T79" s="9"/>
    </row>
    <row r="80" spans="2:20" ht="12" customHeight="1" x14ac:dyDescent="0.2">
      <c r="B80" s="5"/>
      <c r="C80" s="24"/>
      <c r="D80" s="24" t="s">
        <v>99</v>
      </c>
      <c r="E80" s="9"/>
      <c r="G80" s="26" t="s">
        <v>100</v>
      </c>
      <c r="L80" s="40" t="s">
        <v>98</v>
      </c>
      <c r="Q80" s="9"/>
      <c r="R80" s="9"/>
      <c r="S80" s="9"/>
      <c r="T80" s="9"/>
    </row>
    <row r="81" spans="2:20" ht="12" customHeight="1" x14ac:dyDescent="0.15">
      <c r="B81" s="5"/>
      <c r="C81" s="24"/>
      <c r="D81" s="24"/>
      <c r="E81" s="9"/>
      <c r="G81" s="26"/>
      <c r="L81" s="34"/>
      <c r="Q81" s="9"/>
      <c r="R81" s="9"/>
      <c r="S81" s="9"/>
      <c r="T81" s="9"/>
    </row>
    <row r="82" spans="2:20" ht="12" customHeight="1" x14ac:dyDescent="0.15">
      <c r="B82" s="5"/>
      <c r="C82" s="24"/>
      <c r="D82" s="24" t="s">
        <v>101</v>
      </c>
      <c r="E82" s="9"/>
      <c r="G82" s="26" t="s">
        <v>102</v>
      </c>
      <c r="L82" s="34"/>
      <c r="Q82" s="9"/>
      <c r="R82" s="9"/>
      <c r="S82" s="9"/>
      <c r="T82" s="9"/>
    </row>
    <row r="83" spans="2:20" ht="12" customHeight="1" x14ac:dyDescent="0.15">
      <c r="B83" s="5"/>
      <c r="C83" s="24"/>
      <c r="D83" s="24" t="s">
        <v>103</v>
      </c>
      <c r="E83" s="9"/>
      <c r="G83" s="26" t="s">
        <v>104</v>
      </c>
      <c r="L83" s="34"/>
      <c r="Q83" s="9"/>
      <c r="R83" s="9"/>
      <c r="S83" s="9"/>
      <c r="T83" s="9"/>
    </row>
    <row r="84" spans="2:20" ht="12" customHeight="1" x14ac:dyDescent="0.15">
      <c r="B84" s="5"/>
      <c r="C84" s="24"/>
      <c r="D84" s="24" t="s">
        <v>105</v>
      </c>
      <c r="E84" s="9"/>
      <c r="G84" s="26" t="s">
        <v>106</v>
      </c>
      <c r="L84" s="34"/>
      <c r="Q84" s="9"/>
      <c r="R84" s="9"/>
      <c r="S84" s="9"/>
      <c r="T84" s="9"/>
    </row>
    <row r="85" spans="2:20" ht="12" customHeight="1" x14ac:dyDescent="0.2">
      <c r="B85" s="5"/>
      <c r="C85" s="24"/>
      <c r="D85" s="24" t="s">
        <v>107</v>
      </c>
      <c r="E85" s="9"/>
      <c r="G85" s="26" t="s">
        <v>108</v>
      </c>
      <c r="L85" s="40" t="s">
        <v>98</v>
      </c>
      <c r="Q85" s="9"/>
      <c r="R85" s="9"/>
      <c r="S85" s="9"/>
      <c r="T85" s="9"/>
    </row>
    <row r="86" spans="2:20" ht="12" customHeight="1" x14ac:dyDescent="0.2">
      <c r="B86" s="41"/>
      <c r="C86" s="24"/>
      <c r="D86" s="24" t="s">
        <v>109</v>
      </c>
      <c r="E86" s="9"/>
      <c r="G86" s="26" t="s">
        <v>110</v>
      </c>
      <c r="L86" s="40" t="s">
        <v>98</v>
      </c>
      <c r="Q86" s="9"/>
      <c r="R86" s="9"/>
      <c r="S86" s="9"/>
      <c r="T86" s="9"/>
    </row>
    <row r="87" spans="2:20" ht="12" customHeight="1" x14ac:dyDescent="0.15">
      <c r="B87" s="5"/>
      <c r="C87" s="24"/>
      <c r="D87" s="24"/>
      <c r="E87" s="9"/>
      <c r="G87" s="26"/>
      <c r="L87" s="34"/>
      <c r="Q87" s="9"/>
      <c r="R87" s="9"/>
      <c r="S87" s="9"/>
      <c r="T87" s="9"/>
    </row>
    <row r="88" spans="2:20" ht="12" customHeight="1" x14ac:dyDescent="0.15">
      <c r="B88" s="5"/>
      <c r="C88" s="24"/>
      <c r="D88" s="24" t="s">
        <v>111</v>
      </c>
      <c r="E88" s="9"/>
      <c r="G88" s="26" t="s">
        <v>112</v>
      </c>
      <c r="L88" s="34"/>
      <c r="Q88" s="9"/>
      <c r="R88" s="9"/>
      <c r="S88" s="9"/>
      <c r="T88" s="9"/>
    </row>
    <row r="89" spans="2:20" ht="12" customHeight="1" x14ac:dyDescent="0.15">
      <c r="B89" s="5"/>
      <c r="C89" s="24"/>
      <c r="D89" s="24"/>
      <c r="E89" s="9"/>
      <c r="G89" s="26"/>
      <c r="L89" s="34"/>
      <c r="Q89" s="9"/>
      <c r="R89" s="9"/>
      <c r="S89" s="9"/>
      <c r="T89" s="9"/>
    </row>
    <row r="90" spans="2:20" ht="12" customHeight="1" x14ac:dyDescent="0.15">
      <c r="B90" s="5"/>
      <c r="C90" s="39" t="s">
        <v>113</v>
      </c>
      <c r="D90" s="24"/>
      <c r="E90" s="9"/>
      <c r="G90" s="26"/>
      <c r="L90" s="34"/>
      <c r="Q90" s="9"/>
      <c r="R90" s="9"/>
      <c r="S90" s="9"/>
      <c r="T90" s="9"/>
    </row>
    <row r="91" spans="2:20" ht="12" customHeight="1" x14ac:dyDescent="0.15">
      <c r="B91" s="5"/>
      <c r="C91" s="42" t="s">
        <v>114</v>
      </c>
      <c r="D91" s="24"/>
      <c r="E91" s="9"/>
      <c r="G91" s="26"/>
      <c r="L91" s="34"/>
      <c r="Q91" s="9"/>
      <c r="R91" s="9"/>
      <c r="S91" s="9"/>
      <c r="T91" s="9"/>
    </row>
    <row r="92" spans="2:20" ht="12" customHeight="1" x14ac:dyDescent="0.15">
      <c r="B92" s="5"/>
      <c r="C92" s="42" t="s">
        <v>115</v>
      </c>
      <c r="D92" s="24"/>
      <c r="E92" s="9"/>
      <c r="G92" s="26"/>
      <c r="L92" s="34"/>
      <c r="Q92" s="9"/>
      <c r="R92" s="9"/>
      <c r="S92" s="9"/>
      <c r="T92" s="9"/>
    </row>
    <row r="93" spans="2:20" ht="12" customHeight="1" x14ac:dyDescent="0.15">
      <c r="B93" s="5"/>
      <c r="C93" s="42"/>
      <c r="D93" s="24"/>
      <c r="E93" s="9"/>
      <c r="G93" s="26"/>
      <c r="L93" s="34"/>
      <c r="Q93" s="9"/>
      <c r="R93" s="9"/>
      <c r="S93" s="9"/>
      <c r="T93" s="9"/>
    </row>
    <row r="94" spans="2:20" ht="12" customHeight="1" x14ac:dyDescent="0.15">
      <c r="B94" s="5"/>
      <c r="C94" s="24"/>
      <c r="D94" s="36" t="s">
        <v>116</v>
      </c>
      <c r="E94" s="9"/>
      <c r="G94" s="26" t="s">
        <v>117</v>
      </c>
      <c r="L94" s="34"/>
      <c r="Q94" s="9"/>
      <c r="R94" s="9"/>
      <c r="S94" s="9"/>
      <c r="T94" s="9"/>
    </row>
    <row r="95" spans="2:20" ht="12" customHeight="1" x14ac:dyDescent="0.15">
      <c r="B95" s="5"/>
      <c r="C95" s="24"/>
      <c r="D95" s="39"/>
      <c r="E95" s="9"/>
      <c r="G95" s="26"/>
      <c r="L95" s="34"/>
      <c r="Q95" s="9"/>
      <c r="R95" s="9"/>
      <c r="S95" s="9"/>
      <c r="T95" s="9"/>
    </row>
    <row r="96" spans="2:20" ht="12" customHeight="1" x14ac:dyDescent="0.15">
      <c r="B96" s="5"/>
      <c r="C96" s="24"/>
      <c r="D96" s="36" t="s">
        <v>118</v>
      </c>
      <c r="E96" s="27"/>
      <c r="G96" s="26"/>
      <c r="L96" s="34"/>
      <c r="Q96" s="9"/>
      <c r="R96" s="9"/>
      <c r="S96" s="9"/>
      <c r="T96" s="9"/>
    </row>
    <row r="97" spans="2:20" ht="12" customHeight="1" x14ac:dyDescent="0.15">
      <c r="B97" s="5"/>
      <c r="C97" s="24"/>
      <c r="D97" s="36"/>
      <c r="E97" s="24" t="s">
        <v>119</v>
      </c>
      <c r="G97" s="26" t="s">
        <v>120</v>
      </c>
      <c r="L97" s="34"/>
      <c r="Q97" s="9"/>
      <c r="R97" s="9"/>
      <c r="S97" s="9"/>
      <c r="T97" s="9"/>
    </row>
    <row r="98" spans="2:20" ht="12" customHeight="1" x14ac:dyDescent="0.15">
      <c r="B98" s="5"/>
      <c r="C98" s="27"/>
      <c r="D98" s="24"/>
      <c r="E98" s="24" t="s">
        <v>121</v>
      </c>
      <c r="G98" s="26" t="s">
        <v>122</v>
      </c>
      <c r="L98" s="34"/>
      <c r="Q98" s="9"/>
      <c r="R98" s="9"/>
      <c r="S98" s="9"/>
      <c r="T98" s="9"/>
    </row>
    <row r="99" spans="2:20" ht="12" customHeight="1" x14ac:dyDescent="0.15">
      <c r="B99" s="5"/>
      <c r="C99" s="27"/>
      <c r="D99" s="24"/>
      <c r="E99" s="24" t="s">
        <v>123</v>
      </c>
      <c r="G99" s="26" t="s">
        <v>124</v>
      </c>
      <c r="L99" s="34"/>
      <c r="Q99" s="9"/>
      <c r="R99" s="9"/>
      <c r="S99" s="9"/>
      <c r="T99" s="9"/>
    </row>
    <row r="100" spans="2:20" ht="12" customHeight="1" x14ac:dyDescent="0.15">
      <c r="B100" s="5"/>
      <c r="C100" s="27"/>
      <c r="D100" s="24"/>
      <c r="E100" s="24" t="s">
        <v>125</v>
      </c>
      <c r="G100" s="26" t="s">
        <v>126</v>
      </c>
      <c r="L100" s="34" t="s">
        <v>127</v>
      </c>
      <c r="Q100" s="9"/>
      <c r="R100" s="9"/>
      <c r="S100" s="9"/>
      <c r="T100" s="9"/>
    </row>
    <row r="101" spans="2:20" ht="12" customHeight="1" x14ac:dyDescent="0.15">
      <c r="B101" s="5"/>
      <c r="C101" s="27"/>
      <c r="D101" s="35"/>
      <c r="E101" s="24" t="s">
        <v>128</v>
      </c>
      <c r="G101" s="26" t="s">
        <v>129</v>
      </c>
      <c r="L101" s="34" t="s">
        <v>130</v>
      </c>
      <c r="Q101" s="9"/>
      <c r="R101" s="9"/>
      <c r="S101" s="9"/>
      <c r="T101" s="9"/>
    </row>
    <row r="102" spans="2:20" ht="12" customHeight="1" x14ac:dyDescent="0.15">
      <c r="B102" s="5"/>
      <c r="C102" s="27"/>
      <c r="D102" s="35"/>
      <c r="E102" s="9"/>
      <c r="G102" s="26"/>
      <c r="L102" s="34"/>
      <c r="Q102" s="9"/>
      <c r="R102" s="9"/>
      <c r="S102" s="9"/>
      <c r="T102" s="9"/>
    </row>
    <row r="103" spans="2:20" ht="12" customHeight="1" x14ac:dyDescent="0.15">
      <c r="C103" s="27"/>
      <c r="D103" s="36" t="s">
        <v>131</v>
      </c>
      <c r="E103" s="27"/>
      <c r="G103" s="26"/>
      <c r="L103" s="34"/>
      <c r="Q103" s="43"/>
      <c r="R103" s="43"/>
      <c r="S103" s="43"/>
      <c r="T103" s="43"/>
    </row>
    <row r="104" spans="2:20" ht="12" customHeight="1" x14ac:dyDescent="0.15">
      <c r="C104" s="27"/>
      <c r="D104" s="27"/>
      <c r="E104" s="24" t="s">
        <v>132</v>
      </c>
      <c r="G104" s="26" t="s">
        <v>133</v>
      </c>
      <c r="L104" s="34"/>
      <c r="Q104" s="9"/>
      <c r="R104" s="9"/>
      <c r="S104" s="9"/>
      <c r="T104" s="9"/>
    </row>
    <row r="105" spans="2:20" ht="12" customHeight="1" x14ac:dyDescent="0.15">
      <c r="C105" s="27"/>
      <c r="D105" s="35"/>
      <c r="E105" s="25"/>
      <c r="G105" s="26"/>
      <c r="L105" s="34"/>
      <c r="Q105" s="9"/>
      <c r="R105" s="9"/>
      <c r="S105" s="9"/>
      <c r="T105" s="9"/>
    </row>
    <row r="106" spans="2:20" ht="12" customHeight="1" x14ac:dyDescent="0.15">
      <c r="C106" s="27"/>
      <c r="D106" s="36" t="s">
        <v>134</v>
      </c>
      <c r="E106" s="36"/>
      <c r="F106" s="36"/>
      <c r="G106" s="26"/>
      <c r="L106" s="34"/>
      <c r="Q106" s="9"/>
      <c r="R106" s="9"/>
      <c r="S106" s="9"/>
      <c r="T106" s="9"/>
    </row>
    <row r="107" spans="2:20" ht="12" customHeight="1" x14ac:dyDescent="0.15">
      <c r="C107" s="27"/>
      <c r="D107" s="36"/>
      <c r="E107" s="24" t="s">
        <v>135</v>
      </c>
      <c r="F107" s="36"/>
      <c r="G107" s="26" t="s">
        <v>136</v>
      </c>
      <c r="H107" s="10"/>
      <c r="L107" s="34"/>
      <c r="Q107" s="9"/>
      <c r="R107" s="9"/>
      <c r="S107" s="9"/>
      <c r="T107" s="9"/>
    </row>
    <row r="108" spans="2:20" ht="12" customHeight="1" x14ac:dyDescent="0.15">
      <c r="C108" s="27"/>
      <c r="D108" s="35"/>
      <c r="E108" s="9"/>
      <c r="G108" s="26"/>
      <c r="L108" s="34"/>
      <c r="Q108" s="9"/>
      <c r="R108" s="9"/>
      <c r="S108" s="9"/>
      <c r="T108" s="9"/>
    </row>
    <row r="109" spans="2:20" ht="12" customHeight="1" x14ac:dyDescent="0.15">
      <c r="C109" s="27"/>
      <c r="D109" s="36" t="s">
        <v>137</v>
      </c>
      <c r="E109" s="27"/>
      <c r="G109" s="38" t="s">
        <v>138</v>
      </c>
      <c r="L109" s="34"/>
      <c r="Q109" s="9"/>
      <c r="R109" s="9"/>
      <c r="S109" s="9"/>
      <c r="T109" s="9"/>
    </row>
    <row r="110" spans="2:20" x14ac:dyDescent="0.15">
      <c r="C110" s="27"/>
      <c r="D110" s="36"/>
      <c r="E110" s="24" t="s">
        <v>139</v>
      </c>
      <c r="G110" s="26" t="s">
        <v>140</v>
      </c>
      <c r="L110" s="34"/>
      <c r="Q110" s="9"/>
      <c r="R110" s="9"/>
      <c r="S110" s="9"/>
      <c r="T110" s="9"/>
    </row>
    <row r="111" spans="2:20" x14ac:dyDescent="0.15">
      <c r="D111" s="36"/>
      <c r="E111" s="24" t="s">
        <v>141</v>
      </c>
      <c r="G111" s="26" t="s">
        <v>142</v>
      </c>
      <c r="L111" s="34"/>
    </row>
    <row r="112" spans="2:20" x14ac:dyDescent="0.15">
      <c r="D112" s="36"/>
      <c r="E112" s="24" t="s">
        <v>143</v>
      </c>
      <c r="G112" s="26" t="s">
        <v>144</v>
      </c>
      <c r="L112" s="34"/>
    </row>
    <row r="113" spans="2:17" x14ac:dyDescent="0.15">
      <c r="D113" s="27"/>
      <c r="E113" s="24" t="s">
        <v>145</v>
      </c>
      <c r="G113" s="26" t="s">
        <v>146</v>
      </c>
      <c r="L113" s="34"/>
    </row>
    <row r="114" spans="2:17" x14ac:dyDescent="0.15">
      <c r="G114" s="26"/>
      <c r="L114" s="34"/>
    </row>
    <row r="115" spans="2:17" ht="15" thickBot="1" x14ac:dyDescent="0.2">
      <c r="B115" s="44"/>
      <c r="C115" s="45" t="s">
        <v>147</v>
      </c>
      <c r="D115" s="46"/>
      <c r="E115" s="44"/>
      <c r="F115" s="44"/>
      <c r="G115" s="44"/>
      <c r="H115" s="46"/>
      <c r="I115" s="46"/>
      <c r="J115" s="46"/>
      <c r="K115" s="46"/>
      <c r="L115" s="46"/>
      <c r="M115" s="46"/>
      <c r="N115" s="46"/>
      <c r="O115" s="46"/>
      <c r="P115" s="46"/>
      <c r="Q115" s="46"/>
    </row>
    <row r="116" spans="2:17" ht="15" thickTop="1" x14ac:dyDescent="0.15">
      <c r="G116" s="26"/>
      <c r="L116" s="34"/>
    </row>
    <row r="117" spans="2:17" x14ac:dyDescent="0.15">
      <c r="D117" s="47" t="s">
        <v>148</v>
      </c>
      <c r="G117" s="26" t="s">
        <v>149</v>
      </c>
      <c r="L117" s="34"/>
    </row>
    <row r="118" spans="2:17" x14ac:dyDescent="0.15">
      <c r="D118" s="47" t="s">
        <v>150</v>
      </c>
      <c r="G118" s="26" t="s">
        <v>151</v>
      </c>
    </row>
    <row r="119" spans="2:17" x14ac:dyDescent="0.15">
      <c r="D119" s="47" t="s">
        <v>152</v>
      </c>
      <c r="G119" s="26" t="s">
        <v>153</v>
      </c>
    </row>
    <row r="120" spans="2:17" x14ac:dyDescent="0.15">
      <c r="G120" s="26"/>
    </row>
    <row r="121" spans="2:17" x14ac:dyDescent="0.15">
      <c r="D121" s="48" t="s">
        <v>154</v>
      </c>
      <c r="E121" s="49"/>
      <c r="G121" s="26" t="s">
        <v>155</v>
      </c>
      <c r="L121" s="34"/>
    </row>
    <row r="122" spans="2:17" x14ac:dyDescent="0.15">
      <c r="D122" s="50" t="s">
        <v>156</v>
      </c>
      <c r="G122" s="26"/>
    </row>
    <row r="123" spans="2:17" x14ac:dyDescent="0.15">
      <c r="D123" s="51" t="s">
        <v>157</v>
      </c>
      <c r="G123" s="26" t="s">
        <v>158</v>
      </c>
    </row>
    <row r="124" spans="2:17" x14ac:dyDescent="0.15">
      <c r="G124" s="26"/>
    </row>
    <row r="125" spans="2:17" x14ac:dyDescent="0.15">
      <c r="G125" s="26"/>
    </row>
    <row r="126" spans="2:17" x14ac:dyDescent="0.15">
      <c r="G126" s="26"/>
    </row>
    <row r="128" spans="2:17" x14ac:dyDescent="0.15">
      <c r="B128" s="10" t="s">
        <v>159</v>
      </c>
      <c r="E128" s="10" t="s">
        <v>160</v>
      </c>
    </row>
    <row r="129" spans="2:5" x14ac:dyDescent="0.15">
      <c r="B129" s="2" t="s">
        <v>161</v>
      </c>
      <c r="E129" s="2" t="s">
        <v>162</v>
      </c>
    </row>
    <row r="130" spans="2:5" x14ac:dyDescent="0.15">
      <c r="B130" s="2" t="s">
        <v>163</v>
      </c>
      <c r="E130" s="2" t="s">
        <v>164</v>
      </c>
    </row>
  </sheetData>
  <sheetProtection insertRows="0" insertHyperlinks="0"/>
  <hyperlinks>
    <hyperlink ref="L79" location="NOTE!B90" display="xem giải thích DPD+ tại đây" xr:uid="{9BF566A0-CA29-B245-9252-A9CA76121D94}"/>
    <hyperlink ref="L80" location="NOTE!B90" display="xem giải thích DPD+ tại đây" xr:uid="{DF134EAD-5878-A442-BFC9-706AD8CA6205}"/>
    <hyperlink ref="L85" location="NOTE!B90" display="xem giải thích DPD+ tại đây" xr:uid="{53460F38-0D17-4B45-AAB2-EF0088C6E26D}"/>
    <hyperlink ref="L86" location="NOTE!B90" display="xem giải thích DPD+ tại đây" xr:uid="{A75697D8-A609-2F41-90A6-8BA1D16B10E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8B7A6-26B3-794E-8E61-3CD518CC0804}">
  <dimension ref="A1:X166"/>
  <sheetViews>
    <sheetView topLeftCell="A99" zoomScale="118" zoomScaleNormal="90" workbookViewId="0">
      <selection activeCell="G124" sqref="G124"/>
    </sheetView>
  </sheetViews>
  <sheetFormatPr baseColWidth="10" defaultColWidth="8.83203125" defaultRowHeight="16" x14ac:dyDescent="0.2"/>
  <cols>
    <col min="1" max="1" width="8.83203125" style="52"/>
    <col min="2" max="2" width="12.33203125" style="52" customWidth="1"/>
    <col min="3" max="3" width="37.33203125" style="52" bestFit="1" customWidth="1"/>
    <col min="4" max="4" width="24.83203125" style="52" customWidth="1"/>
    <col min="5" max="5" width="20.6640625" style="52" bestFit="1" customWidth="1"/>
    <col min="6" max="7" width="20.6640625" style="53" bestFit="1" customWidth="1"/>
    <col min="8" max="10" width="20.6640625" style="52" bestFit="1" customWidth="1"/>
    <col min="11" max="11" width="39.5" style="52" customWidth="1"/>
    <col min="12" max="12" width="20.6640625" style="52" bestFit="1" customWidth="1"/>
    <col min="13" max="15" width="20.83203125" style="52" bestFit="1" customWidth="1"/>
    <col min="16" max="24" width="18.5" style="52" bestFit="1" customWidth="1"/>
    <col min="25" max="25" width="14.83203125" style="52" bestFit="1" customWidth="1"/>
    <col min="26" max="32" width="12.83203125" style="52" bestFit="1" customWidth="1"/>
    <col min="33" max="16384" width="8.83203125" style="52"/>
  </cols>
  <sheetData>
    <row r="1" spans="2:8" x14ac:dyDescent="0.2">
      <c r="C1" s="52" t="s">
        <v>2</v>
      </c>
    </row>
    <row r="2" spans="2:8" x14ac:dyDescent="0.2">
      <c r="C2" s="52" t="s">
        <v>165</v>
      </c>
    </row>
    <row r="4" spans="2:8" x14ac:dyDescent="0.2">
      <c r="B4" s="54">
        <v>1</v>
      </c>
      <c r="C4" s="54" t="s">
        <v>166</v>
      </c>
    </row>
    <row r="5" spans="2:8" x14ac:dyDescent="0.2">
      <c r="H5" s="53"/>
    </row>
    <row r="6" spans="2:8" x14ac:dyDescent="0.2">
      <c r="C6" s="55" t="s">
        <v>167</v>
      </c>
      <c r="E6" s="56">
        <f>D10/D9</f>
        <v>0.38146326202940017</v>
      </c>
      <c r="H6" s="53"/>
    </row>
    <row r="7" spans="2:8" x14ac:dyDescent="0.2">
      <c r="C7" s="55" t="s">
        <v>168</v>
      </c>
      <c r="E7" s="56">
        <f>D11/D10</f>
        <v>0.9373322766260439</v>
      </c>
      <c r="H7" s="53"/>
    </row>
    <row r="8" spans="2:8" x14ac:dyDescent="0.2">
      <c r="H8" s="53"/>
    </row>
    <row r="9" spans="2:8" x14ac:dyDescent="0.2">
      <c r="C9" s="52" t="s">
        <v>169</v>
      </c>
      <c r="D9" s="57">
        <v>2947196</v>
      </c>
    </row>
    <row r="10" spans="2:8" x14ac:dyDescent="0.2">
      <c r="C10" s="52" t="s">
        <v>170</v>
      </c>
      <c r="D10" s="57">
        <v>1124247</v>
      </c>
    </row>
    <row r="11" spans="2:8" x14ac:dyDescent="0.2">
      <c r="C11" s="52" t="s">
        <v>171</v>
      </c>
      <c r="D11" s="57">
        <v>1053793</v>
      </c>
    </row>
    <row r="19" spans="2:21" x14ac:dyDescent="0.2">
      <c r="B19" s="54">
        <v>2</v>
      </c>
      <c r="C19" s="54" t="s">
        <v>172</v>
      </c>
    </row>
    <row r="21" spans="2:21" x14ac:dyDescent="0.2">
      <c r="C21" s="58" t="s">
        <v>173</v>
      </c>
      <c r="D21" s="58" t="s">
        <v>174</v>
      </c>
      <c r="E21" s="58" t="s">
        <v>175</v>
      </c>
      <c r="F21" s="59"/>
      <c r="G21" s="60" t="s">
        <v>176</v>
      </c>
      <c r="H21" s="61" t="s">
        <v>177</v>
      </c>
      <c r="I21" s="61" t="s">
        <v>178</v>
      </c>
      <c r="J21" s="61" t="s">
        <v>179</v>
      </c>
      <c r="K21" s="58" t="s">
        <v>180</v>
      </c>
    </row>
    <row r="22" spans="2:21" x14ac:dyDescent="0.2">
      <c r="B22" s="52" t="s">
        <v>150</v>
      </c>
      <c r="C22" s="62">
        <v>45992</v>
      </c>
      <c r="D22" s="58">
        <v>188031</v>
      </c>
      <c r="E22" s="63">
        <v>699210716000</v>
      </c>
      <c r="F22" s="63">
        <v>190721187321</v>
      </c>
      <c r="G22" s="63">
        <v>3718592.7639591298</v>
      </c>
      <c r="H22" s="63">
        <v>1</v>
      </c>
      <c r="I22" s="58">
        <v>0.56689295913971594</v>
      </c>
      <c r="J22" s="63">
        <v>51741676000</v>
      </c>
      <c r="K22" s="58">
        <v>0.99998936345602496</v>
      </c>
      <c r="L22" s="53">
        <f t="shared" ref="L22:L33" si="0">E22-J22</f>
        <v>647469040000</v>
      </c>
    </row>
    <row r="23" spans="2:21" x14ac:dyDescent="0.2">
      <c r="B23" s="52" t="s">
        <v>150</v>
      </c>
      <c r="C23" s="62">
        <v>45962</v>
      </c>
      <c r="D23" s="58">
        <v>168520</v>
      </c>
      <c r="E23" s="63">
        <v>573628436000</v>
      </c>
      <c r="F23" s="63">
        <v>34260992528</v>
      </c>
      <c r="G23" s="63">
        <v>3403919.0363161601</v>
      </c>
      <c r="H23" s="63">
        <v>1</v>
      </c>
      <c r="I23" s="58">
        <v>0.56788096368383501</v>
      </c>
      <c r="J23" s="63">
        <v>42439206000</v>
      </c>
      <c r="K23" s="58">
        <v>1</v>
      </c>
      <c r="L23" s="53">
        <f t="shared" si="0"/>
        <v>531189230000</v>
      </c>
    </row>
    <row r="24" spans="2:21" x14ac:dyDescent="0.2">
      <c r="B24" s="52" t="s">
        <v>150</v>
      </c>
      <c r="C24" s="62">
        <v>45931</v>
      </c>
      <c r="D24" s="58">
        <v>170703</v>
      </c>
      <c r="E24" s="63">
        <v>591442880000</v>
      </c>
      <c r="F24" s="63">
        <v>36240388319</v>
      </c>
      <c r="G24" s="63">
        <v>3464748.0126301199</v>
      </c>
      <c r="H24" s="63">
        <v>1</v>
      </c>
      <c r="I24" s="58">
        <v>0.56997152949860197</v>
      </c>
      <c r="J24" s="63">
        <v>43760590000</v>
      </c>
      <c r="K24" s="58">
        <v>1</v>
      </c>
      <c r="L24" s="53">
        <f t="shared" si="0"/>
        <v>547682290000</v>
      </c>
    </row>
    <row r="25" spans="2:21" x14ac:dyDescent="0.2">
      <c r="B25" s="52" t="s">
        <v>150</v>
      </c>
      <c r="C25" s="62">
        <v>45901</v>
      </c>
      <c r="D25" s="58">
        <v>137891</v>
      </c>
      <c r="E25" s="63">
        <v>468373996000</v>
      </c>
      <c r="F25" s="63">
        <v>31047611939</v>
      </c>
      <c r="G25" s="63">
        <v>3396697.3624094301</v>
      </c>
      <c r="H25" s="63">
        <v>1</v>
      </c>
      <c r="I25" s="58">
        <v>0.57105322319803298</v>
      </c>
      <c r="J25" s="63">
        <v>34644786000</v>
      </c>
      <c r="K25" s="58">
        <v>1</v>
      </c>
      <c r="L25" s="53">
        <f t="shared" si="0"/>
        <v>433729210000</v>
      </c>
    </row>
    <row r="26" spans="2:21" x14ac:dyDescent="0.2">
      <c r="B26" s="52" t="s">
        <v>150</v>
      </c>
      <c r="C26" s="62">
        <v>45870</v>
      </c>
      <c r="D26" s="58">
        <v>92113</v>
      </c>
      <c r="E26" s="63">
        <v>314000196000</v>
      </c>
      <c r="F26" s="63">
        <v>15439379324</v>
      </c>
      <c r="G26" s="63">
        <v>3408858.64101701</v>
      </c>
      <c r="H26" s="63">
        <v>1</v>
      </c>
      <c r="I26" s="58">
        <v>0.57115065191666703</v>
      </c>
      <c r="J26" s="63">
        <v>23212896000</v>
      </c>
      <c r="K26" s="58">
        <v>1</v>
      </c>
      <c r="L26" s="53">
        <f t="shared" si="0"/>
        <v>290787300000</v>
      </c>
    </row>
    <row r="27" spans="2:21" x14ac:dyDescent="0.2">
      <c r="B27" s="52" t="s">
        <v>150</v>
      </c>
      <c r="C27" s="62">
        <v>45839</v>
      </c>
      <c r="D27" s="58">
        <v>63333</v>
      </c>
      <c r="E27" s="63">
        <v>236663940000</v>
      </c>
      <c r="F27" s="63">
        <v>12296965387</v>
      </c>
      <c r="G27" s="63">
        <v>3736818.7200985202</v>
      </c>
      <c r="H27" s="63">
        <v>1</v>
      </c>
      <c r="I27" s="58">
        <v>0.58071937220722203</v>
      </c>
      <c r="J27" s="63">
        <v>17494140000</v>
      </c>
      <c r="K27" s="58">
        <v>1</v>
      </c>
      <c r="L27" s="53">
        <f t="shared" si="0"/>
        <v>219169800000</v>
      </c>
    </row>
    <row r="28" spans="2:21" x14ac:dyDescent="0.2">
      <c r="B28" s="52" t="s">
        <v>150</v>
      </c>
      <c r="C28" s="62">
        <v>45809</v>
      </c>
      <c r="D28" s="58">
        <v>37045</v>
      </c>
      <c r="E28" s="63">
        <v>164604632000</v>
      </c>
      <c r="F28" s="63">
        <v>5584537745</v>
      </c>
      <c r="G28" s="63">
        <v>4443369.7395059997</v>
      </c>
      <c r="H28" s="63">
        <v>1</v>
      </c>
      <c r="I28" s="58">
        <v>0.598105007423403</v>
      </c>
      <c r="J28" s="63">
        <v>12170632000</v>
      </c>
      <c r="K28" s="58">
        <v>0.99997300580375204</v>
      </c>
      <c r="L28" s="53">
        <f t="shared" si="0"/>
        <v>152434000000</v>
      </c>
    </row>
    <row r="29" spans="2:21" x14ac:dyDescent="0.2">
      <c r="B29" s="52" t="s">
        <v>150</v>
      </c>
      <c r="C29" s="62">
        <v>45778</v>
      </c>
      <c r="D29" s="58">
        <v>40652</v>
      </c>
      <c r="E29" s="63">
        <v>167858172000</v>
      </c>
      <c r="F29" s="63">
        <v>6206674079</v>
      </c>
      <c r="G29" s="63">
        <v>4129149.1685525901</v>
      </c>
      <c r="H29" s="63">
        <v>1</v>
      </c>
      <c r="I29" s="58">
        <v>0.59718095050674003</v>
      </c>
      <c r="J29" s="63">
        <v>12395692000</v>
      </c>
      <c r="K29" s="58">
        <v>1</v>
      </c>
      <c r="L29" s="53">
        <f t="shared" si="0"/>
        <v>155462480000</v>
      </c>
    </row>
    <row r="30" spans="2:21" x14ac:dyDescent="0.2">
      <c r="B30" s="52" t="s">
        <v>150</v>
      </c>
      <c r="C30" s="62">
        <v>45748</v>
      </c>
      <c r="D30" s="58">
        <v>40388</v>
      </c>
      <c r="E30" s="63">
        <v>163797828000</v>
      </c>
      <c r="F30" s="63">
        <v>5553237320</v>
      </c>
      <c r="G30" s="63">
        <v>4055606.3187085199</v>
      </c>
      <c r="H30" s="63">
        <v>1</v>
      </c>
      <c r="I30" s="58">
        <v>0.59601861939189804</v>
      </c>
      <c r="J30" s="63">
        <v>12087558000</v>
      </c>
      <c r="K30" s="58">
        <v>1</v>
      </c>
      <c r="L30" s="53">
        <f t="shared" si="0"/>
        <v>151710270000</v>
      </c>
    </row>
    <row r="31" spans="2:21" x14ac:dyDescent="0.2">
      <c r="B31" s="52" t="s">
        <v>150</v>
      </c>
      <c r="C31" s="62">
        <v>45717</v>
      </c>
      <c r="D31" s="58">
        <v>42319</v>
      </c>
      <c r="E31" s="63">
        <v>158845500000</v>
      </c>
      <c r="F31" s="63">
        <v>5459971468</v>
      </c>
      <c r="G31" s="63">
        <v>3753526.7846593698</v>
      </c>
      <c r="H31" s="63">
        <v>1</v>
      </c>
      <c r="I31" s="58">
        <v>0.59481084146600804</v>
      </c>
      <c r="J31" s="63">
        <v>12610100000</v>
      </c>
      <c r="K31" s="58">
        <v>0.999810959616248</v>
      </c>
      <c r="L31" s="53">
        <f t="shared" si="0"/>
        <v>146235400000</v>
      </c>
      <c r="U31" s="64"/>
    </row>
    <row r="32" spans="2:21" x14ac:dyDescent="0.2">
      <c r="B32" s="52" t="s">
        <v>150</v>
      </c>
      <c r="C32" s="62">
        <v>45689</v>
      </c>
      <c r="D32" s="58">
        <v>35363</v>
      </c>
      <c r="E32" s="63">
        <v>133485000000</v>
      </c>
      <c r="F32" s="63">
        <v>4749141919</v>
      </c>
      <c r="G32" s="63">
        <v>3774708.0281650298</v>
      </c>
      <c r="H32" s="63">
        <v>1</v>
      </c>
      <c r="I32" s="58">
        <v>0.59569041088142904</v>
      </c>
      <c r="J32" s="63">
        <v>10618710000</v>
      </c>
      <c r="K32" s="58">
        <v>1</v>
      </c>
      <c r="L32" s="53">
        <f t="shared" si="0"/>
        <v>122866290000</v>
      </c>
    </row>
    <row r="33" spans="2:15" x14ac:dyDescent="0.2">
      <c r="B33" s="52" t="s">
        <v>150</v>
      </c>
      <c r="C33" s="62">
        <v>45658</v>
      </c>
      <c r="D33" s="58">
        <v>37562</v>
      </c>
      <c r="E33" s="63">
        <v>141375000000</v>
      </c>
      <c r="F33" s="63">
        <v>5354592901</v>
      </c>
      <c r="G33" s="63">
        <v>3763777.22166018</v>
      </c>
      <c r="H33" s="63">
        <v>1</v>
      </c>
      <c r="I33" s="58">
        <v>0.59706085937915898</v>
      </c>
      <c r="J33" s="63">
        <v>11270440000</v>
      </c>
      <c r="K33" s="58">
        <v>1</v>
      </c>
      <c r="L33" s="53">
        <f t="shared" si="0"/>
        <v>130104560000</v>
      </c>
    </row>
    <row r="34" spans="2:15" x14ac:dyDescent="0.2">
      <c r="C34" s="65"/>
      <c r="E34" s="66"/>
      <c r="F34" s="66"/>
      <c r="G34" s="66"/>
      <c r="H34" s="67"/>
      <c r="I34" s="68"/>
      <c r="J34" s="66"/>
      <c r="K34" s="69"/>
      <c r="L34" s="70"/>
    </row>
    <row r="35" spans="2:15" x14ac:dyDescent="0.2">
      <c r="C35" s="65"/>
      <c r="D35" s="66"/>
      <c r="E35" s="66"/>
      <c r="F35" s="66"/>
      <c r="G35" s="66"/>
      <c r="H35" s="71">
        <f>SUMPRODUCT(H22:H33,D22:D33)/SUM(D22:D33)</f>
        <v>1</v>
      </c>
      <c r="I35" s="72"/>
      <c r="J35" s="66"/>
      <c r="K35" s="69"/>
      <c r="L35" s="70"/>
    </row>
    <row r="36" spans="2:15" x14ac:dyDescent="0.2">
      <c r="C36" s="65"/>
      <c r="D36" s="66"/>
      <c r="E36" s="66"/>
      <c r="F36" s="66" t="s">
        <v>181</v>
      </c>
      <c r="G36" s="66" t="s">
        <v>182</v>
      </c>
      <c r="H36" s="66" t="s">
        <v>183</v>
      </c>
      <c r="I36" s="72"/>
      <c r="J36" s="66" t="s">
        <v>184</v>
      </c>
      <c r="K36" s="69" t="s">
        <v>81</v>
      </c>
      <c r="L36" s="70"/>
    </row>
    <row r="37" spans="2:15" x14ac:dyDescent="0.2">
      <c r="C37" s="55" t="s">
        <v>185</v>
      </c>
      <c r="E37" s="70"/>
      <c r="F37" s="53">
        <f>G37</f>
        <v>3.5358328850990226</v>
      </c>
      <c r="G37" s="73">
        <f>SUM(E22:E24)/SUM(D22:D24)/10^6</f>
        <v>3.5358328850990226</v>
      </c>
      <c r="H37" s="74">
        <f>ROUND(SUMPRODUCT(H22:H24,E22:E24)/SUM(E22:E24),0)</f>
        <v>1</v>
      </c>
      <c r="I37" s="75">
        <f>AVERAGE(I22:I24)</f>
        <v>0.56824848410738438</v>
      </c>
      <c r="J37" s="75">
        <v>0.08</v>
      </c>
      <c r="K37" s="76">
        <f>SUMPRODUCT(K22:K24,E22:E24)/SUM(E22:E24)</f>
        <v>0.9999960106972009</v>
      </c>
    </row>
    <row r="39" spans="2:15" x14ac:dyDescent="0.2">
      <c r="D39" s="52">
        <v>1</v>
      </c>
      <c r="E39" s="52">
        <f>D39+1</f>
        <v>2</v>
      </c>
      <c r="F39" s="53">
        <f t="shared" ref="F39:M39" si="1">E39+1</f>
        <v>3</v>
      </c>
      <c r="G39" s="53">
        <f t="shared" si="1"/>
        <v>4</v>
      </c>
      <c r="H39" s="52">
        <f t="shared" si="1"/>
        <v>5</v>
      </c>
      <c r="I39" s="52">
        <f t="shared" si="1"/>
        <v>6</v>
      </c>
      <c r="J39" s="52">
        <f t="shared" si="1"/>
        <v>7</v>
      </c>
      <c r="K39" s="52">
        <f t="shared" si="1"/>
        <v>8</v>
      </c>
      <c r="L39" s="52">
        <f t="shared" si="1"/>
        <v>9</v>
      </c>
      <c r="M39" s="52">
        <f t="shared" si="1"/>
        <v>10</v>
      </c>
      <c r="N39" s="52">
        <v>11</v>
      </c>
      <c r="O39" s="52">
        <v>12</v>
      </c>
    </row>
    <row r="40" spans="2:15" x14ac:dyDescent="0.2">
      <c r="C40" s="52" t="s">
        <v>186</v>
      </c>
      <c r="D40" s="57">
        <v>581050000</v>
      </c>
      <c r="E40" s="57">
        <v>427800000</v>
      </c>
      <c r="F40" s="57">
        <v>512350000</v>
      </c>
      <c r="G40" s="57">
        <v>514550000</v>
      </c>
      <c r="H40" s="57">
        <v>517850000</v>
      </c>
      <c r="I40" s="57">
        <v>527000000</v>
      </c>
      <c r="J40" s="57">
        <v>425350000</v>
      </c>
      <c r="K40" s="57">
        <v>78350000</v>
      </c>
      <c r="L40" s="57">
        <v>86800000</v>
      </c>
      <c r="M40" s="57">
        <v>104300000</v>
      </c>
      <c r="N40" s="77">
        <v>85100000</v>
      </c>
      <c r="O40" s="77">
        <v>69950000</v>
      </c>
    </row>
    <row r="42" spans="2:15" x14ac:dyDescent="0.2">
      <c r="C42" s="52" t="s">
        <v>187</v>
      </c>
      <c r="D42" s="78">
        <f>SUM(M40:O40)/SUM(D22:D24)/10^6</f>
        <v>4.9188816016568866E-4</v>
      </c>
      <c r="E42" s="79"/>
      <c r="F42" s="79"/>
      <c r="G42" s="79"/>
    </row>
    <row r="43" spans="2:15" x14ac:dyDescent="0.2">
      <c r="E43" s="79"/>
      <c r="F43" s="79"/>
      <c r="G43" s="79"/>
    </row>
    <row r="44" spans="2:15" x14ac:dyDescent="0.2">
      <c r="E44" s="79"/>
      <c r="F44" s="79"/>
      <c r="G44" s="79"/>
    </row>
    <row r="45" spans="2:15" x14ac:dyDescent="0.2">
      <c r="E45" s="79"/>
      <c r="F45" s="79"/>
      <c r="G45" s="79"/>
    </row>
    <row r="47" spans="2:15" x14ac:dyDescent="0.2">
      <c r="B47" s="54">
        <v>3</v>
      </c>
      <c r="C47" s="54" t="s">
        <v>188</v>
      </c>
    </row>
    <row r="48" spans="2:15" x14ac:dyDescent="0.2">
      <c r="B48" s="54"/>
      <c r="C48" s="54"/>
    </row>
    <row r="49" spans="2:23" x14ac:dyDescent="0.2">
      <c r="B49" s="54"/>
      <c r="C49" s="54"/>
      <c r="D49" s="77">
        <v>1</v>
      </c>
      <c r="E49" s="77">
        <f>D49+1</f>
        <v>2</v>
      </c>
      <c r="F49" s="57">
        <f t="shared" ref="F49:M49" si="2">E49+1</f>
        <v>3</v>
      </c>
      <c r="G49" s="57">
        <f t="shared" si="2"/>
        <v>4</v>
      </c>
      <c r="H49" s="77">
        <f t="shared" si="2"/>
        <v>5</v>
      </c>
      <c r="I49" s="77">
        <f t="shared" si="2"/>
        <v>6</v>
      </c>
      <c r="J49" s="77">
        <f t="shared" si="2"/>
        <v>7</v>
      </c>
      <c r="K49" s="77">
        <f t="shared" si="2"/>
        <v>8</v>
      </c>
      <c r="L49" s="77">
        <f t="shared" si="2"/>
        <v>9</v>
      </c>
      <c r="M49" s="77">
        <f t="shared" si="2"/>
        <v>10</v>
      </c>
      <c r="N49" s="77">
        <v>11</v>
      </c>
      <c r="O49" s="77">
        <v>12</v>
      </c>
    </row>
    <row r="50" spans="2:23" x14ac:dyDescent="0.2">
      <c r="B50" s="54"/>
      <c r="C50" s="54" t="s">
        <v>189</v>
      </c>
      <c r="D50" s="57">
        <f>PNL!M517+PNL!M556+PNL!M595+PNL!M634+PNL!M672</f>
        <v>37557</v>
      </c>
      <c r="E50" s="57">
        <f>PNL!N517+PNL!N556+PNL!N595+PNL!N634+PNL!N672</f>
        <v>35357</v>
      </c>
      <c r="F50" s="57">
        <f>PNL!O517+PNL!O556+PNL!O595+PNL!O634+PNL!O672</f>
        <v>42315</v>
      </c>
      <c r="G50" s="57">
        <f>PNL!P517+PNL!P556+PNL!P595+PNL!P634+PNL!P672</f>
        <v>40433</v>
      </c>
      <c r="H50" s="57">
        <f>PNL!Q517+PNL!Q556+PNL!Q595+PNL!Q634+PNL!Q672</f>
        <v>40883</v>
      </c>
      <c r="I50" s="57">
        <f>PNL!R517+PNL!R556+PNL!R595+PNL!R634+PNL!R672</f>
        <v>37045</v>
      </c>
      <c r="J50" s="57">
        <f>PNL!S517+PNL!S556+PNL!S595+PNL!S634+PNL!S672</f>
        <v>63333</v>
      </c>
      <c r="K50" s="57">
        <f>PNL!T517+PNL!T556+PNL!T595+PNL!T634+PNL!T672</f>
        <v>92113</v>
      </c>
      <c r="L50" s="57">
        <f>PNL!U517+PNL!U556+PNL!U595+PNL!U634+PNL!U672</f>
        <v>137889</v>
      </c>
      <c r="M50" s="57">
        <f>PNL!V517+PNL!V556+PNL!V595+PNL!V634+PNL!V672</f>
        <v>170644</v>
      </c>
      <c r="N50" s="57">
        <f>PNL!W517+PNL!W556+PNL!W595+PNL!W634+PNL!W672</f>
        <v>168520</v>
      </c>
      <c r="O50" s="57">
        <f>PNL!X517+PNL!X556+PNL!X595+PNL!X634+PNL!X672</f>
        <v>188031</v>
      </c>
    </row>
    <row r="51" spans="2:23" x14ac:dyDescent="0.2">
      <c r="B51" s="54"/>
      <c r="C51" s="54" t="s">
        <v>190</v>
      </c>
      <c r="D51" s="57">
        <f>PNL!M519+PNL!M558+PNL!M597+PNL!M636+PNL!M674</f>
        <v>48569</v>
      </c>
      <c r="E51" s="57">
        <f>PNL!N519+PNL!N558+PNL!N597+PNL!N636+PNL!N674</f>
        <v>43818</v>
      </c>
      <c r="F51" s="57">
        <f>PNL!O519+PNL!O558+PNL!O597+PNL!O636+PNL!O674</f>
        <v>45385</v>
      </c>
      <c r="G51" s="57">
        <f>PNL!P519+PNL!P558+PNL!P597+PNL!P636+PNL!P674</f>
        <v>44806</v>
      </c>
      <c r="H51" s="57">
        <f>PNL!Q519+PNL!Q558+PNL!Q597+PNL!Q636+PNL!Q674</f>
        <v>44647</v>
      </c>
      <c r="I51" s="57">
        <f>PNL!R519+PNL!R558+PNL!R597+PNL!R636+PNL!R674</f>
        <v>42621</v>
      </c>
      <c r="J51" s="57">
        <f>PNL!S519+PNL!S558+PNL!S597+PNL!S636+PNL!S674</f>
        <v>45925</v>
      </c>
      <c r="K51" s="57">
        <f>PNL!T519+PNL!T558+PNL!T597+PNL!T636+PNL!T674</f>
        <v>83734</v>
      </c>
      <c r="L51" s="57">
        <f>PNL!U519+PNL!U558+PNL!U597+PNL!U636+PNL!U674</f>
        <v>127388</v>
      </c>
      <c r="M51" s="57">
        <f>PNL!V519+PNL!V558+PNL!V597+PNL!V636+PNL!V674</f>
        <v>151899</v>
      </c>
      <c r="N51" s="57">
        <f>PNL!W519+PNL!W558+PNL!W597+PNL!W636+PNL!W674</f>
        <v>165822</v>
      </c>
      <c r="O51" s="57">
        <f>PNL!X519+PNL!X558+PNL!X597+PNL!X636+PNL!X674</f>
        <v>184132</v>
      </c>
    </row>
    <row r="52" spans="2:23" x14ac:dyDescent="0.2">
      <c r="B52" s="54"/>
      <c r="C52" s="54" t="s">
        <v>191</v>
      </c>
      <c r="D52" s="57">
        <f>PNL!M520+PNL!M559+PNL!M598+PNL!M637+PNL!M675</f>
        <v>141375000000</v>
      </c>
      <c r="E52" s="57">
        <f>PNL!N520+PNL!N559+PNL!N598+PNL!N637+PNL!N675</f>
        <v>133485000000</v>
      </c>
      <c r="F52" s="57">
        <f>PNL!O520+PNL!O559+PNL!O598+PNL!O637+PNL!O675</f>
        <v>158817500000</v>
      </c>
      <c r="G52" s="57">
        <f>PNL!P520+PNL!P559+PNL!P598+PNL!P637+PNL!P675</f>
        <v>163797828000</v>
      </c>
      <c r="H52" s="57">
        <f>PNL!Q520+PNL!Q559+PNL!Q598+PNL!Q637+PNL!Q675</f>
        <v>167858172000</v>
      </c>
      <c r="I52" s="57">
        <f>PNL!R520+PNL!R559+PNL!R598+PNL!R637+PNL!R675</f>
        <v>164604632000</v>
      </c>
      <c r="J52" s="57">
        <f>PNL!S520+PNL!S559+PNL!S598+PNL!S637+PNL!S675</f>
        <v>236641260000</v>
      </c>
      <c r="K52" s="57">
        <f>PNL!T520+PNL!T559+PNL!T598+PNL!T637+PNL!T675</f>
        <v>314000196000</v>
      </c>
      <c r="L52" s="57">
        <f>PNL!U520+PNL!U559+PNL!U598+PNL!U637+PNL!U675</f>
        <v>468367516000</v>
      </c>
      <c r="M52" s="57">
        <f>PNL!V520+PNL!V559+PNL!V598+PNL!V637+PNL!V675</f>
        <v>591173880000</v>
      </c>
      <c r="N52" s="57">
        <f>PNL!W520+PNL!W559+PNL!W598+PNL!W637+PNL!W675</f>
        <v>573628436000</v>
      </c>
      <c r="O52" s="57">
        <f>PNL!X520+PNL!X559+PNL!X598+PNL!X637+PNL!X675</f>
        <v>699210716000</v>
      </c>
    </row>
    <row r="53" spans="2:23" x14ac:dyDescent="0.2">
      <c r="B53" s="54"/>
      <c r="C53" s="54"/>
      <c r="D53" s="57"/>
      <c r="E53" s="57"/>
      <c r="F53" s="57"/>
      <c r="G53" s="57"/>
      <c r="H53" s="57"/>
      <c r="I53" s="57"/>
      <c r="J53" s="57"/>
      <c r="K53" s="57"/>
      <c r="L53" s="57"/>
      <c r="M53" s="57"/>
      <c r="N53" s="77"/>
      <c r="O53" s="77"/>
    </row>
    <row r="54" spans="2:23" x14ac:dyDescent="0.2">
      <c r="B54" s="54"/>
      <c r="C54" s="54" t="s">
        <v>192</v>
      </c>
      <c r="D54" s="57">
        <f>PNL!M547+PNL!M586+PNL!M625+PNL!M664+PNL!M702</f>
        <v>294708631</v>
      </c>
      <c r="E54" s="57">
        <f>PNL!N547+PNL!N586+PNL!N625+PNL!N664+PNL!N702</f>
        <v>241456911</v>
      </c>
      <c r="F54" s="57">
        <f>PNL!O547+PNL!O586+PNL!O625+PNL!O664+PNL!O702</f>
        <v>274430890</v>
      </c>
      <c r="G54" s="57">
        <f>PNL!P547+PNL!P586+PNL!P625+PNL!P664+PNL!P702</f>
        <v>256778107.00000003</v>
      </c>
      <c r="H54" s="57">
        <f>PNL!Q547+PNL!Q586+PNL!Q625+PNL!Q664+PNL!Q702</f>
        <v>230726390</v>
      </c>
      <c r="I54" s="57">
        <f>PNL!R547+PNL!R586+PNL!R625+PNL!R664+PNL!R702</f>
        <v>261318967.00000003</v>
      </c>
      <c r="J54" s="57">
        <f>PNL!S547+PNL!S586+PNL!S625+PNL!S664+PNL!S702</f>
        <v>774554348</v>
      </c>
      <c r="K54" s="57">
        <f>PNL!T547+PNL!T586+PNL!T625+PNL!T664+PNL!T702</f>
        <v>1088847457</v>
      </c>
      <c r="L54" s="57">
        <f>PNL!U547+PNL!U586+PNL!U625+PNL!U664+PNL!U702</f>
        <v>1250064987.9999998</v>
      </c>
      <c r="M54" s="57">
        <f>PNL!V547+PNL!V586+PNL!V625+PNL!V664+PNL!V702</f>
        <v>1377055722</v>
      </c>
      <c r="N54" s="57">
        <f>PNL!W547+PNL!W586+PNL!W625+PNL!W664+PNL!W702</f>
        <v>1256868674</v>
      </c>
      <c r="O54" s="57">
        <f>PNL!X547+PNL!X586+PNL!X625+PNL!X664+PNL!X702</f>
        <v>1567243148</v>
      </c>
    </row>
    <row r="55" spans="2:23" x14ac:dyDescent="0.2">
      <c r="B55" s="54"/>
      <c r="C55" s="54" t="s">
        <v>193</v>
      </c>
      <c r="D55" s="57">
        <f>PNL!M545+PNL!M584+PNL!M623+PNL!M662+PNL!M700</f>
        <v>0</v>
      </c>
      <c r="E55" s="57">
        <f>PNL!N545+PNL!N584+PNL!N623+PNL!N662+PNL!N700</f>
        <v>0</v>
      </c>
      <c r="F55" s="57">
        <f>PNL!O545+PNL!O584+PNL!O623+PNL!O662+PNL!O700</f>
        <v>0</v>
      </c>
      <c r="G55" s="57">
        <f>PNL!P545+PNL!P584+PNL!P623+PNL!P662+PNL!P700</f>
        <v>0</v>
      </c>
      <c r="H55" s="57">
        <f>PNL!Q545+PNL!Q584+PNL!Q623+PNL!Q662+PNL!Q700</f>
        <v>0</v>
      </c>
      <c r="I55" s="57">
        <f>PNL!R545+PNL!R584+PNL!R623+PNL!R662+PNL!R700</f>
        <v>0</v>
      </c>
      <c r="J55" s="57">
        <f>PNL!S545+PNL!S584+PNL!S623+PNL!S662+PNL!S700</f>
        <v>40000000</v>
      </c>
      <c r="K55" s="57">
        <f>PNL!T545+PNL!T584+PNL!T623+PNL!T662+PNL!T700</f>
        <v>38824927</v>
      </c>
      <c r="L55" s="57">
        <f>PNL!U545+PNL!U584+PNL!U623+PNL!U662+PNL!U700</f>
        <v>104403980</v>
      </c>
      <c r="M55" s="57">
        <f>PNL!V545+PNL!V584+PNL!V623+PNL!V662+PNL!V700</f>
        <v>94113533</v>
      </c>
      <c r="N55" s="57">
        <f>PNL!W545+PNL!W584+PNL!W623+PNL!W662+PNL!W700</f>
        <v>125757047</v>
      </c>
      <c r="O55" s="57">
        <f>PNL!X545+PNL!X584+PNL!X623+PNL!X662+PNL!X700</f>
        <v>24403980</v>
      </c>
    </row>
    <row r="56" spans="2:23" x14ac:dyDescent="0.2">
      <c r="B56" s="54"/>
      <c r="C56" s="54" t="s">
        <v>194</v>
      </c>
      <c r="D56" s="57">
        <f>PNL!M546+PNL!M585+PNL!M624+PNL!M663+PNL!M701</f>
        <v>5613597335</v>
      </c>
      <c r="E56" s="57">
        <f>PNL!N546+PNL!N585+PNL!N624+PNL!N663+PNL!N701</f>
        <v>5090892820</v>
      </c>
      <c r="F56" s="57">
        <f>PNL!O546+PNL!O585+PNL!O624+PNL!O663+PNL!O701</f>
        <v>5481907837</v>
      </c>
      <c r="G56" s="57">
        <f>PNL!P546+PNL!P585+PNL!P624+PNL!P663+PNL!P701</f>
        <v>3923265598</v>
      </c>
      <c r="H56" s="57">
        <f>PNL!Q546+PNL!Q585+PNL!Q624+PNL!Q663+PNL!Q701</f>
        <v>4564628668</v>
      </c>
      <c r="I56" s="57">
        <f>PNL!R546+PNL!R585+PNL!R624+PNL!R663+PNL!R701</f>
        <v>5017928237</v>
      </c>
      <c r="J56" s="57">
        <f>PNL!S546+PNL!S585+PNL!S624+PNL!S663+PNL!S701</f>
        <v>5519565810</v>
      </c>
      <c r="K56" s="57">
        <f>PNL!T546+PNL!T585+PNL!T624+PNL!T663+PNL!T701</f>
        <v>5578703708</v>
      </c>
      <c r="L56" s="57">
        <f>PNL!U546+PNL!U585+PNL!U624+PNL!U663+PNL!U701</f>
        <v>7906579903</v>
      </c>
      <c r="M56" s="57">
        <f>PNL!V546+PNL!V585+PNL!V624+PNL!V663+PNL!V701</f>
        <v>10738623392</v>
      </c>
      <c r="N56" s="57">
        <f>PNL!W546+PNL!W585+PNL!W624+PNL!W663+PNL!W701</f>
        <v>9627100384</v>
      </c>
      <c r="O56" s="57">
        <f>PNL!X546+PNL!X585+PNL!X624+PNL!X663+PNL!X701</f>
        <v>9293871690</v>
      </c>
    </row>
    <row r="57" spans="2:23" x14ac:dyDescent="0.2">
      <c r="B57" s="54"/>
      <c r="C57" s="54" t="s">
        <v>195</v>
      </c>
      <c r="D57" s="57">
        <f>PNL!M548+PNL!M549+PNL!M587+PNL!M588+PNL!M626+PNL!M627+PNL!M665+PNL!M666+PNL!M703+PNL!M704</f>
        <v>74545065</v>
      </c>
      <c r="E57" s="57">
        <f>PNL!N548+PNL!N549+PNL!N587+PNL!N588+PNL!N626+PNL!N627+PNL!N665+PNL!N666+PNL!N703+PNL!N704</f>
        <v>56131305</v>
      </c>
      <c r="F57" s="57">
        <f>PNL!O548+PNL!O549+PNL!O587+PNL!O588+PNL!O626+PNL!O627+PNL!O665+PNL!O666+PNL!O703+PNL!O704</f>
        <v>75152614.000000015</v>
      </c>
      <c r="G57" s="57">
        <f>PNL!P548+PNL!P549+PNL!P587+PNL!P588+PNL!P626+PNL!P627+PNL!P665+PNL!P666+PNL!P703+PNL!P704</f>
        <v>119315953</v>
      </c>
      <c r="H57" s="57">
        <f>PNL!Q548+PNL!Q549+PNL!Q587+PNL!Q588+PNL!Q626+PNL!Q627+PNL!Q665+PNL!Q666+PNL!Q703+PNL!Q704</f>
        <v>66792604.999999993</v>
      </c>
      <c r="I57" s="57">
        <f>PNL!R548+PNL!R549+PNL!R587+PNL!R588+PNL!R626+PNL!R627+PNL!R665+PNL!R666+PNL!R703+PNL!R704</f>
        <v>68376864</v>
      </c>
      <c r="J57" s="57">
        <f>PNL!S548+PNL!S549+PNL!S587+PNL!S588+PNL!S626+PNL!S627+PNL!S665+PNL!S666+PNL!S703+PNL!S704</f>
        <v>91851795</v>
      </c>
      <c r="K57" s="57">
        <f>PNL!T548+PNL!T549+PNL!T587+PNL!T588+PNL!T626+PNL!T627+PNL!T665+PNL!T666+PNL!T703+PNL!T704</f>
        <v>111126840</v>
      </c>
      <c r="L57" s="57">
        <f>PNL!U548+PNL!U549+PNL!U587+PNL!U588+PNL!U626+PNL!U627+PNL!U665+PNL!U666+PNL!U703+PNL!U704</f>
        <v>145122237</v>
      </c>
      <c r="M57" s="57">
        <f>PNL!V548+PNL!V549+PNL!V587+PNL!V588+PNL!V626+PNL!V627+PNL!V665+PNL!V666+PNL!V703+PNL!V704</f>
        <v>176373368</v>
      </c>
      <c r="N57" s="57">
        <f>PNL!W548+PNL!W549+PNL!W587+PNL!W588+PNL!W626+PNL!W627+PNL!W665+PNL!W666+PNL!W703+PNL!W704</f>
        <v>174356613</v>
      </c>
      <c r="O57" s="57">
        <f>PNL!X548+PNL!X549+PNL!X587+PNL!X588+PNL!X626+PNL!X627+PNL!X665+PNL!X666+PNL!X703+PNL!X704</f>
        <v>206071680.49999997</v>
      </c>
    </row>
    <row r="58" spans="2:23" x14ac:dyDescent="0.2">
      <c r="B58" s="54"/>
      <c r="C58" s="54" t="s">
        <v>196</v>
      </c>
      <c r="D58" s="57">
        <f>PNL!M550+PNL!M589+PNL!M628+PNL!M667+PNL!M705</f>
        <v>380133277.53800523</v>
      </c>
      <c r="E58" s="57">
        <f>PNL!N550+PNL!N589+PNL!N628+PNL!N667+PNL!N705</f>
        <v>454121694.13414443</v>
      </c>
      <c r="F58" s="57">
        <f>PNL!O550+PNL!O589+PNL!O628+PNL!O667+PNL!O705</f>
        <v>206369764.19294605</v>
      </c>
      <c r="G58" s="57">
        <f>PNL!P550+PNL!P589+PNL!P628+PNL!P667+PNL!P705</f>
        <v>198285510.63344127</v>
      </c>
      <c r="H58" s="57">
        <f>PNL!Q550+PNL!Q589+PNL!Q628+PNL!Q667+PNL!Q705</f>
        <v>231588272.35682464</v>
      </c>
      <c r="I58" s="57">
        <f>PNL!R550+PNL!R589+PNL!R628+PNL!R667+PNL!R705</f>
        <v>80922782.523786575</v>
      </c>
      <c r="J58" s="57">
        <f>PNL!S550+PNL!S589+PNL!S628+PNL!S667+PNL!S705</f>
        <v>121000549</v>
      </c>
      <c r="K58" s="57">
        <f>PNL!T550+PNL!T589+PNL!T628+PNL!T667+PNL!T705</f>
        <v>121491553.9176106</v>
      </c>
      <c r="L58" s="57">
        <f>PNL!U550+PNL!U589+PNL!U628+PNL!U667+PNL!U705</f>
        <v>150317562.37335217</v>
      </c>
      <c r="M58" s="57">
        <f>PNL!V550+PNL!V589+PNL!V628+PNL!V667+PNL!V705</f>
        <v>429133211.54000002</v>
      </c>
      <c r="N58" s="57">
        <f>PNL!W550+PNL!W589+PNL!W628+PNL!W667+PNL!W705</f>
        <v>582404005.17000008</v>
      </c>
      <c r="O58" s="57">
        <f>PNL!X550+PNL!X589+PNL!X628+PNL!X667+PNL!X705</f>
        <v>594616479.43000007</v>
      </c>
    </row>
    <row r="59" spans="2:23" x14ac:dyDescent="0.2">
      <c r="B59" s="54"/>
      <c r="C59" s="54" t="s">
        <v>197</v>
      </c>
      <c r="D59" s="57">
        <f>PNL!M552+PNL!M591+PNL!M630+PNL!M669+PNL!M707</f>
        <v>29016624.018767629</v>
      </c>
      <c r="E59" s="57">
        <f>PNL!N552+PNL!N591+PNL!N630+PNL!N669+PNL!N707</f>
        <v>14547401.360210788</v>
      </c>
      <c r="F59" s="57">
        <f>PNL!O552+PNL!O591+PNL!O630+PNL!O669+PNL!O707</f>
        <v>19220055.047617279</v>
      </c>
      <c r="G59" s="57">
        <f>PNL!P552+PNL!P591+PNL!P630+PNL!P669+PNL!P707</f>
        <v>26683397.824269522</v>
      </c>
      <c r="H59" s="57">
        <f>PNL!Q552+PNL!Q591+PNL!Q630+PNL!Q669+PNL!Q707</f>
        <v>20358234.191257302</v>
      </c>
      <c r="I59" s="57">
        <f>PNL!R552+PNL!R591+PNL!R630+PNL!R669+PNL!R707</f>
        <v>17135612.707808651</v>
      </c>
      <c r="J59" s="57">
        <f>PNL!S552+PNL!S591+PNL!S630+PNL!S669+PNL!S707</f>
        <v>23219446.042995106</v>
      </c>
      <c r="K59" s="57">
        <f>PNL!T552+PNL!T591+PNL!T630+PNL!T669+PNL!T707</f>
        <v>16912919.991092488</v>
      </c>
      <c r="L59" s="57">
        <f>PNL!U552+PNL!U591+PNL!U630+PNL!U669+PNL!U707</f>
        <v>43212986.62103425</v>
      </c>
      <c r="M59" s="57">
        <f>PNL!V552+PNL!V591+PNL!V630+PNL!V669+PNL!V707</f>
        <v>70298093.002999246</v>
      </c>
      <c r="N59" s="57">
        <f>PNL!W552+PNL!W591+PNL!W630+PNL!W669+PNL!W707</f>
        <v>73907784.613891527</v>
      </c>
      <c r="O59" s="57">
        <f>PNL!X552+PNL!X591+PNL!X630+PNL!X669+PNL!X707</f>
        <v>67674083.310503975</v>
      </c>
    </row>
    <row r="60" spans="2:23" x14ac:dyDescent="0.2">
      <c r="B60" s="54"/>
      <c r="C60" s="54"/>
    </row>
    <row r="61" spans="2:23" x14ac:dyDescent="0.2">
      <c r="B61" s="54"/>
      <c r="C61" s="54"/>
    </row>
    <row r="62" spans="2:23" x14ac:dyDescent="0.2">
      <c r="B62" s="54"/>
      <c r="C62" s="54"/>
    </row>
    <row r="64" spans="2:23" x14ac:dyDescent="0.2">
      <c r="C64" s="73">
        <f>SUM(M55:O55)/SUM(M50:O50)/10^6</f>
        <v>4.6334764176443252E-4</v>
      </c>
      <c r="D64" s="80" t="s">
        <v>198</v>
      </c>
      <c r="H64" s="53"/>
      <c r="R64" s="81"/>
      <c r="S64" s="81"/>
      <c r="T64" s="80"/>
      <c r="U64" s="82"/>
      <c r="V64" s="82"/>
      <c r="W64" s="82"/>
    </row>
    <row r="65" spans="2:24" x14ac:dyDescent="0.2">
      <c r="C65" s="83">
        <f>SUM(M54:O54)/SUM(M50:O50)/10^6</f>
        <v>7.9689062756664996E-3</v>
      </c>
      <c r="D65" s="52" t="s">
        <v>199</v>
      </c>
      <c r="R65" s="81"/>
      <c r="S65" s="81"/>
      <c r="T65" s="80"/>
      <c r="U65" s="82"/>
      <c r="V65" s="84"/>
      <c r="W65" s="84"/>
    </row>
    <row r="66" spans="2:24" x14ac:dyDescent="0.2">
      <c r="C66" s="83">
        <v>5.0000000000000001E-3</v>
      </c>
      <c r="D66" s="52" t="s">
        <v>196</v>
      </c>
      <c r="G66" s="85" t="s">
        <v>200</v>
      </c>
      <c r="H66" s="86"/>
      <c r="R66" s="81"/>
      <c r="S66" s="81"/>
      <c r="T66" s="80"/>
      <c r="U66" s="82"/>
      <c r="V66" s="84"/>
      <c r="W66" s="84"/>
    </row>
    <row r="67" spans="2:24" x14ac:dyDescent="0.2">
      <c r="C67" s="83">
        <f>SUM(M57:O57)/SUM(M50:O50)/10^6</f>
        <v>1.0561588435019299E-3</v>
      </c>
      <c r="D67" s="52" t="s">
        <v>201</v>
      </c>
      <c r="R67" s="81"/>
      <c r="S67" s="81"/>
      <c r="T67" s="80"/>
      <c r="U67" s="82"/>
      <c r="V67" s="84"/>
      <c r="W67" s="84"/>
    </row>
    <row r="68" spans="2:24" x14ac:dyDescent="0.2">
      <c r="B68" s="54"/>
      <c r="C68" s="78">
        <f>SUM(M59:O59)/SUM(M51:O51)/10^6</f>
        <v>4.2219526619825874E-4</v>
      </c>
      <c r="D68" s="52" t="s">
        <v>197</v>
      </c>
    </row>
    <row r="69" spans="2:24" x14ac:dyDescent="0.2">
      <c r="B69" s="54"/>
      <c r="C69" s="54"/>
    </row>
    <row r="70" spans="2:24" x14ac:dyDescent="0.2">
      <c r="B70" s="54">
        <v>4</v>
      </c>
      <c r="C70" s="54" t="s">
        <v>202</v>
      </c>
      <c r="D70" s="52" t="s">
        <v>203</v>
      </c>
    </row>
    <row r="71" spans="2:24" x14ac:dyDescent="0.2">
      <c r="B71" s="54"/>
      <c r="C71" s="54"/>
      <c r="D71" s="52" t="s">
        <v>204</v>
      </c>
      <c r="E71" s="52" t="s">
        <v>205</v>
      </c>
      <c r="I71" s="52" t="s">
        <v>191</v>
      </c>
      <c r="L71" s="52" t="s">
        <v>206</v>
      </c>
      <c r="M71" s="87">
        <v>45658</v>
      </c>
      <c r="N71" s="87">
        <v>45689</v>
      </c>
      <c r="O71" s="87">
        <v>45717</v>
      </c>
      <c r="P71" s="87">
        <v>45748</v>
      </c>
      <c r="Q71" s="87">
        <v>45778</v>
      </c>
      <c r="R71" s="87">
        <v>45809</v>
      </c>
      <c r="S71" s="87">
        <v>45839</v>
      </c>
      <c r="T71" s="87">
        <v>45870</v>
      </c>
      <c r="U71" s="87">
        <v>45901</v>
      </c>
      <c r="V71" s="87">
        <v>45931</v>
      </c>
      <c r="W71" s="87">
        <v>45962</v>
      </c>
      <c r="X71" s="87">
        <v>45992</v>
      </c>
    </row>
    <row r="72" spans="2:24" x14ac:dyDescent="0.2">
      <c r="B72" s="54" t="s">
        <v>150</v>
      </c>
      <c r="C72" s="81" t="s">
        <v>207</v>
      </c>
      <c r="D72" s="88">
        <v>0.5</v>
      </c>
      <c r="I72" s="81" t="s">
        <v>208</v>
      </c>
      <c r="J72" s="81" t="s">
        <v>209</v>
      </c>
      <c r="K72" s="81" t="s">
        <v>207</v>
      </c>
      <c r="L72" s="89">
        <f>SUM(V72:X72)/10^9</f>
        <v>916.25407199999995</v>
      </c>
      <c r="M72" s="90">
        <v>140501000000</v>
      </c>
      <c r="N72" s="90">
        <v>132184000000</v>
      </c>
      <c r="O72" s="90">
        <v>156783500000</v>
      </c>
      <c r="P72" s="90">
        <v>162270828000</v>
      </c>
      <c r="Q72" s="90">
        <v>166904172000</v>
      </c>
      <c r="R72" s="90">
        <v>164068632000</v>
      </c>
      <c r="S72" s="90">
        <v>181103580000</v>
      </c>
      <c r="T72" s="90">
        <v>188150580000</v>
      </c>
      <c r="U72" s="90">
        <v>269540028000</v>
      </c>
      <c r="V72" s="90">
        <v>322185708000</v>
      </c>
      <c r="W72" s="57">
        <v>289807632000</v>
      </c>
      <c r="X72" s="57">
        <v>304260732000</v>
      </c>
    </row>
    <row r="73" spans="2:24" x14ac:dyDescent="0.2">
      <c r="B73" s="54" t="s">
        <v>150</v>
      </c>
      <c r="C73" s="81" t="s">
        <v>207</v>
      </c>
      <c r="D73" s="88">
        <v>0.5</v>
      </c>
      <c r="I73" s="81" t="s">
        <v>208</v>
      </c>
      <c r="J73" s="81" t="s">
        <v>210</v>
      </c>
      <c r="K73" s="81" t="s">
        <v>207</v>
      </c>
      <c r="L73" s="89">
        <f>SUM(V73:X73)/10^9</f>
        <v>3.4710000000000001</v>
      </c>
      <c r="M73" s="90">
        <v>874000000</v>
      </c>
      <c r="N73" s="90">
        <v>1301000000</v>
      </c>
      <c r="O73" s="90">
        <v>2034000000</v>
      </c>
      <c r="P73" s="90">
        <v>1527000000</v>
      </c>
      <c r="Q73" s="90">
        <v>954000000</v>
      </c>
      <c r="R73" s="90">
        <v>536000000</v>
      </c>
      <c r="S73" s="90">
        <v>894000000</v>
      </c>
      <c r="T73" s="90">
        <v>1104000000</v>
      </c>
      <c r="U73" s="90">
        <v>1189000000</v>
      </c>
      <c r="V73" s="90">
        <v>942000000</v>
      </c>
      <c r="W73" s="57">
        <v>1259000000</v>
      </c>
      <c r="X73" s="57">
        <v>1270000000</v>
      </c>
    </row>
    <row r="74" spans="2:24" x14ac:dyDescent="0.2">
      <c r="B74" s="54" t="s">
        <v>150</v>
      </c>
      <c r="C74" s="81" t="s">
        <v>211</v>
      </c>
      <c r="D74" s="88"/>
      <c r="I74" s="81" t="s">
        <v>208</v>
      </c>
      <c r="J74" s="81" t="s">
        <v>209</v>
      </c>
      <c r="K74" s="81" t="s">
        <v>211</v>
      </c>
      <c r="L74" s="89">
        <f>SUM(V74:X74)/10^9</f>
        <v>922.28393200000005</v>
      </c>
      <c r="M74" s="90"/>
      <c r="N74" s="90"/>
      <c r="O74" s="90"/>
      <c r="P74" s="90"/>
      <c r="Q74" s="90"/>
      <c r="R74" s="90"/>
      <c r="S74" s="90">
        <v>54643680000</v>
      </c>
      <c r="T74" s="90">
        <v>124745616000</v>
      </c>
      <c r="U74" s="90">
        <v>196882488000</v>
      </c>
      <c r="V74" s="90">
        <v>261600732000</v>
      </c>
      <c r="W74" s="57">
        <v>276096276000</v>
      </c>
      <c r="X74" s="57">
        <v>384586924000</v>
      </c>
    </row>
    <row r="75" spans="2:24" x14ac:dyDescent="0.2">
      <c r="B75" s="54" t="s">
        <v>150</v>
      </c>
      <c r="C75" s="81" t="s">
        <v>212</v>
      </c>
      <c r="D75" s="88"/>
      <c r="E75" s="88">
        <v>0.01</v>
      </c>
      <c r="I75" s="81" t="s">
        <v>208</v>
      </c>
      <c r="J75" s="81" t="s">
        <v>209</v>
      </c>
      <c r="K75" s="81" t="s">
        <v>212</v>
      </c>
      <c r="L75" s="89">
        <f>SUM(V75:X75)/10^9</f>
        <v>21.993227999999998</v>
      </c>
      <c r="M75" s="57"/>
      <c r="N75" s="57"/>
      <c r="O75" s="57"/>
      <c r="P75" s="57"/>
      <c r="Q75" s="57"/>
      <c r="R75" s="57"/>
      <c r="S75" s="57">
        <v>0</v>
      </c>
      <c r="T75" s="57">
        <v>0</v>
      </c>
      <c r="U75" s="57">
        <v>756000000</v>
      </c>
      <c r="V75" s="57">
        <v>6445440000</v>
      </c>
      <c r="W75" s="57">
        <v>6465528000</v>
      </c>
      <c r="X75" s="57">
        <v>9082260000</v>
      </c>
    </row>
    <row r="76" spans="2:24" x14ac:dyDescent="0.2">
      <c r="B76" s="54" t="s">
        <v>150</v>
      </c>
      <c r="C76" s="81" t="s">
        <v>213</v>
      </c>
      <c r="E76" s="68">
        <v>2.5000000000000001E-2</v>
      </c>
      <c r="I76" s="81" t="s">
        <v>208</v>
      </c>
      <c r="J76" s="81" t="s">
        <v>209</v>
      </c>
      <c r="K76" s="81" t="s">
        <v>213</v>
      </c>
      <c r="L76" s="89">
        <f>SUM(V76:X76)/10^9</f>
        <v>1.0800000000000001E-2</v>
      </c>
      <c r="M76" s="57"/>
      <c r="N76" s="57"/>
      <c r="O76" s="57"/>
      <c r="P76" s="57"/>
      <c r="Q76" s="57"/>
      <c r="R76" s="57"/>
      <c r="S76" s="57">
        <v>0</v>
      </c>
      <c r="T76" s="57">
        <v>0</v>
      </c>
      <c r="U76" s="57"/>
      <c r="V76" s="57"/>
      <c r="W76" s="57"/>
      <c r="X76" s="57">
        <v>10800000</v>
      </c>
    </row>
    <row r="77" spans="2:24" x14ac:dyDescent="0.2">
      <c r="B77" s="54"/>
      <c r="C77" s="54" t="s">
        <v>214</v>
      </c>
      <c r="D77" s="91">
        <f>SUMPRODUCT(D72:D76,$L$72:$L$76)/SUM($L$72:$L$76)</f>
        <v>0.24670564427684749</v>
      </c>
      <c r="E77" s="75">
        <f>SUMPRODUCT(E72:E76,$L$72:$L$76)/SUM($L$72:$L$76)</f>
        <v>1.1813344446617579E-4</v>
      </c>
      <c r="H77" s="81"/>
    </row>
    <row r="78" spans="2:24" x14ac:dyDescent="0.2">
      <c r="B78" s="54">
        <v>5</v>
      </c>
      <c r="C78" s="54"/>
    </row>
    <row r="79" spans="2:24" x14ac:dyDescent="0.2">
      <c r="B79" s="54"/>
      <c r="C79" s="54" t="s">
        <v>211</v>
      </c>
    </row>
    <row r="80" spans="2:24" x14ac:dyDescent="0.2">
      <c r="B80" s="54"/>
      <c r="C80" s="92" t="s">
        <v>215</v>
      </c>
      <c r="D80" s="58" t="s">
        <v>216</v>
      </c>
      <c r="E80" s="58" t="s">
        <v>68</v>
      </c>
      <c r="F80" s="59" t="s">
        <v>70</v>
      </c>
      <c r="G80" s="59" t="s">
        <v>72</v>
      </c>
      <c r="I80" s="54"/>
      <c r="J80" s="92" t="s">
        <v>215</v>
      </c>
      <c r="K80" s="58" t="s">
        <v>216</v>
      </c>
      <c r="L80" s="58" t="s">
        <v>68</v>
      </c>
      <c r="M80" s="58" t="s">
        <v>70</v>
      </c>
      <c r="N80" s="58" t="s">
        <v>72</v>
      </c>
      <c r="P80" s="54"/>
      <c r="Q80" s="92" t="s">
        <v>215</v>
      </c>
      <c r="R80" s="58" t="s">
        <v>216</v>
      </c>
      <c r="S80" s="58" t="s">
        <v>68</v>
      </c>
      <c r="T80" s="58" t="s">
        <v>70</v>
      </c>
      <c r="U80" s="58" t="s">
        <v>72</v>
      </c>
    </row>
    <row r="81" spans="1:21" x14ac:dyDescent="0.2">
      <c r="A81" s="52" t="s">
        <v>217</v>
      </c>
      <c r="B81" s="54" t="s">
        <v>207</v>
      </c>
      <c r="C81" s="58">
        <v>1</v>
      </c>
      <c r="D81" s="58">
        <v>1</v>
      </c>
      <c r="E81" s="93">
        <f>'Early repayment'!E179</f>
        <v>0.08</v>
      </c>
      <c r="F81" s="59"/>
      <c r="G81" s="94">
        <v>0.12</v>
      </c>
      <c r="I81" s="54" t="s">
        <v>207</v>
      </c>
      <c r="J81" s="58">
        <v>2</v>
      </c>
      <c r="K81" s="58">
        <v>3</v>
      </c>
      <c r="L81" s="93">
        <f>'Early repayment'!E179</f>
        <v>0.08</v>
      </c>
      <c r="M81" s="58"/>
      <c r="N81" s="95">
        <v>0.06</v>
      </c>
      <c r="P81" s="54" t="s">
        <v>207</v>
      </c>
      <c r="Q81" s="92">
        <v>4</v>
      </c>
      <c r="R81" s="58">
        <v>14</v>
      </c>
      <c r="S81" s="93">
        <f>'Early repayment'!F179</f>
        <v>0.05</v>
      </c>
      <c r="T81" s="58"/>
      <c r="U81" s="95">
        <v>0.02</v>
      </c>
    </row>
    <row r="82" spans="1:21" x14ac:dyDescent="0.2">
      <c r="A82" s="52" t="s">
        <v>217</v>
      </c>
      <c r="B82" s="54" t="s">
        <v>207</v>
      </c>
      <c r="C82" s="58">
        <v>1</v>
      </c>
      <c r="D82" s="58">
        <v>1</v>
      </c>
      <c r="E82" s="93">
        <f>'Early repayment'!E180</f>
        <v>0.08</v>
      </c>
      <c r="F82" s="59"/>
      <c r="G82" s="94">
        <v>0.12</v>
      </c>
      <c r="I82" s="54" t="s">
        <v>207</v>
      </c>
      <c r="J82" s="58">
        <v>2</v>
      </c>
      <c r="K82" s="58">
        <v>3</v>
      </c>
      <c r="L82" s="93">
        <f>'Early repayment'!E180</f>
        <v>0.08</v>
      </c>
      <c r="M82" s="58"/>
      <c r="N82" s="95">
        <v>0.06</v>
      </c>
      <c r="P82" s="54" t="s">
        <v>207</v>
      </c>
      <c r="Q82" s="92">
        <v>4</v>
      </c>
      <c r="R82" s="58">
        <v>14</v>
      </c>
      <c r="S82" s="93">
        <f>'Early repayment'!F180</f>
        <v>0.05</v>
      </c>
      <c r="T82" s="58"/>
      <c r="U82" s="95">
        <v>0.02</v>
      </c>
    </row>
    <row r="83" spans="1:21" x14ac:dyDescent="0.2">
      <c r="A83" s="52" t="s">
        <v>217</v>
      </c>
      <c r="B83" s="54" t="s">
        <v>211</v>
      </c>
      <c r="C83" s="92">
        <v>1</v>
      </c>
      <c r="D83" s="58">
        <v>1</v>
      </c>
      <c r="E83" s="93">
        <f>'Early repayment'!E181</f>
        <v>0.08</v>
      </c>
      <c r="F83" s="59"/>
      <c r="G83" s="94">
        <v>0.11</v>
      </c>
      <c r="I83" s="54" t="s">
        <v>211</v>
      </c>
      <c r="J83" s="92">
        <v>2</v>
      </c>
      <c r="K83" s="58">
        <v>3</v>
      </c>
      <c r="L83" s="93">
        <f>'Early repayment'!E181</f>
        <v>0.08</v>
      </c>
      <c r="M83" s="58"/>
      <c r="N83" s="95">
        <v>4.4999999999999998E-2</v>
      </c>
      <c r="P83" s="54" t="s">
        <v>211</v>
      </c>
      <c r="Q83" s="92">
        <v>4</v>
      </c>
      <c r="R83" s="58">
        <v>14</v>
      </c>
      <c r="S83" s="93">
        <f>'Early repayment'!F181</f>
        <v>4.9999999999999996E-2</v>
      </c>
      <c r="T83" s="58"/>
      <c r="U83" s="95">
        <v>1.7999999999999999E-2</v>
      </c>
    </row>
    <row r="84" spans="1:21" x14ac:dyDescent="0.2">
      <c r="A84" s="52" t="s">
        <v>217</v>
      </c>
      <c r="B84" s="54" t="s">
        <v>218</v>
      </c>
      <c r="C84" s="58">
        <v>1</v>
      </c>
      <c r="D84" s="58">
        <v>1</v>
      </c>
      <c r="E84" s="93">
        <f>'Early repayment'!E182</f>
        <v>0.08</v>
      </c>
      <c r="F84" s="59"/>
      <c r="G84" s="94">
        <v>0.01</v>
      </c>
      <c r="I84" s="54" t="s">
        <v>218</v>
      </c>
      <c r="J84" s="92">
        <v>2</v>
      </c>
      <c r="K84" s="58">
        <v>3</v>
      </c>
      <c r="L84" s="93">
        <f>'Early repayment'!E182</f>
        <v>0.08</v>
      </c>
      <c r="M84" s="58"/>
      <c r="N84" s="95">
        <v>0.02</v>
      </c>
      <c r="P84" s="54" t="s">
        <v>218</v>
      </c>
      <c r="Q84" s="92">
        <v>4</v>
      </c>
      <c r="R84" s="58">
        <v>14</v>
      </c>
      <c r="S84" s="93">
        <f>'Early repayment'!F182</f>
        <v>0.08</v>
      </c>
      <c r="T84" s="58"/>
      <c r="U84" s="95">
        <v>0.01</v>
      </c>
    </row>
    <row r="85" spans="1:21" x14ac:dyDescent="0.2">
      <c r="A85" s="52" t="s">
        <v>217</v>
      </c>
      <c r="B85" s="54" t="s">
        <v>212</v>
      </c>
      <c r="C85" s="58">
        <v>1</v>
      </c>
      <c r="D85" s="58">
        <v>1</v>
      </c>
      <c r="E85" s="93">
        <f>'Early repayment'!E183</f>
        <v>0.08</v>
      </c>
      <c r="F85" s="59"/>
      <c r="G85" s="94">
        <v>0.04</v>
      </c>
      <c r="I85" s="54" t="s">
        <v>212</v>
      </c>
      <c r="J85" s="58">
        <v>2</v>
      </c>
      <c r="K85" s="58">
        <v>3</v>
      </c>
      <c r="L85" s="93">
        <f>'Early repayment'!E183</f>
        <v>0.08</v>
      </c>
      <c r="M85" s="58"/>
      <c r="N85" s="95">
        <v>2.5000000000000001E-2</v>
      </c>
      <c r="P85" s="54" t="s">
        <v>212</v>
      </c>
      <c r="Q85" s="58">
        <v>4</v>
      </c>
      <c r="R85" s="58">
        <v>14</v>
      </c>
      <c r="S85" s="93">
        <f>'Early repayment'!F183</f>
        <v>0.08</v>
      </c>
      <c r="T85" s="58"/>
      <c r="U85" s="95">
        <v>2.5000000000000001E-2</v>
      </c>
    </row>
    <row r="86" spans="1:21" x14ac:dyDescent="0.2">
      <c r="A86" s="52" t="s">
        <v>217</v>
      </c>
      <c r="B86" s="54" t="s">
        <v>219</v>
      </c>
      <c r="C86" s="92">
        <v>1</v>
      </c>
      <c r="D86" s="58">
        <v>1</v>
      </c>
      <c r="E86" s="93">
        <f>'Early repayment'!E184</f>
        <v>2.9999999999999995E-2</v>
      </c>
      <c r="F86" s="59"/>
      <c r="G86" s="94">
        <v>0.06</v>
      </c>
      <c r="I86" s="54" t="s">
        <v>219</v>
      </c>
      <c r="J86" s="58">
        <v>2</v>
      </c>
      <c r="K86" s="58">
        <v>3</v>
      </c>
      <c r="L86" s="93">
        <f>'Early repayment'!E184</f>
        <v>2.9999999999999995E-2</v>
      </c>
      <c r="M86" s="58"/>
      <c r="N86" s="95">
        <v>0.04</v>
      </c>
      <c r="P86" s="54" t="s">
        <v>219</v>
      </c>
      <c r="Q86" s="58">
        <v>4</v>
      </c>
      <c r="R86" s="58">
        <v>14</v>
      </c>
      <c r="S86" s="93">
        <f>'Early repayment'!F184</f>
        <v>2.9999999999999995E-2</v>
      </c>
      <c r="T86" s="58"/>
      <c r="U86" s="95">
        <v>1.2999999999999999E-2</v>
      </c>
    </row>
    <row r="87" spans="1:21" x14ac:dyDescent="0.2">
      <c r="A87" s="52" t="s">
        <v>217</v>
      </c>
      <c r="B87" s="54" t="s">
        <v>220</v>
      </c>
      <c r="C87" s="92">
        <v>1</v>
      </c>
      <c r="D87" s="58">
        <v>1</v>
      </c>
      <c r="E87" s="93">
        <f>'Early repayment'!E185</f>
        <v>2.9999999999999995E-2</v>
      </c>
      <c r="F87" s="59"/>
      <c r="G87" s="94">
        <v>0.01</v>
      </c>
      <c r="I87" s="54" t="s">
        <v>220</v>
      </c>
      <c r="J87" s="58">
        <v>2</v>
      </c>
      <c r="K87" s="58">
        <v>3</v>
      </c>
      <c r="L87" s="93">
        <f>'Early repayment'!E185</f>
        <v>2.9999999999999995E-2</v>
      </c>
      <c r="M87" s="58"/>
      <c r="N87" s="96">
        <v>0.01</v>
      </c>
      <c r="P87" s="54" t="s">
        <v>220</v>
      </c>
      <c r="Q87" s="92">
        <v>4</v>
      </c>
      <c r="R87" s="58">
        <v>14</v>
      </c>
      <c r="S87" s="93">
        <f>'Early repayment'!F185</f>
        <v>2.9999999999999995E-2</v>
      </c>
      <c r="T87" s="58"/>
      <c r="U87" s="96">
        <v>0.01</v>
      </c>
    </row>
    <row r="88" spans="1:21" x14ac:dyDescent="0.2">
      <c r="A88" s="52" t="s">
        <v>221</v>
      </c>
      <c r="B88" s="54"/>
      <c r="C88" s="92">
        <v>1</v>
      </c>
      <c r="D88" s="58">
        <v>1</v>
      </c>
      <c r="E88" s="58">
        <v>0</v>
      </c>
      <c r="F88" s="59"/>
      <c r="G88" s="58">
        <v>0</v>
      </c>
      <c r="I88" s="54"/>
      <c r="J88" s="58">
        <v>2</v>
      </c>
      <c r="K88" s="58">
        <v>3</v>
      </c>
      <c r="L88" s="58">
        <v>0</v>
      </c>
      <c r="M88" s="58"/>
      <c r="N88" s="58">
        <v>0</v>
      </c>
      <c r="P88" s="54"/>
      <c r="Q88" s="92">
        <v>4</v>
      </c>
      <c r="R88" s="58">
        <v>14</v>
      </c>
      <c r="S88" s="58">
        <v>0</v>
      </c>
      <c r="T88" s="58"/>
      <c r="U88" s="58">
        <v>0</v>
      </c>
    </row>
    <row r="89" spans="1:21" x14ac:dyDescent="0.2">
      <c r="A89" s="52" t="s">
        <v>150</v>
      </c>
      <c r="B89" s="54" t="s">
        <v>207</v>
      </c>
      <c r="C89" s="92">
        <v>1</v>
      </c>
      <c r="D89" s="58">
        <v>1</v>
      </c>
      <c r="E89" s="58">
        <v>0</v>
      </c>
      <c r="F89" s="59"/>
      <c r="G89" s="94">
        <v>0.95</v>
      </c>
      <c r="I89" s="54" t="s">
        <v>207</v>
      </c>
      <c r="J89" s="58">
        <v>2</v>
      </c>
      <c r="K89" s="58">
        <v>3</v>
      </c>
      <c r="L89" s="58">
        <v>0</v>
      </c>
      <c r="M89" s="58"/>
      <c r="N89" s="97">
        <v>0</v>
      </c>
      <c r="P89" s="54" t="s">
        <v>207</v>
      </c>
      <c r="Q89" s="92">
        <v>4</v>
      </c>
      <c r="R89" s="58">
        <v>14</v>
      </c>
      <c r="S89" s="58">
        <v>0</v>
      </c>
      <c r="T89" s="58"/>
      <c r="U89" s="97">
        <v>0</v>
      </c>
    </row>
    <row r="90" spans="1:21" x14ac:dyDescent="0.2">
      <c r="A90" s="52" t="s">
        <v>150</v>
      </c>
      <c r="B90" s="54" t="s">
        <v>207</v>
      </c>
      <c r="C90" s="92">
        <v>1</v>
      </c>
      <c r="D90" s="58">
        <v>1</v>
      </c>
      <c r="E90" s="58">
        <v>0</v>
      </c>
      <c r="F90" s="59"/>
      <c r="G90" s="94">
        <v>0.95</v>
      </c>
      <c r="I90" s="54" t="s">
        <v>207</v>
      </c>
      <c r="J90" s="58">
        <v>2</v>
      </c>
      <c r="K90" s="58">
        <v>3</v>
      </c>
      <c r="L90" s="58">
        <v>0</v>
      </c>
      <c r="M90" s="58"/>
      <c r="N90" s="97">
        <v>0</v>
      </c>
      <c r="P90" s="54" t="s">
        <v>207</v>
      </c>
      <c r="Q90" s="92">
        <v>4</v>
      </c>
      <c r="R90" s="58">
        <v>14</v>
      </c>
      <c r="S90" s="58">
        <v>0</v>
      </c>
      <c r="T90" s="58"/>
      <c r="U90" s="97">
        <v>0</v>
      </c>
    </row>
    <row r="91" spans="1:21" x14ac:dyDescent="0.2">
      <c r="A91" s="52" t="s">
        <v>150</v>
      </c>
      <c r="B91" s="54" t="s">
        <v>211</v>
      </c>
      <c r="C91" s="92">
        <v>1</v>
      </c>
      <c r="D91" s="58">
        <v>1</v>
      </c>
      <c r="E91" s="58">
        <v>0</v>
      </c>
      <c r="F91" s="59"/>
      <c r="G91" s="94">
        <v>0.95</v>
      </c>
      <c r="I91" s="54" t="s">
        <v>211</v>
      </c>
      <c r="J91" s="58">
        <v>2</v>
      </c>
      <c r="K91" s="58">
        <v>3</v>
      </c>
      <c r="L91" s="58">
        <v>0</v>
      </c>
      <c r="M91" s="58"/>
      <c r="N91" s="97">
        <v>0</v>
      </c>
      <c r="P91" s="54" t="s">
        <v>211</v>
      </c>
      <c r="Q91" s="58">
        <v>4</v>
      </c>
      <c r="R91" s="58">
        <v>14</v>
      </c>
      <c r="S91" s="58">
        <v>0</v>
      </c>
      <c r="T91" s="58"/>
      <c r="U91" s="97">
        <v>0</v>
      </c>
    </row>
    <row r="92" spans="1:21" x14ac:dyDescent="0.2">
      <c r="A92" s="52" t="s">
        <v>150</v>
      </c>
      <c r="B92" s="54" t="s">
        <v>212</v>
      </c>
      <c r="C92" s="92">
        <v>1</v>
      </c>
      <c r="D92" s="58">
        <v>1</v>
      </c>
      <c r="E92" s="58">
        <v>0</v>
      </c>
      <c r="F92" s="59"/>
      <c r="G92" s="94">
        <v>0.95</v>
      </c>
      <c r="I92" s="54" t="s">
        <v>212</v>
      </c>
      <c r="J92" s="58">
        <v>2</v>
      </c>
      <c r="K92" s="58">
        <v>3</v>
      </c>
      <c r="L92" s="58"/>
      <c r="M92" s="58"/>
      <c r="N92" s="58"/>
      <c r="P92" s="54" t="s">
        <v>212</v>
      </c>
      <c r="Q92" s="58">
        <v>4</v>
      </c>
      <c r="R92" s="58">
        <v>14</v>
      </c>
      <c r="S92" s="58"/>
      <c r="T92" s="58"/>
      <c r="U92" s="58"/>
    </row>
    <row r="94" spans="1:21" x14ac:dyDescent="0.2">
      <c r="B94" s="54"/>
      <c r="C94" s="70"/>
    </row>
    <row r="95" spans="1:21" ht="15" x14ac:dyDescent="0.2">
      <c r="B95" s="54"/>
      <c r="C95" s="70"/>
      <c r="D95" s="58"/>
      <c r="E95" s="98" t="s">
        <v>68</v>
      </c>
      <c r="F95" s="99" t="s">
        <v>70</v>
      </c>
      <c r="G95" s="100" t="s">
        <v>72</v>
      </c>
    </row>
    <row r="96" spans="1:21" ht="15" x14ac:dyDescent="0.2">
      <c r="A96" s="52" t="s">
        <v>150</v>
      </c>
      <c r="B96" s="54" t="s">
        <v>207</v>
      </c>
      <c r="C96" s="70">
        <f>SUM(PNL!V523:X523)</f>
        <v>892697006794</v>
      </c>
      <c r="D96" s="101">
        <v>1</v>
      </c>
      <c r="E96" s="102">
        <f>SUMPRODUCT($C$96:$C$99,$E$89:$E$92)/SUM($C$96:$C$99)</f>
        <v>0</v>
      </c>
      <c r="F96" s="103"/>
      <c r="G96" s="104">
        <f>SUMPRODUCT(G89:G92,$C$96:$C$99)/SUM($C$96:$C$99)</f>
        <v>0.95</v>
      </c>
    </row>
    <row r="97" spans="1:17" ht="15" x14ac:dyDescent="0.2">
      <c r="A97" s="52" t="s">
        <v>150</v>
      </c>
      <c r="B97" s="54" t="s">
        <v>207</v>
      </c>
      <c r="C97" s="70">
        <f>SUM(PNL!V524:X524)</f>
        <v>687117693555</v>
      </c>
      <c r="D97" s="105" t="s">
        <v>222</v>
      </c>
      <c r="E97" s="106">
        <f>SUMPRODUCT($C$96:$C$99,$L$89:$L$92)/SUM($C$96:$C$99)</f>
        <v>0</v>
      </c>
      <c r="F97" s="103"/>
      <c r="G97" s="104">
        <f>SUMPRODUCT(N89:N92,$C$96:$C$99)/SUM($C$96:$C$99)</f>
        <v>0</v>
      </c>
    </row>
    <row r="98" spans="1:17" ht="15" x14ac:dyDescent="0.2">
      <c r="A98" s="52" t="s">
        <v>150</v>
      </c>
      <c r="B98" s="54" t="s">
        <v>211</v>
      </c>
      <c r="C98" s="70">
        <f>SUM(PNL!V525:X525)</f>
        <v>205579313239</v>
      </c>
      <c r="D98" s="101" t="s">
        <v>223</v>
      </c>
      <c r="E98" s="106">
        <f>SUMPRODUCT($C$96:$C$99,$S$89:$S$92)/SUM($C$96:$C$99)</f>
        <v>0</v>
      </c>
      <c r="F98" s="103"/>
      <c r="G98" s="107">
        <f>SUMPRODUCT($C$96:$C$99,$U$89:$U$92)/SUM($C$96:$C$99)</f>
        <v>0</v>
      </c>
    </row>
    <row r="99" spans="1:17" x14ac:dyDescent="0.2">
      <c r="A99" s="52" t="s">
        <v>150</v>
      </c>
      <c r="B99" s="54" t="s">
        <v>212</v>
      </c>
      <c r="C99" s="70">
        <f>SUM(PNL!V526:X526)</f>
        <v>56415276705</v>
      </c>
    </row>
    <row r="100" spans="1:17" x14ac:dyDescent="0.2">
      <c r="B100" s="54"/>
    </row>
    <row r="102" spans="1:17" x14ac:dyDescent="0.2">
      <c r="B102" s="54">
        <v>6</v>
      </c>
      <c r="C102" s="54" t="s">
        <v>224</v>
      </c>
    </row>
    <row r="104" spans="1:17" x14ac:dyDescent="0.2">
      <c r="B104" s="52" t="s">
        <v>225</v>
      </c>
      <c r="C104" s="52" t="s">
        <v>226</v>
      </c>
      <c r="D104" s="52" t="s">
        <v>227</v>
      </c>
      <c r="F104" s="53">
        <v>1</v>
      </c>
      <c r="G104" s="53">
        <f>F104+1</f>
        <v>2</v>
      </c>
      <c r="H104" s="52">
        <f t="shared" ref="H104:O104" si="3">G104+1</f>
        <v>3</v>
      </c>
      <c r="I104" s="52">
        <f t="shared" si="3"/>
        <v>4</v>
      </c>
      <c r="J104" s="52">
        <f t="shared" si="3"/>
        <v>5</v>
      </c>
      <c r="K104" s="52">
        <f t="shared" si="3"/>
        <v>6</v>
      </c>
      <c r="L104" s="52">
        <f t="shared" si="3"/>
        <v>7</v>
      </c>
      <c r="M104" s="52">
        <f t="shared" si="3"/>
        <v>8</v>
      </c>
      <c r="N104" s="52">
        <f t="shared" si="3"/>
        <v>9</v>
      </c>
      <c r="O104" s="52">
        <f t="shared" si="3"/>
        <v>10</v>
      </c>
      <c r="P104" s="52">
        <v>11</v>
      </c>
      <c r="Q104" s="52">
        <v>12</v>
      </c>
    </row>
    <row r="105" spans="1:17" x14ac:dyDescent="0.2">
      <c r="B105" s="52">
        <v>0</v>
      </c>
      <c r="C105" s="56">
        <v>7.3999999999999996E-2</v>
      </c>
      <c r="D105" s="108">
        <f>AVERAGE(O105:Q105)</f>
        <v>9.9107558969606255E-2</v>
      </c>
      <c r="E105" s="109"/>
      <c r="F105" s="110">
        <f>F124/E123</f>
        <v>7.4020723980730369E-2</v>
      </c>
      <c r="G105" s="110">
        <f t="shared" ref="G105:Q113" si="4">G124/F123</f>
        <v>7.6948371541941035E-2</v>
      </c>
      <c r="H105" s="88">
        <f t="shared" si="4"/>
        <v>6.6673857607269876E-2</v>
      </c>
      <c r="I105" s="88">
        <f t="shared" si="4"/>
        <v>5.9315376780860865E-2</v>
      </c>
      <c r="J105" s="88">
        <f t="shared" si="4"/>
        <v>6.381860731973181E-2</v>
      </c>
      <c r="K105" s="88">
        <f t="shared" si="4"/>
        <v>6.4568754987478133E-2</v>
      </c>
      <c r="L105" s="88">
        <f t="shared" si="4"/>
        <v>6.3092420744645064E-2</v>
      </c>
      <c r="M105" s="88">
        <f t="shared" si="4"/>
        <v>8.9941044681624907E-2</v>
      </c>
      <c r="N105" s="88">
        <f t="shared" si="4"/>
        <v>8.2130372078864866E-2</v>
      </c>
      <c r="O105" s="88">
        <f t="shared" si="4"/>
        <v>0.11239750481603288</v>
      </c>
      <c r="P105" s="88">
        <f t="shared" si="4"/>
        <v>9.7505997893383892E-2</v>
      </c>
      <c r="Q105" s="88">
        <f t="shared" si="4"/>
        <v>8.7419174199402011E-2</v>
      </c>
    </row>
    <row r="106" spans="1:17" x14ac:dyDescent="0.2">
      <c r="B106" s="52">
        <v>1</v>
      </c>
      <c r="C106" s="56">
        <v>0.79500000000000004</v>
      </c>
      <c r="D106" s="108">
        <f t="shared" ref="D106:D113" si="5">AVERAGE(O106:Q106)</f>
        <v>0.80649935537589945</v>
      </c>
      <c r="E106" s="109"/>
      <c r="F106" s="110">
        <f t="shared" ref="F106:O113" si="6">F125/E124</f>
        <v>0.60834873948594526</v>
      </c>
      <c r="G106" s="110">
        <f t="shared" si="6"/>
        <v>0.82410864673844653</v>
      </c>
      <c r="H106" s="88">
        <f t="shared" si="6"/>
        <v>0.79653037901020085</v>
      </c>
      <c r="I106" s="88">
        <f t="shared" si="6"/>
        <v>0.71866993020161662</v>
      </c>
      <c r="J106" s="88">
        <f t="shared" si="6"/>
        <v>0.76386289323160161</v>
      </c>
      <c r="K106" s="88">
        <f t="shared" si="6"/>
        <v>0.78817891395405715</v>
      </c>
      <c r="L106" s="88">
        <f t="shared" si="6"/>
        <v>0.79071196181591685</v>
      </c>
      <c r="M106" s="88">
        <f t="shared" si="6"/>
        <v>0.77963878641562234</v>
      </c>
      <c r="N106" s="88">
        <f t="shared" si="6"/>
        <v>0.76537330553880201</v>
      </c>
      <c r="O106" s="88">
        <f t="shared" si="6"/>
        <v>0.79264180874342127</v>
      </c>
      <c r="P106" s="88">
        <f t="shared" si="4"/>
        <v>0.80967567697134102</v>
      </c>
      <c r="Q106" s="88">
        <f t="shared" si="4"/>
        <v>0.81718058041293606</v>
      </c>
    </row>
    <row r="107" spans="1:17" x14ac:dyDescent="0.2">
      <c r="B107" s="52">
        <v>2</v>
      </c>
      <c r="C107" s="56">
        <f t="shared" ref="C107:C113" si="7">D107</f>
        <v>0.95128048291140976</v>
      </c>
      <c r="D107" s="108">
        <f t="shared" si="5"/>
        <v>0.95128048291140976</v>
      </c>
      <c r="E107" s="109"/>
      <c r="F107" s="110">
        <v>1</v>
      </c>
      <c r="G107" s="110">
        <v>1</v>
      </c>
      <c r="H107" s="88">
        <f t="shared" si="6"/>
        <v>0.90175171633193185</v>
      </c>
      <c r="I107" s="88">
        <f t="shared" si="6"/>
        <v>0.9512249683109486</v>
      </c>
      <c r="J107" s="110">
        <v>1</v>
      </c>
      <c r="K107" s="88">
        <f t="shared" si="6"/>
        <v>0.94460603137618648</v>
      </c>
      <c r="L107" s="88">
        <f t="shared" si="6"/>
        <v>0.87981423477911724</v>
      </c>
      <c r="M107" s="88">
        <f t="shared" si="6"/>
        <v>0.91386454872846523</v>
      </c>
      <c r="N107" s="88">
        <f t="shared" si="6"/>
        <v>0.94733836166854501</v>
      </c>
      <c r="O107" s="88">
        <f t="shared" si="6"/>
        <v>0.93200413677459804</v>
      </c>
      <c r="P107" s="88">
        <f t="shared" si="4"/>
        <v>0.95303819901842346</v>
      </c>
      <c r="Q107" s="88">
        <f t="shared" si="4"/>
        <v>0.96879911294120791</v>
      </c>
    </row>
    <row r="108" spans="1:17" x14ac:dyDescent="0.2">
      <c r="B108" s="52">
        <v>3</v>
      </c>
      <c r="C108" s="56">
        <f t="shared" si="7"/>
        <v>0.97622305136508203</v>
      </c>
      <c r="D108" s="108">
        <f t="shared" si="5"/>
        <v>0.97622305136508203</v>
      </c>
      <c r="E108" s="109"/>
      <c r="F108" s="110">
        <f t="shared" si="6"/>
        <v>0.95885303651601228</v>
      </c>
      <c r="G108" s="110">
        <f t="shared" si="6"/>
        <v>0.96646117257734965</v>
      </c>
      <c r="H108" s="88">
        <f t="shared" si="6"/>
        <v>1.0096080832167758</v>
      </c>
      <c r="I108" s="88">
        <f t="shared" si="6"/>
        <v>0.96704879363713236</v>
      </c>
      <c r="J108" s="88">
        <f t="shared" si="6"/>
        <v>0.97310308229461029</v>
      </c>
      <c r="K108" s="88">
        <f t="shared" si="6"/>
        <v>0.97519250390092882</v>
      </c>
      <c r="L108" s="110">
        <v>1</v>
      </c>
      <c r="M108" s="110">
        <v>1</v>
      </c>
      <c r="N108" s="88">
        <f t="shared" si="6"/>
        <v>0.96748632611023921</v>
      </c>
      <c r="O108" s="88">
        <f t="shared" si="6"/>
        <v>0.9673089096861528</v>
      </c>
      <c r="P108" s="88">
        <f t="shared" si="4"/>
        <v>0.97146979036138648</v>
      </c>
      <c r="Q108" s="88">
        <f t="shared" si="4"/>
        <v>0.98989045404770715</v>
      </c>
    </row>
    <row r="109" spans="1:17" x14ac:dyDescent="0.2">
      <c r="B109" s="52">
        <v>4</v>
      </c>
      <c r="C109" s="56">
        <f t="shared" si="7"/>
        <v>0.98943909549676612</v>
      </c>
      <c r="D109" s="108">
        <f t="shared" si="5"/>
        <v>0.98943909549676612</v>
      </c>
      <c r="E109" s="109"/>
      <c r="F109" s="110">
        <f t="shared" si="6"/>
        <v>1.0302131180146865</v>
      </c>
      <c r="G109" s="110">
        <f t="shared" si="6"/>
        <v>0.9773340211900694</v>
      </c>
      <c r="H109" s="88">
        <f t="shared" si="6"/>
        <v>0.94164258120725386</v>
      </c>
      <c r="I109" s="88">
        <f t="shared" si="6"/>
        <v>0.97967674762048784</v>
      </c>
      <c r="J109" s="88">
        <f t="shared" si="6"/>
        <v>0.9768993165778751</v>
      </c>
      <c r="K109" s="88">
        <f t="shared" si="6"/>
        <v>0.98127834947194681</v>
      </c>
      <c r="L109" s="88">
        <f t="shared" si="6"/>
        <v>0.95811099126717914</v>
      </c>
      <c r="M109" s="88">
        <f t="shared" si="6"/>
        <v>0.97644064515221984</v>
      </c>
      <c r="N109" s="88">
        <f t="shared" si="6"/>
        <v>0.9830026440148647</v>
      </c>
      <c r="O109" s="88">
        <f t="shared" si="6"/>
        <v>0.99834617412125437</v>
      </c>
      <c r="P109" s="88">
        <f t="shared" si="4"/>
        <v>0.98640182667500276</v>
      </c>
      <c r="Q109" s="88">
        <f t="shared" si="4"/>
        <v>0.98356928569404145</v>
      </c>
    </row>
    <row r="110" spans="1:17" x14ac:dyDescent="0.2">
      <c r="B110" s="52">
        <v>5</v>
      </c>
      <c r="C110" s="56">
        <v>0.999</v>
      </c>
      <c r="D110" s="108">
        <f t="shared" si="5"/>
        <v>0.98097839729365877</v>
      </c>
      <c r="E110" s="109"/>
      <c r="F110" s="110">
        <f t="shared" si="6"/>
        <v>0.99097787837862894</v>
      </c>
      <c r="G110" s="110">
        <f t="shared" si="6"/>
        <v>0.91221805402739664</v>
      </c>
      <c r="H110" s="88">
        <f t="shared" si="6"/>
        <v>0.98804089751251722</v>
      </c>
      <c r="I110" s="88">
        <f t="shared" si="6"/>
        <v>0.98688126790838993</v>
      </c>
      <c r="J110" s="88">
        <f t="shared" si="6"/>
        <v>0.92469534243065155</v>
      </c>
      <c r="K110" s="88">
        <f t="shared" si="6"/>
        <v>0.98587183684836954</v>
      </c>
      <c r="L110" s="110">
        <v>1</v>
      </c>
      <c r="M110" s="88">
        <f t="shared" si="6"/>
        <v>0.99542935478757533</v>
      </c>
      <c r="N110" s="88">
        <f t="shared" si="6"/>
        <v>0.98651315404365347</v>
      </c>
      <c r="O110" s="110">
        <v>1</v>
      </c>
      <c r="P110" s="88">
        <f t="shared" si="4"/>
        <v>0.99208829139795929</v>
      </c>
      <c r="Q110" s="88">
        <f t="shared" si="4"/>
        <v>0.95084690048301668</v>
      </c>
    </row>
    <row r="111" spans="1:17" x14ac:dyDescent="0.2">
      <c r="B111" s="52">
        <v>6</v>
      </c>
      <c r="C111" s="56">
        <v>0.99</v>
      </c>
      <c r="D111" s="108">
        <f t="shared" si="5"/>
        <v>0.97462268028657351</v>
      </c>
      <c r="E111" s="109"/>
      <c r="F111" s="110">
        <f t="shared" si="6"/>
        <v>0.95742438147331077</v>
      </c>
      <c r="G111" s="110">
        <f t="shared" si="6"/>
        <v>1.0244016630264161</v>
      </c>
      <c r="H111" s="88">
        <f t="shared" si="6"/>
        <v>1.0213610012923791</v>
      </c>
      <c r="I111" s="88">
        <f t="shared" si="6"/>
        <v>0.98726060071704014</v>
      </c>
      <c r="J111" s="110">
        <v>1</v>
      </c>
      <c r="K111" s="88">
        <f t="shared" si="6"/>
        <v>0.98696448315669838</v>
      </c>
      <c r="L111" s="88">
        <f t="shared" si="6"/>
        <v>0.91777620684810346</v>
      </c>
      <c r="M111" s="88">
        <f t="shared" si="6"/>
        <v>1.0087037075663776</v>
      </c>
      <c r="N111" s="88">
        <f t="shared" si="6"/>
        <v>0.98218841994452943</v>
      </c>
      <c r="O111" s="88">
        <f t="shared" si="6"/>
        <v>0.94452933978365639</v>
      </c>
      <c r="P111" s="88">
        <f t="shared" si="4"/>
        <v>0.98363830353740034</v>
      </c>
      <c r="Q111" s="88">
        <f t="shared" si="4"/>
        <v>0.99570039753866391</v>
      </c>
    </row>
    <row r="112" spans="1:17" x14ac:dyDescent="0.2">
      <c r="B112" s="52">
        <v>7</v>
      </c>
      <c r="C112" s="56">
        <f t="shared" si="7"/>
        <v>0.98683541596778712</v>
      </c>
      <c r="D112" s="108">
        <f t="shared" si="5"/>
        <v>0.98683541596778712</v>
      </c>
      <c r="E112" s="109"/>
      <c r="F112" s="110">
        <f t="shared" si="6"/>
        <v>0.99206203600667475</v>
      </c>
      <c r="G112" s="110">
        <f t="shared" si="6"/>
        <v>0.97305850772875235</v>
      </c>
      <c r="H112" s="88">
        <f t="shared" si="6"/>
        <v>0.92602682586026708</v>
      </c>
      <c r="I112" s="88">
        <f t="shared" si="6"/>
        <v>0.96408863809824208</v>
      </c>
      <c r="J112" s="88">
        <f t="shared" si="6"/>
        <v>0.966924085300922</v>
      </c>
      <c r="K112" s="88">
        <f t="shared" si="6"/>
        <v>0.9815944439101788</v>
      </c>
      <c r="L112" s="110">
        <v>1</v>
      </c>
      <c r="M112" s="88">
        <f t="shared" si="6"/>
        <v>0.9307031653183685</v>
      </c>
      <c r="N112" s="88">
        <f t="shared" si="6"/>
        <v>0.98052255258842425</v>
      </c>
      <c r="O112" s="88">
        <f t="shared" si="6"/>
        <v>1.0015936687574272</v>
      </c>
      <c r="P112" s="88">
        <f t="shared" si="4"/>
        <v>0.98944786038286237</v>
      </c>
      <c r="Q112" s="88">
        <f t="shared" si="4"/>
        <v>0.96946471876307194</v>
      </c>
    </row>
    <row r="113" spans="2:17" x14ac:dyDescent="0.2">
      <c r="B113" s="52">
        <v>8</v>
      </c>
      <c r="C113" s="56">
        <f t="shared" si="7"/>
        <v>0.91508468007412536</v>
      </c>
      <c r="D113" s="108">
        <f t="shared" si="5"/>
        <v>0.91508468007412536</v>
      </c>
      <c r="E113" s="109"/>
      <c r="F113" s="110">
        <f t="shared" si="6"/>
        <v>0.98370328549584574</v>
      </c>
      <c r="G113" s="110">
        <f t="shared" si="6"/>
        <v>0.94349863244039378</v>
      </c>
      <c r="H113" s="88">
        <f t="shared" si="6"/>
        <v>1.0100234107389872</v>
      </c>
      <c r="I113" s="88">
        <f t="shared" si="6"/>
        <v>0.994887095616515</v>
      </c>
      <c r="J113" s="88">
        <f t="shared" si="6"/>
        <v>1.0415489593842129</v>
      </c>
      <c r="K113" s="88">
        <f t="shared" si="6"/>
        <v>0.99044597786924904</v>
      </c>
      <c r="L113" s="110">
        <v>1</v>
      </c>
      <c r="M113" s="88">
        <f t="shared" si="6"/>
        <v>1.0227445673815332</v>
      </c>
      <c r="N113" s="88">
        <f t="shared" si="6"/>
        <v>1</v>
      </c>
      <c r="O113" s="88">
        <f t="shared" si="6"/>
        <v>0.70946887595531616</v>
      </c>
      <c r="P113" s="88">
        <f t="shared" si="4"/>
        <v>1</v>
      </c>
      <c r="Q113" s="88">
        <f t="shared" si="4"/>
        <v>1.0357851642670601</v>
      </c>
    </row>
    <row r="114" spans="2:17" x14ac:dyDescent="0.2">
      <c r="B114" s="52">
        <v>9</v>
      </c>
      <c r="C114" s="109"/>
      <c r="D114" s="109"/>
      <c r="E114" s="109"/>
    </row>
    <row r="115" spans="2:17" x14ac:dyDescent="0.2">
      <c r="B115" s="52">
        <v>10</v>
      </c>
      <c r="C115" s="109"/>
      <c r="D115" s="109"/>
      <c r="E115" s="109"/>
    </row>
    <row r="116" spans="2:17" x14ac:dyDescent="0.2">
      <c r="B116" s="52">
        <v>11</v>
      </c>
      <c r="C116" s="109"/>
      <c r="D116" s="109"/>
      <c r="E116" s="109"/>
    </row>
    <row r="117" spans="2:17" x14ac:dyDescent="0.2">
      <c r="B117" s="52">
        <v>12</v>
      </c>
      <c r="C117" s="109"/>
      <c r="D117" s="109"/>
      <c r="E117" s="109"/>
    </row>
    <row r="118" spans="2:17" x14ac:dyDescent="0.2">
      <c r="B118" s="52">
        <v>13</v>
      </c>
      <c r="C118" s="109"/>
      <c r="D118" s="109"/>
      <c r="E118" s="109"/>
    </row>
    <row r="119" spans="2:17" x14ac:dyDescent="0.2">
      <c r="B119" s="52">
        <v>14</v>
      </c>
      <c r="C119" s="109"/>
      <c r="D119" s="109"/>
      <c r="E119" s="109"/>
    </row>
    <row r="120" spans="2:17" x14ac:dyDescent="0.2">
      <c r="B120" s="52">
        <v>15</v>
      </c>
    </row>
    <row r="122" spans="2:17" x14ac:dyDescent="0.2">
      <c r="F122" s="53">
        <v>1</v>
      </c>
      <c r="G122" s="53">
        <f>F122+1</f>
        <v>2</v>
      </c>
      <c r="H122" s="52">
        <f t="shared" ref="H122:O122" si="8">G122+1</f>
        <v>3</v>
      </c>
      <c r="I122" s="52">
        <f t="shared" si="8"/>
        <v>4</v>
      </c>
      <c r="J122" s="52">
        <f t="shared" si="8"/>
        <v>5</v>
      </c>
      <c r="K122" s="52">
        <f t="shared" si="8"/>
        <v>6</v>
      </c>
      <c r="L122" s="52">
        <f t="shared" si="8"/>
        <v>7</v>
      </c>
      <c r="M122" s="52">
        <f t="shared" si="8"/>
        <v>8</v>
      </c>
      <c r="N122" s="52">
        <f t="shared" si="8"/>
        <v>9</v>
      </c>
      <c r="O122" s="52">
        <f t="shared" si="8"/>
        <v>10</v>
      </c>
      <c r="P122" s="52">
        <v>11</v>
      </c>
      <c r="Q122" s="52">
        <v>12</v>
      </c>
    </row>
    <row r="123" spans="2:17" x14ac:dyDescent="0.2">
      <c r="D123" s="52">
        <v>0</v>
      </c>
      <c r="E123" s="53">
        <f>RISK!P8</f>
        <v>140907432312</v>
      </c>
      <c r="F123" s="53">
        <f>RISK!Q8</f>
        <v>125733474174</v>
      </c>
      <c r="G123" s="53">
        <f>RISK!R8</f>
        <v>120452958029</v>
      </c>
      <c r="H123" s="53">
        <f>RISK!S8</f>
        <v>124792371704</v>
      </c>
      <c r="I123" s="53">
        <f>RISK!T8</f>
        <v>130856706527</v>
      </c>
      <c r="J123" s="53">
        <f>RISK!U8</f>
        <v>132564696356</v>
      </c>
      <c r="K123" s="53">
        <f>RISK!V8</f>
        <v>131668433529</v>
      </c>
      <c r="L123" s="53">
        <f>RISK!W8</f>
        <v>187034559967</v>
      </c>
      <c r="M123" s="53">
        <f>RISK!X8</f>
        <v>234570648779</v>
      </c>
      <c r="N123" s="53">
        <f>RISK!Y8</f>
        <v>361167057609</v>
      </c>
      <c r="O123" s="53">
        <f>RISK!Z8</f>
        <v>427073147362</v>
      </c>
      <c r="P123" s="53">
        <f>RISK!AA8</f>
        <v>444050983683</v>
      </c>
      <c r="Q123" s="53">
        <f>RISK!AB8</f>
        <v>518502880178</v>
      </c>
    </row>
    <row r="124" spans="2:17" x14ac:dyDescent="0.2">
      <c r="D124" s="52">
        <v>1</v>
      </c>
      <c r="E124" s="53">
        <f>RISK!P9</f>
        <v>8049379348</v>
      </c>
      <c r="F124" s="53">
        <f>RISK!Q9</f>
        <v>10430070154</v>
      </c>
      <c r="G124" s="53">
        <f>RISK!R9</f>
        <v>9674986086</v>
      </c>
      <c r="H124" s="53">
        <f>RISK!S9</f>
        <v>8031063372</v>
      </c>
      <c r="I124" s="53">
        <f>RISK!T9</f>
        <v>7402106547</v>
      </c>
      <c r="J124" s="53">
        <f>RISK!U9</f>
        <v>8351092769</v>
      </c>
      <c r="K124" s="53">
        <f>RISK!V9</f>
        <v>8559537399</v>
      </c>
      <c r="L124" s="53">
        <f>RISK!W9</f>
        <v>8307280207</v>
      </c>
      <c r="M124" s="53">
        <f>RISK!X9</f>
        <v>16822083715</v>
      </c>
      <c r="N124" s="53">
        <f>RISK!Y9</f>
        <v>19265374663</v>
      </c>
      <c r="O124" s="53">
        <f>RISK!Z9</f>
        <v>40594276097</v>
      </c>
      <c r="P124" s="53">
        <f>RISK!AA9</f>
        <v>41642193407</v>
      </c>
      <c r="Q124" s="53">
        <f>RISK!AB9</f>
        <v>38818570296</v>
      </c>
    </row>
    <row r="125" spans="2:17" x14ac:dyDescent="0.2">
      <c r="D125" s="52">
        <v>2</v>
      </c>
      <c r="E125" s="53">
        <f>RISK!P10</f>
        <v>4435792144</v>
      </c>
      <c r="F125" s="53">
        <f>RISK!Q10</f>
        <v>4896829780</v>
      </c>
      <c r="G125" s="53">
        <f>RISK!R10</f>
        <v>8595511000</v>
      </c>
      <c r="H125" s="53">
        <f>RISK!S10</f>
        <v>7706420334</v>
      </c>
      <c r="I125" s="53">
        <f>RISK!T10</f>
        <v>5771683753</v>
      </c>
      <c r="J125" s="53">
        <f>RISK!U10</f>
        <v>5654194523</v>
      </c>
      <c r="K125" s="53">
        <f>RISK!V10</f>
        <v>6582155229</v>
      </c>
      <c r="L125" s="53">
        <f>RISK!W10</f>
        <v>6768128609</v>
      </c>
      <c r="M125" s="53">
        <f>RISK!X10</f>
        <v>6476677859</v>
      </c>
      <c r="N125" s="53">
        <f>RISK!Y10</f>
        <v>12875173819</v>
      </c>
      <c r="O125" s="53">
        <f>RISK!Z10</f>
        <v>15270541419</v>
      </c>
      <c r="P125" s="53">
        <f>RISK!AA10</f>
        <v>32868197980</v>
      </c>
      <c r="Q125" s="53">
        <f>RISK!AB10</f>
        <v>34029191778</v>
      </c>
    </row>
    <row r="126" spans="2:17" x14ac:dyDescent="0.2">
      <c r="D126" s="52">
        <v>3</v>
      </c>
      <c r="E126" s="53">
        <f>RISK!P11</f>
        <v>5098774496</v>
      </c>
      <c r="F126" s="53">
        <f>RISK!Q11</f>
        <v>4313905587</v>
      </c>
      <c r="G126" s="53">
        <f>RISK!R11</f>
        <v>4713700431</v>
      </c>
      <c r="H126" s="53">
        <f>RISK!S11</f>
        <v>7751016797</v>
      </c>
      <c r="I126" s="53">
        <f>RISK!T11</f>
        <v>7330539438</v>
      </c>
      <c r="J126" s="53">
        <f>RISK!U11</f>
        <v>5690338454</v>
      </c>
      <c r="K126" s="53">
        <f>RISK!V11</f>
        <v>5340986249</v>
      </c>
      <c r="L126" s="53">
        <f>RISK!W11</f>
        <v>5791073866</v>
      </c>
      <c r="M126" s="53">
        <f>RISK!X11</f>
        <v>6185152797</v>
      </c>
      <c r="N126" s="53">
        <f>RISK!Y11</f>
        <v>6135605392</v>
      </c>
      <c r="O126" s="53">
        <f>RISK!Z11</f>
        <v>11999715261</v>
      </c>
      <c r="P126" s="53">
        <f>RISK!AA11</f>
        <v>14553409292</v>
      </c>
      <c r="Q126" s="53">
        <f>RISK!AB11</f>
        <v>31842681047</v>
      </c>
    </row>
    <row r="127" spans="2:17" x14ac:dyDescent="0.2">
      <c r="D127" s="52">
        <v>4</v>
      </c>
      <c r="E127" s="53">
        <f>RISK!P12</f>
        <v>4790023788</v>
      </c>
      <c r="F127" s="53">
        <f>RISK!Q12</f>
        <v>4888975408</v>
      </c>
      <c r="G127" s="53">
        <f>RISK!R12</f>
        <v>4169222252</v>
      </c>
      <c r="H127" s="53">
        <f>RISK!S12</f>
        <v>4758990057</v>
      </c>
      <c r="I127" s="53">
        <f>RISK!T12</f>
        <v>7495611443</v>
      </c>
      <c r="J127" s="53">
        <f>RISK!U12</f>
        <v>7133370522</v>
      </c>
      <c r="K127" s="53">
        <f>RISK!V12</f>
        <v>5549175405</v>
      </c>
      <c r="L127" s="53">
        <f>RISK!W12</f>
        <v>5489579313</v>
      </c>
      <c r="M127" s="53">
        <f>RISK!X12</f>
        <v>5883465410</v>
      </c>
      <c r="N127" s="53">
        <f>RISK!Y12</f>
        <v>5984050756</v>
      </c>
      <c r="O127" s="53">
        <f>RISK!Z12</f>
        <v>5935025762</v>
      </c>
      <c r="P127" s="53">
        <f>RISK!AA12</f>
        <v>11657360869</v>
      </c>
      <c r="Q127" s="53">
        <f>RISK!AB12</f>
        <v>14406280932</v>
      </c>
    </row>
    <row r="128" spans="2:17" x14ac:dyDescent="0.2">
      <c r="D128" s="52">
        <v>5</v>
      </c>
      <c r="E128" s="53">
        <f>RISK!P13</f>
        <v>4124645905</v>
      </c>
      <c r="F128" s="53">
        <f>RISK!Q13</f>
        <v>4934745342</v>
      </c>
      <c r="G128" s="53">
        <f>RISK!R13</f>
        <v>4778161995</v>
      </c>
      <c r="H128" s="53">
        <f>RISK!S13</f>
        <v>3925917203</v>
      </c>
      <c r="I128" s="53">
        <f>RISK!T13</f>
        <v>4662271901</v>
      </c>
      <c r="J128" s="53">
        <f>RISK!U13</f>
        <v>7322457696</v>
      </c>
      <c r="K128" s="53">
        <f>RISK!V13</f>
        <v>6999822052</v>
      </c>
      <c r="L128" s="53">
        <f>RISK!W13</f>
        <v>5316725948</v>
      </c>
      <c r="M128" s="53">
        <f>RISK!X13</f>
        <v>5360248366</v>
      </c>
      <c r="N128" s="53">
        <f>RISK!Y13</f>
        <v>5783462054</v>
      </c>
      <c r="O128" s="53">
        <f>RISK!Z13</f>
        <v>5974154178</v>
      </c>
      <c r="P128" s="53">
        <f>RISK!AA13</f>
        <v>5854320253</v>
      </c>
      <c r="Q128" s="53">
        <f>RISK!AB13</f>
        <v>11465822103</v>
      </c>
    </row>
    <row r="129" spans="2:17" x14ac:dyDescent="0.2">
      <c r="D129" s="52">
        <v>6</v>
      </c>
      <c r="E129" s="53">
        <f>RISK!P14</f>
        <v>3444566681</v>
      </c>
      <c r="F129" s="53">
        <f>RISK!Q14</f>
        <v>4087432848</v>
      </c>
      <c r="G129" s="53">
        <f>RISK!R14</f>
        <v>4501563793</v>
      </c>
      <c r="H129" s="53">
        <f>RISK!S14</f>
        <v>4721019466</v>
      </c>
      <c r="I129" s="53">
        <f>RISK!T14</f>
        <v>3874414147</v>
      </c>
      <c r="J129" s="53">
        <f>RISK!U14</f>
        <v>4311181112</v>
      </c>
      <c r="K129" s="53">
        <f>RISK!V14</f>
        <v>7219004819</v>
      </c>
      <c r="L129" s="53">
        <f>RISK!W14</f>
        <v>7209935596</v>
      </c>
      <c r="M129" s="53">
        <f>RISK!X14</f>
        <v>5292425080</v>
      </c>
      <c r="N129" s="53">
        <f>RISK!Y14</f>
        <v>5287955522</v>
      </c>
      <c r="O129" s="53">
        <f>RISK!Z14</f>
        <v>5868417448</v>
      </c>
      <c r="P129" s="53">
        <f>RISK!AA14</f>
        <v>5926888411</v>
      </c>
      <c r="Q129" s="53">
        <f>RISK!AB14</f>
        <v>5566562267</v>
      </c>
    </row>
    <row r="130" spans="2:17" x14ac:dyDescent="0.2">
      <c r="D130" s="52">
        <v>7</v>
      </c>
      <c r="E130" s="53">
        <f>RISK!P15</f>
        <v>3056608221</v>
      </c>
      <c r="F130" s="53">
        <f>RISK!Q15</f>
        <v>3297912124</v>
      </c>
      <c r="G130" s="53">
        <f>RISK!R15</f>
        <v>4187173007</v>
      </c>
      <c r="H130" s="53">
        <f>RISK!S15</f>
        <v>4597721703</v>
      </c>
      <c r="I130" s="53">
        <f>RISK!T15</f>
        <v>4660876514</v>
      </c>
      <c r="J130" s="53">
        <f>RISK!U15</f>
        <v>3968094669</v>
      </c>
      <c r="K130" s="53">
        <f>RISK!V15</f>
        <v>4254982638</v>
      </c>
      <c r="L130" s="53">
        <f>RISK!W15</f>
        <v>6625430860</v>
      </c>
      <c r="M130" s="53">
        <f>RISK!X15</f>
        <v>7272688767</v>
      </c>
      <c r="N130" s="53">
        <f>RISK!Y15</f>
        <v>5198158627</v>
      </c>
      <c r="O130" s="53">
        <f>RISK!Z15</f>
        <v>4994629138</v>
      </c>
      <c r="P130" s="53">
        <f>RISK!AA15</f>
        <v>5772400183</v>
      </c>
      <c r="Q130" s="53">
        <f>RISK!AB15</f>
        <v>5901405147</v>
      </c>
    </row>
    <row r="131" spans="2:17" x14ac:dyDescent="0.2">
      <c r="D131" s="52">
        <v>8</v>
      </c>
      <c r="E131" s="53">
        <f>RISK!P16</f>
        <v>2403947249</v>
      </c>
      <c r="F131" s="53">
        <f>RISK!Q16</f>
        <v>3032344975</v>
      </c>
      <c r="G131" s="53">
        <f>RISK!R16</f>
        <v>3209061450</v>
      </c>
      <c r="H131" s="53">
        <f>RISK!S16</f>
        <v>3877434529</v>
      </c>
      <c r="I131" s="53">
        <f>RISK!T16</f>
        <v>4432611255</v>
      </c>
      <c r="J131" s="53">
        <f>RISK!U16</f>
        <v>4506713760</v>
      </c>
      <c r="K131" s="53">
        <f>RISK!V16</f>
        <v>3895059680</v>
      </c>
      <c r="L131" s="53">
        <f>RISK!W16</f>
        <v>4514742412</v>
      </c>
      <c r="M131" s="53">
        <f>RISK!X16</f>
        <v>6166309473</v>
      </c>
      <c r="N131" s="53">
        <f>RISK!Y16</f>
        <v>7131035354</v>
      </c>
      <c r="O131" s="53">
        <f>RISK!Z16</f>
        <v>5206442770</v>
      </c>
      <c r="P131" s="53">
        <f>RISK!AA16</f>
        <v>4941925114</v>
      </c>
      <c r="Q131" s="53">
        <f>RISK!AB16</f>
        <v>5596138320</v>
      </c>
    </row>
    <row r="132" spans="2:17" x14ac:dyDescent="0.2">
      <c r="D132" s="52">
        <v>9</v>
      </c>
      <c r="E132" s="53">
        <f>RISK!P17</f>
        <v>1992845181</v>
      </c>
      <c r="F132" s="53">
        <f>RISK!Q17</f>
        <v>2364770807</v>
      </c>
      <c r="G132" s="53">
        <f>RISK!R17</f>
        <v>2861013337</v>
      </c>
      <c r="H132" s="53">
        <f>RISK!S17</f>
        <v>3241227191</v>
      </c>
      <c r="I132" s="53">
        <f>RISK!T17</f>
        <v>3857609577</v>
      </c>
      <c r="J132" s="53">
        <f>RISK!U17</f>
        <v>4616781640</v>
      </c>
      <c r="K132" s="53">
        <f>RISK!V17</f>
        <v>4463656517</v>
      </c>
      <c r="L132" s="53">
        <f>RISK!W17</f>
        <v>4019506825</v>
      </c>
      <c r="M132" s="53">
        <f>RISK!X17</f>
        <v>4617428275</v>
      </c>
      <c r="N132" s="53">
        <f>RISK!Y17</f>
        <v>6166309473</v>
      </c>
      <c r="O132" s="53">
        <f>RISK!Z17</f>
        <v>5059247637</v>
      </c>
      <c r="P132" s="53">
        <f>RISK!AA17</f>
        <v>5206442770</v>
      </c>
      <c r="Q132" s="53">
        <f>RISK!AB17</f>
        <v>5118772716</v>
      </c>
    </row>
    <row r="133" spans="2:17" x14ac:dyDescent="0.2">
      <c r="D133" s="52">
        <v>10</v>
      </c>
      <c r="E133" s="53">
        <f>RISK!P18</f>
        <v>19100946411</v>
      </c>
      <c r="F133" s="53">
        <f>RISK!Q18</f>
        <v>21071369888</v>
      </c>
      <c r="G133" s="53">
        <f>RISK!R18</f>
        <v>22848159753</v>
      </c>
      <c r="H133" s="53">
        <f>RISK!S18</f>
        <v>25814153486</v>
      </c>
      <c r="I133" s="53">
        <f>RISK!T18</f>
        <v>29055380677</v>
      </c>
      <c r="J133" s="53">
        <f>RISK!U18</f>
        <v>32912990254</v>
      </c>
      <c r="K133" s="53">
        <f>RISK!V18</f>
        <v>37529771894</v>
      </c>
      <c r="L133" s="53">
        <f>RISK!W18</f>
        <v>41986480470</v>
      </c>
      <c r="M133" s="53">
        <f>RISK!X18</f>
        <v>46118075097</v>
      </c>
      <c r="N133" s="53">
        <f>RISK!Y18</f>
        <v>50731503372</v>
      </c>
      <c r="O133" s="53">
        <f>RISK!Z18</f>
        <v>59102096116</v>
      </c>
      <c r="P133" s="53">
        <f>RISK!AA18</f>
        <v>64161343753</v>
      </c>
      <c r="Q133" s="53">
        <f>RISK!AB18</f>
        <v>69549237551</v>
      </c>
    </row>
    <row r="134" spans="2:17" x14ac:dyDescent="0.2">
      <c r="D134" s="52">
        <v>11</v>
      </c>
    </row>
    <row r="135" spans="2:17" x14ac:dyDescent="0.2">
      <c r="D135" s="52">
        <v>12</v>
      </c>
    </row>
    <row r="136" spans="2:17" x14ac:dyDescent="0.2">
      <c r="D136" s="52">
        <v>13</v>
      </c>
    </row>
    <row r="137" spans="2:17" x14ac:dyDescent="0.2">
      <c r="D137" s="52">
        <v>14</v>
      </c>
    </row>
    <row r="138" spans="2:17" x14ac:dyDescent="0.2">
      <c r="D138" s="52">
        <v>15</v>
      </c>
    </row>
    <row r="143" spans="2:17" x14ac:dyDescent="0.2">
      <c r="B143" s="54">
        <v>7</v>
      </c>
      <c r="C143" s="54" t="s">
        <v>228</v>
      </c>
    </row>
    <row r="145" spans="3:15" x14ac:dyDescent="0.2">
      <c r="D145" s="52">
        <v>1</v>
      </c>
      <c r="E145" s="52">
        <f>D145+1</f>
        <v>2</v>
      </c>
      <c r="F145" s="53">
        <f t="shared" ref="F145:M145" si="9">E145+1</f>
        <v>3</v>
      </c>
      <c r="G145" s="53">
        <f t="shared" si="9"/>
        <v>4</v>
      </c>
      <c r="H145" s="52">
        <f t="shared" si="9"/>
        <v>5</v>
      </c>
      <c r="I145" s="52">
        <f t="shared" si="9"/>
        <v>6</v>
      </c>
      <c r="J145" s="52">
        <f t="shared" si="9"/>
        <v>7</v>
      </c>
      <c r="K145" s="52">
        <f t="shared" si="9"/>
        <v>8</v>
      </c>
      <c r="L145" s="52">
        <f t="shared" si="9"/>
        <v>9</v>
      </c>
      <c r="M145" s="52">
        <f t="shared" si="9"/>
        <v>10</v>
      </c>
      <c r="N145" s="111">
        <v>11</v>
      </c>
      <c r="O145" s="111">
        <v>12</v>
      </c>
    </row>
    <row r="146" spans="3:15" s="53" customFormat="1" x14ac:dyDescent="0.2">
      <c r="C146" s="53" t="s">
        <v>229</v>
      </c>
      <c r="D146" s="53">
        <f>PNL!M6</f>
        <v>293226</v>
      </c>
      <c r="E146" s="53">
        <f>PNL!N6</f>
        <v>286953</v>
      </c>
      <c r="F146" s="53">
        <f>PNL!O6</f>
        <v>302253</v>
      </c>
      <c r="G146" s="53">
        <f>PNL!P6</f>
        <v>315835</v>
      </c>
      <c r="H146" s="53">
        <f>PNL!Q6</f>
        <v>335201</v>
      </c>
      <c r="I146" s="53">
        <f>PNL!R6</f>
        <v>346940</v>
      </c>
      <c r="J146" s="53">
        <f>PNL!S6</f>
        <v>379027</v>
      </c>
      <c r="K146" s="53">
        <f>PNL!T6</f>
        <v>436054</v>
      </c>
      <c r="L146" s="53">
        <f>PNL!U6</f>
        <v>502587</v>
      </c>
      <c r="M146" s="53">
        <f>PNL!V6</f>
        <v>551606</v>
      </c>
      <c r="N146" s="53">
        <f>PNL!W6</f>
        <v>596972</v>
      </c>
      <c r="O146" s="53">
        <f>PNL!X6</f>
        <v>641252</v>
      </c>
    </row>
    <row r="147" spans="3:15" ht="15" x14ac:dyDescent="0.2">
      <c r="C147" s="52" t="s">
        <v>139</v>
      </c>
      <c r="D147" s="112">
        <f>PNL!M41</f>
        <v>3968550598.0500002</v>
      </c>
      <c r="E147" s="112">
        <f>PNL!N41</f>
        <v>4085971098.2443533</v>
      </c>
      <c r="F147" s="112">
        <f>PNL!O41</f>
        <v>4264275089.3357134</v>
      </c>
      <c r="G147" s="112">
        <f>PNL!P41</f>
        <v>4171865029.4499998</v>
      </c>
      <c r="H147" s="112">
        <f>PNL!Q41</f>
        <v>4152461260.1999998</v>
      </c>
      <c r="I147" s="112">
        <f>PNL!R41</f>
        <v>4141554811.6992984</v>
      </c>
      <c r="J147" s="112">
        <f>PNL!S41</f>
        <v>4102129822</v>
      </c>
      <c r="K147" s="112">
        <f>PNL!T41</f>
        <v>4957972351.1724033</v>
      </c>
      <c r="L147" s="112">
        <f>PNL!U41</f>
        <v>4703302112.4346657</v>
      </c>
      <c r="M147" s="112">
        <f>PNL!V41</f>
        <v>4696522689.5982056</v>
      </c>
      <c r="N147" s="112">
        <f>PNL!W41</f>
        <v>4870545982.7898483</v>
      </c>
      <c r="O147" s="112">
        <f>PNL!X41</f>
        <v>4877164699.9621067</v>
      </c>
    </row>
    <row r="148" spans="3:15" ht="15" x14ac:dyDescent="0.2">
      <c r="C148" s="52" t="s">
        <v>141</v>
      </c>
      <c r="D148" s="112">
        <f>PNL!M42</f>
        <v>4112303261.8600001</v>
      </c>
      <c r="E148" s="112">
        <f>PNL!N42</f>
        <v>3865979691.8406277</v>
      </c>
      <c r="F148" s="112">
        <f>PNL!O42</f>
        <v>3781296734.6086416</v>
      </c>
      <c r="G148" s="112">
        <f>PNL!P42</f>
        <v>3754005156.7900004</v>
      </c>
      <c r="H148" s="112">
        <f>PNL!Q42</f>
        <v>3853413040.8900003</v>
      </c>
      <c r="I148" s="112">
        <f>PNL!R42</f>
        <v>3969234500.6768327</v>
      </c>
      <c r="J148" s="112">
        <f>PNL!S42</f>
        <v>15538012154.735321</v>
      </c>
      <c r="K148" s="112">
        <f>PNL!T42</f>
        <v>8552842242.6585484</v>
      </c>
      <c r="L148" s="112">
        <f>PNL!U42</f>
        <v>6296107249.2285604</v>
      </c>
      <c r="M148" s="112">
        <f>PNL!V42</f>
        <v>23157294213.061668</v>
      </c>
      <c r="N148" s="112">
        <f>PNL!W42</f>
        <v>6471988609.01231</v>
      </c>
      <c r="O148" s="112">
        <v>15553943577</v>
      </c>
    </row>
    <row r="149" spans="3:15" ht="15" x14ac:dyDescent="0.2">
      <c r="C149" s="52" t="s">
        <v>230</v>
      </c>
      <c r="D149" s="112">
        <f>PNL!M43</f>
        <v>4364383094.3222227</v>
      </c>
      <c r="E149" s="112">
        <f>PNL!N43</f>
        <v>4746293046.6777773</v>
      </c>
      <c r="F149" s="112">
        <f>PNL!O43</f>
        <v>4144575358.8555555</v>
      </c>
      <c r="G149" s="112">
        <f>PNL!P43</f>
        <v>5140692281.8999996</v>
      </c>
      <c r="H149" s="112">
        <f>PNL!Q43</f>
        <v>5061100122.6333332</v>
      </c>
      <c r="I149" s="112">
        <f>PNL!R43</f>
        <v>5475352897.1555548</v>
      </c>
      <c r="J149" s="112">
        <f>PNL!S43</f>
        <v>5109167635.5999994</v>
      </c>
      <c r="K149" s="112">
        <f>PNL!T43</f>
        <v>5310534531.166667</v>
      </c>
      <c r="L149" s="112">
        <f>PNL!U43</f>
        <v>5729459022.6999998</v>
      </c>
      <c r="M149" s="112">
        <f>PNL!V43</f>
        <v>5968265329.1333332</v>
      </c>
      <c r="N149" s="112">
        <f>PNL!W43</f>
        <v>4988626870.1111107</v>
      </c>
      <c r="O149" s="112">
        <v>9147389224.3999996</v>
      </c>
    </row>
    <row r="150" spans="3:15" ht="15" x14ac:dyDescent="0.2">
      <c r="C150" s="52" t="s">
        <v>231</v>
      </c>
      <c r="D150" s="112">
        <f>PNL!M44</f>
        <v>4129895508.7555561</v>
      </c>
      <c r="E150" s="112">
        <f>PNL!N44</f>
        <v>3994642653.8666635</v>
      </c>
      <c r="F150" s="112">
        <f>PNL!O44</f>
        <v>3734569191.9666667</v>
      </c>
      <c r="G150" s="112">
        <f>PNL!P44</f>
        <v>5064592508.9045019</v>
      </c>
      <c r="H150" s="112">
        <f>PNL!Q44</f>
        <v>3260569913.455554</v>
      </c>
      <c r="I150" s="112">
        <f>PNL!R44</f>
        <v>4549789484.3333359</v>
      </c>
      <c r="J150" s="112">
        <f>PNL!S44</f>
        <v>5071107125.9333324</v>
      </c>
      <c r="K150" s="112">
        <f>PNL!T44</f>
        <v>5365994729.9000015</v>
      </c>
      <c r="L150" s="112">
        <f>PNL!U44</f>
        <v>7016670253.5694504</v>
      </c>
      <c r="M150" s="112">
        <f>PNL!V44</f>
        <v>11040620405.499987</v>
      </c>
      <c r="N150" s="112">
        <f>PNL!W44</f>
        <v>4906974092.844449</v>
      </c>
      <c r="O150" s="112">
        <v>3047559911.1377649</v>
      </c>
    </row>
    <row r="152" spans="3:15" x14ac:dyDescent="0.2">
      <c r="D152" s="89"/>
    </row>
    <row r="153" spans="3:15" x14ac:dyDescent="0.2">
      <c r="C153" s="52" t="s">
        <v>139</v>
      </c>
      <c r="D153" s="73">
        <f>SUM(J147:O147)/SUM($J$146:$O$146)/10^6</f>
        <v>9.077282642806923E-3</v>
      </c>
      <c r="E153" s="89"/>
    </row>
    <row r="154" spans="3:15" x14ac:dyDescent="0.2">
      <c r="C154" s="52" t="s">
        <v>141</v>
      </c>
      <c r="D154" s="73">
        <f>SUM(J148:O148)/SUM($J$146:$O$146)/10^6</f>
        <v>2.4318660235886368E-2</v>
      </c>
    </row>
    <row r="155" spans="3:15" x14ac:dyDescent="0.2">
      <c r="C155" s="52" t="s">
        <v>230</v>
      </c>
      <c r="D155" s="73">
        <f>SUM(J149:O149)/SUM($J$146:$O$146)/10^6</f>
        <v>1.1666441173288321E-2</v>
      </c>
    </row>
    <row r="156" spans="3:15" x14ac:dyDescent="0.2">
      <c r="C156" s="52" t="s">
        <v>231</v>
      </c>
      <c r="D156" s="73">
        <f>SUM(J150:O150)/SUM($J$146:$O$146)/10^6</f>
        <v>1.1729348343550017E-2</v>
      </c>
    </row>
    <row r="162" spans="3:5" x14ac:dyDescent="0.2">
      <c r="C162" s="52" t="s">
        <v>62</v>
      </c>
      <c r="D162" s="113">
        <f>SUM(E164:E166)/SUM(D164:D166)*365</f>
        <v>5.9930813346655717E-2</v>
      </c>
    </row>
    <row r="163" spans="3:5" x14ac:dyDescent="0.2">
      <c r="D163" s="70"/>
      <c r="E163" s="70"/>
    </row>
    <row r="164" spans="3:5" x14ac:dyDescent="0.2">
      <c r="C164" s="52" t="s">
        <v>232</v>
      </c>
      <c r="D164" s="70">
        <v>15149800436352</v>
      </c>
      <c r="E164" s="70">
        <v>2403336962.7848382</v>
      </c>
    </row>
    <row r="165" spans="3:5" x14ac:dyDescent="0.2">
      <c r="C165" s="52" t="s">
        <v>233</v>
      </c>
      <c r="D165" s="70">
        <v>16130460681766</v>
      </c>
      <c r="E165" s="70">
        <v>2565696608.715199</v>
      </c>
    </row>
    <row r="166" spans="3:5" x14ac:dyDescent="0.2">
      <c r="C166" s="52" t="s">
        <v>234</v>
      </c>
      <c r="D166" s="70">
        <v>17003843045847</v>
      </c>
      <c r="E166" s="70">
        <v>2958927070.3111086</v>
      </c>
    </row>
  </sheetData>
  <conditionalFormatting sqref="E96:G98">
    <cfRule type="cellIs" dxfId="1" priority="1" operator="equal">
      <formula>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9381B-0232-BC45-8812-6A2A5CDBAF11}">
  <sheetPr filterMode="1"/>
  <dimension ref="A1:AI716"/>
  <sheetViews>
    <sheetView zoomScale="60" zoomScaleNormal="60" workbookViewId="0">
      <pane xSplit="9" ySplit="2" topLeftCell="K552"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8.83203125" defaultRowHeight="15" customHeight="1" x14ac:dyDescent="0.2"/>
  <cols>
    <col min="1" max="1" width="3.83203125" style="52" customWidth="1"/>
    <col min="2" max="5" width="10.83203125" style="114" customWidth="1"/>
    <col min="6" max="6" width="9.1640625" style="114" customWidth="1"/>
    <col min="7" max="7" width="10.83203125" style="114" customWidth="1"/>
    <col min="8" max="8" width="9.1640625" style="52" customWidth="1"/>
    <col min="9" max="9" width="27.1640625" style="52" customWidth="1"/>
    <col min="10" max="10" width="19.5" style="52" customWidth="1"/>
    <col min="11" max="11" width="20" style="52" customWidth="1"/>
    <col min="12" max="12" width="20.5" style="52" customWidth="1"/>
    <col min="13" max="13" width="18" style="52" customWidth="1"/>
    <col min="14" max="14" width="20" style="52" bestFit="1" customWidth="1"/>
    <col min="15" max="15" width="20" style="52" customWidth="1"/>
    <col min="16" max="16" width="18.6640625" style="52" customWidth="1"/>
    <col min="17" max="17" width="18.1640625" style="52" customWidth="1"/>
    <col min="18" max="18" width="19.6640625" style="52" customWidth="1"/>
    <col min="19" max="19" width="20.1640625" style="52" customWidth="1"/>
    <col min="20" max="20" width="19.83203125" style="52" customWidth="1"/>
    <col min="21" max="21" width="19.5" style="52" bestFit="1" customWidth="1"/>
    <col min="22" max="22" width="19.6640625" style="52" customWidth="1"/>
    <col min="23" max="23" width="19.1640625" style="52" customWidth="1"/>
    <col min="24" max="24" width="18.5" style="52" customWidth="1"/>
    <col min="25" max="25" width="19.5" style="52" customWidth="1"/>
    <col min="26" max="26" width="19.33203125" style="52" customWidth="1"/>
    <col min="27" max="27" width="16.1640625" style="52" bestFit="1" customWidth="1"/>
    <col min="28" max="29" width="8.83203125" style="52" bestFit="1" customWidth="1"/>
    <col min="30" max="30" width="8.83203125" style="52"/>
    <col min="31" max="34" width="8.83203125" style="52" bestFit="1" customWidth="1"/>
    <col min="35" max="16384" width="8.83203125" style="52"/>
  </cols>
  <sheetData>
    <row r="1" spans="2:26" ht="16" x14ac:dyDescent="0.2">
      <c r="I1" s="70"/>
      <c r="J1" s="70">
        <v>694002244425.31787</v>
      </c>
      <c r="L1" s="115"/>
      <c r="M1" s="115"/>
      <c r="N1" s="115"/>
      <c r="O1" s="115"/>
      <c r="P1" s="115"/>
      <c r="Q1" s="115"/>
      <c r="R1" s="115"/>
      <c r="S1" s="115"/>
      <c r="T1" s="115"/>
      <c r="U1" s="115"/>
      <c r="V1" s="115"/>
      <c r="W1" s="115"/>
      <c r="X1" s="116"/>
    </row>
    <row r="2" spans="2:26" x14ac:dyDescent="0.2">
      <c r="B2" s="117" t="s">
        <v>235</v>
      </c>
      <c r="C2" s="118" t="s">
        <v>236</v>
      </c>
      <c r="D2" s="118" t="s">
        <v>237</v>
      </c>
      <c r="E2" s="118" t="s">
        <v>238</v>
      </c>
      <c r="F2" s="118" t="s">
        <v>239</v>
      </c>
      <c r="G2" s="118" t="s">
        <v>240</v>
      </c>
      <c r="H2" s="119"/>
      <c r="I2" s="120" t="s">
        <v>241</v>
      </c>
      <c r="J2" s="120"/>
      <c r="K2" s="87">
        <v>45597</v>
      </c>
      <c r="L2" s="87">
        <v>45627</v>
      </c>
      <c r="M2" s="87">
        <v>45658</v>
      </c>
      <c r="N2" s="87">
        <v>45689</v>
      </c>
      <c r="O2" s="87">
        <v>45717</v>
      </c>
      <c r="P2" s="87">
        <v>45748</v>
      </c>
      <c r="Q2" s="87">
        <v>45778</v>
      </c>
      <c r="R2" s="87">
        <v>45809</v>
      </c>
      <c r="S2" s="87">
        <v>45839</v>
      </c>
      <c r="T2" s="87">
        <v>45870</v>
      </c>
      <c r="U2" s="87">
        <v>45901</v>
      </c>
      <c r="V2" s="87">
        <v>45931</v>
      </c>
      <c r="W2" s="87">
        <v>45962</v>
      </c>
      <c r="X2" s="87">
        <v>45992</v>
      </c>
    </row>
    <row r="3" spans="2:26" hidden="1" x14ac:dyDescent="0.2">
      <c r="B3" s="121"/>
      <c r="C3" s="81"/>
      <c r="D3" s="81"/>
      <c r="E3" s="81"/>
      <c r="F3" s="81"/>
      <c r="G3" s="81"/>
      <c r="H3" s="122"/>
      <c r="I3" s="123" t="s">
        <v>242</v>
      </c>
      <c r="J3" s="123"/>
      <c r="K3" s="123"/>
      <c r="L3" s="123"/>
      <c r="M3" s="123"/>
      <c r="N3" s="123"/>
      <c r="O3" s="123"/>
      <c r="P3" s="123"/>
      <c r="Q3" s="123"/>
      <c r="R3" s="123"/>
      <c r="S3" s="123"/>
      <c r="T3" s="123"/>
      <c r="U3" s="123"/>
      <c r="V3" s="123"/>
      <c r="W3" s="123"/>
      <c r="X3" s="123"/>
    </row>
    <row r="4" spans="2:26" ht="16" hidden="1" x14ac:dyDescent="0.2">
      <c r="B4" s="121" t="s">
        <v>243</v>
      </c>
      <c r="C4" s="81"/>
      <c r="D4" s="81" t="s">
        <v>244</v>
      </c>
      <c r="E4" s="81"/>
      <c r="F4" s="124"/>
      <c r="G4" s="81" t="str">
        <f t="shared" ref="G4:G45" si="0">B4&amp;"_"&amp;C4&amp;"_"&amp;D4&amp;"_"&amp;E4&amp;"_"&amp;F4</f>
        <v>lending__all__</v>
      </c>
      <c r="H4" s="125"/>
      <c r="I4" s="126" t="s">
        <v>245</v>
      </c>
      <c r="J4" s="125">
        <f>SUM(M4:X4)</f>
        <v>1710749</v>
      </c>
      <c r="K4" s="84">
        <f t="shared" ref="K4:V4" si="1">SUMIFS(K$48:K$3038,$I$48:$I$3038,"New account")</f>
        <v>69275</v>
      </c>
      <c r="L4" s="84">
        <f t="shared" si="1"/>
        <v>83163</v>
      </c>
      <c r="M4" s="84">
        <f t="shared" si="1"/>
        <v>72675</v>
      </c>
      <c r="N4" s="84">
        <f t="shared" si="1"/>
        <v>62148</v>
      </c>
      <c r="O4" s="84">
        <f t="shared" si="1"/>
        <v>83436</v>
      </c>
      <c r="P4" s="84">
        <f t="shared" si="1"/>
        <v>82811</v>
      </c>
      <c r="Q4" s="84">
        <f t="shared" si="1"/>
        <v>83424</v>
      </c>
      <c r="R4" s="84">
        <f t="shared" si="1"/>
        <v>86016</v>
      </c>
      <c r="S4" s="84">
        <f t="shared" si="1"/>
        <v>126963</v>
      </c>
      <c r="T4" s="84">
        <f t="shared" si="1"/>
        <v>148017</v>
      </c>
      <c r="U4" s="84">
        <f t="shared" si="1"/>
        <v>202873</v>
      </c>
      <c r="V4" s="84">
        <f t="shared" si="1"/>
        <v>242972</v>
      </c>
      <c r="W4" s="84">
        <f>SUMIFS($W$48:$W$3038,$I$48:$I$3038,"New account")</f>
        <v>248246</v>
      </c>
      <c r="X4" s="84">
        <f>SUMIFS(X$48:X$3038,$I$48:$I$3038,"New account")</f>
        <v>271168</v>
      </c>
      <c r="Y4" s="70">
        <f t="shared" ref="Y4:Y67" si="2">X4-W4</f>
        <v>22922</v>
      </c>
      <c r="Z4" s="52">
        <v>248246</v>
      </c>
    </row>
    <row r="5" spans="2:26" ht="16" hidden="1" x14ac:dyDescent="0.2">
      <c r="B5" s="121" t="s">
        <v>243</v>
      </c>
      <c r="C5" s="81"/>
      <c r="D5" s="81" t="s">
        <v>244</v>
      </c>
      <c r="E5" s="81"/>
      <c r="F5" s="124"/>
      <c r="G5" s="81" t="str">
        <f t="shared" si="0"/>
        <v>lending__all__</v>
      </c>
      <c r="H5" s="125"/>
      <c r="I5" s="126" t="s">
        <v>246</v>
      </c>
      <c r="J5" s="125">
        <f>SUM(M5:X5)</f>
        <v>977652</v>
      </c>
      <c r="K5" s="84">
        <f t="shared" ref="K5:X5" si="3">SUMIFS(K$48:K$3038,$I$48:$I$3038,"Repeat account")</f>
        <v>31467</v>
      </c>
      <c r="L5" s="84">
        <f t="shared" si="3"/>
        <v>41624</v>
      </c>
      <c r="M5" s="84">
        <f t="shared" si="3"/>
        <v>36793</v>
      </c>
      <c r="N5" s="84">
        <f t="shared" si="3"/>
        <v>35375</v>
      </c>
      <c r="O5" s="84">
        <f t="shared" si="3"/>
        <v>45120</v>
      </c>
      <c r="P5" s="84">
        <f t="shared" si="3"/>
        <v>44837</v>
      </c>
      <c r="Q5" s="84">
        <f t="shared" si="3"/>
        <v>44599</v>
      </c>
      <c r="R5" s="84">
        <f t="shared" si="3"/>
        <v>45859</v>
      </c>
      <c r="S5" s="84">
        <f t="shared" si="3"/>
        <v>51585</v>
      </c>
      <c r="T5" s="84">
        <f t="shared" si="3"/>
        <v>72863</v>
      </c>
      <c r="U5" s="84">
        <f t="shared" si="3"/>
        <v>114006</v>
      </c>
      <c r="V5" s="84">
        <f t="shared" si="3"/>
        <v>152349</v>
      </c>
      <c r="W5" s="84">
        <f t="shared" si="3"/>
        <v>157809</v>
      </c>
      <c r="X5" s="84">
        <f t="shared" si="3"/>
        <v>176457</v>
      </c>
      <c r="Y5" s="70">
        <f t="shared" si="2"/>
        <v>18648</v>
      </c>
    </row>
    <row r="6" spans="2:26" ht="16" hidden="1" x14ac:dyDescent="0.2">
      <c r="B6" s="121" t="s">
        <v>243</v>
      </c>
      <c r="C6" s="81"/>
      <c r="D6" s="81" t="s">
        <v>244</v>
      </c>
      <c r="E6" s="81"/>
      <c r="F6" s="124"/>
      <c r="G6" s="81" t="str">
        <f t="shared" si="0"/>
        <v>lending__all__</v>
      </c>
      <c r="H6" s="125"/>
      <c r="I6" s="126" t="s">
        <v>247</v>
      </c>
      <c r="J6" s="125">
        <f>W6</f>
        <v>596972</v>
      </c>
      <c r="K6" s="84">
        <f t="shared" ref="K6:X6" si="4">SUMIFS(K$48:K$3038,$I$48:$I$3038,"Accumulated account")</f>
        <v>263026</v>
      </c>
      <c r="L6" s="84">
        <f t="shared" si="4"/>
        <v>289241</v>
      </c>
      <c r="M6" s="84">
        <f t="shared" si="4"/>
        <v>293226</v>
      </c>
      <c r="N6" s="84">
        <f t="shared" si="4"/>
        <v>286953</v>
      </c>
      <c r="O6" s="84">
        <f t="shared" si="4"/>
        <v>302253</v>
      </c>
      <c r="P6" s="84">
        <f t="shared" si="4"/>
        <v>315835</v>
      </c>
      <c r="Q6" s="84">
        <f t="shared" si="4"/>
        <v>335201</v>
      </c>
      <c r="R6" s="84">
        <f t="shared" si="4"/>
        <v>346940</v>
      </c>
      <c r="S6" s="84">
        <f t="shared" si="4"/>
        <v>379027</v>
      </c>
      <c r="T6" s="84">
        <f t="shared" si="4"/>
        <v>436054</v>
      </c>
      <c r="U6" s="84">
        <f t="shared" si="4"/>
        <v>502587</v>
      </c>
      <c r="V6" s="84">
        <f t="shared" si="4"/>
        <v>551606</v>
      </c>
      <c r="W6" s="84">
        <f t="shared" si="4"/>
        <v>596972</v>
      </c>
      <c r="X6" s="84">
        <f t="shared" si="4"/>
        <v>641252</v>
      </c>
      <c r="Y6" s="70">
        <f t="shared" si="2"/>
        <v>44280</v>
      </c>
    </row>
    <row r="7" spans="2:26" ht="16" hidden="1" x14ac:dyDescent="0.2">
      <c r="B7" s="121" t="s">
        <v>243</v>
      </c>
      <c r="C7" s="81"/>
      <c r="D7" s="81" t="s">
        <v>244</v>
      </c>
      <c r="E7" s="81"/>
      <c r="F7" s="124"/>
      <c r="G7" s="81" t="str">
        <f t="shared" si="0"/>
        <v>lending__all__</v>
      </c>
      <c r="H7" s="125"/>
      <c r="I7" s="84" t="s">
        <v>191</v>
      </c>
      <c r="J7" s="125">
        <f>SUM(M7:X7)</f>
        <v>14621515936862</v>
      </c>
      <c r="K7" s="84">
        <f t="shared" ref="K7:X7" si="5">SUMIFS(K$48:K$3038,$I$48:$I$3038,"Disbursement")</f>
        <v>565385177155</v>
      </c>
      <c r="L7" s="84">
        <f t="shared" si="5"/>
        <v>648539970448</v>
      </c>
      <c r="M7" s="84">
        <f t="shared" si="5"/>
        <v>607486373275</v>
      </c>
      <c r="N7" s="84">
        <f t="shared" si="5"/>
        <v>495446382206</v>
      </c>
      <c r="O7" s="84">
        <f t="shared" si="5"/>
        <v>683532749818</v>
      </c>
      <c r="P7" s="84">
        <f t="shared" si="5"/>
        <v>798190174129</v>
      </c>
      <c r="Q7" s="84">
        <f t="shared" si="5"/>
        <v>840951063659</v>
      </c>
      <c r="R7" s="84">
        <f t="shared" si="5"/>
        <v>923959113319</v>
      </c>
      <c r="S7" s="84">
        <f t="shared" si="5"/>
        <v>1268523513257</v>
      </c>
      <c r="T7" s="84">
        <f t="shared" si="5"/>
        <v>1258758785148</v>
      </c>
      <c r="U7" s="84">
        <f t="shared" si="5"/>
        <v>1714453459136</v>
      </c>
      <c r="V7" s="84">
        <f t="shared" si="5"/>
        <v>1916166104747</v>
      </c>
      <c r="W7" s="84">
        <f t="shared" si="5"/>
        <v>1979098724767</v>
      </c>
      <c r="X7" s="84">
        <f t="shared" si="5"/>
        <v>2134949493401</v>
      </c>
      <c r="Y7" s="70">
        <f t="shared" si="2"/>
        <v>155850768634</v>
      </c>
    </row>
    <row r="8" spans="2:26" ht="16" hidden="1" x14ac:dyDescent="0.2">
      <c r="B8" s="121" t="s">
        <v>243</v>
      </c>
      <c r="C8" s="81"/>
      <c r="D8" s="81" t="s">
        <v>244</v>
      </c>
      <c r="E8" s="81"/>
      <c r="F8" s="124"/>
      <c r="G8" s="81" t="str">
        <f t="shared" si="0"/>
        <v>lending__all__</v>
      </c>
      <c r="H8" s="125"/>
      <c r="I8" s="84" t="s">
        <v>248</v>
      </c>
      <c r="J8" s="84"/>
      <c r="K8" s="84">
        <f t="shared" ref="K8:X8" si="6">SUMIFS(K$48:K$3038,$I$48:$I$3038,"Disbursement w insurance")</f>
        <v>415183060000</v>
      </c>
      <c r="L8" s="84">
        <f t="shared" si="6"/>
        <v>482160430000</v>
      </c>
      <c r="M8" s="84">
        <f t="shared" si="6"/>
        <v>444116950000</v>
      </c>
      <c r="N8" s="84">
        <f t="shared" si="6"/>
        <v>350181210000</v>
      </c>
      <c r="O8" s="84">
        <f t="shared" si="6"/>
        <v>496968420000</v>
      </c>
      <c r="P8" s="84">
        <f t="shared" si="6"/>
        <v>588092938000</v>
      </c>
      <c r="Q8" s="84">
        <f t="shared" si="6"/>
        <v>593910462000</v>
      </c>
      <c r="R8" s="84">
        <f t="shared" si="6"/>
        <v>669560212000</v>
      </c>
      <c r="S8" s="84">
        <f t="shared" si="6"/>
        <v>960086540000</v>
      </c>
      <c r="T8" s="84">
        <f t="shared" si="6"/>
        <v>979409516000</v>
      </c>
      <c r="U8" s="84">
        <f t="shared" si="6"/>
        <v>1394415296000</v>
      </c>
      <c r="V8" s="84">
        <f t="shared" si="6"/>
        <v>1541906630000</v>
      </c>
      <c r="W8" s="84">
        <f t="shared" si="6"/>
        <v>1655146876000</v>
      </c>
      <c r="X8" s="84">
        <f t="shared" si="6"/>
        <v>1785933196000</v>
      </c>
      <c r="Y8" s="70">
        <f t="shared" si="2"/>
        <v>130786320000</v>
      </c>
    </row>
    <row r="9" spans="2:26" ht="16" hidden="1" x14ac:dyDescent="0.2">
      <c r="B9" s="121" t="s">
        <v>243</v>
      </c>
      <c r="C9" s="81"/>
      <c r="D9" s="81" t="s">
        <v>244</v>
      </c>
      <c r="E9" s="81"/>
      <c r="F9" s="124"/>
      <c r="G9" s="81" t="str">
        <f t="shared" si="0"/>
        <v>lending__all__</v>
      </c>
      <c r="H9" s="125"/>
      <c r="I9" s="84" t="s">
        <v>249</v>
      </c>
      <c r="J9" s="125"/>
      <c r="K9" s="84">
        <f t="shared" ref="K9:X9" si="7">SUMIFS(K$48:K$3038,$I$48:$I$3038,"Disbursement w/o insurance")</f>
        <v>44524560000</v>
      </c>
      <c r="L9" s="84">
        <f t="shared" si="7"/>
        <v>52877400000</v>
      </c>
      <c r="M9" s="84">
        <f t="shared" si="7"/>
        <v>54308000000</v>
      </c>
      <c r="N9" s="84">
        <f t="shared" si="7"/>
        <v>50012000000</v>
      </c>
      <c r="O9" s="84">
        <f t="shared" si="7"/>
        <v>74491000000</v>
      </c>
      <c r="P9" s="84">
        <f t="shared" si="7"/>
        <v>95609900000</v>
      </c>
      <c r="Q9" s="84">
        <f t="shared" si="7"/>
        <v>127503000000</v>
      </c>
      <c r="R9" s="84">
        <f t="shared" si="7"/>
        <v>135639400000</v>
      </c>
      <c r="S9" s="84">
        <f t="shared" si="7"/>
        <v>194727754400</v>
      </c>
      <c r="T9" s="84">
        <f t="shared" si="7"/>
        <v>182045000000</v>
      </c>
      <c r="U9" s="84">
        <f t="shared" si="7"/>
        <v>233779000000</v>
      </c>
      <c r="V9" s="84">
        <f t="shared" si="7"/>
        <v>290020060000</v>
      </c>
      <c r="W9" s="84">
        <f t="shared" si="7"/>
        <v>250877000000</v>
      </c>
      <c r="X9" s="84">
        <f t="shared" si="7"/>
        <v>278008000000</v>
      </c>
      <c r="Y9" s="70">
        <f t="shared" si="2"/>
        <v>27131000000</v>
      </c>
    </row>
    <row r="10" spans="2:26" ht="16" hidden="1" x14ac:dyDescent="0.2">
      <c r="B10" s="121" t="s">
        <v>243</v>
      </c>
      <c r="C10" s="81"/>
      <c r="D10" s="81" t="s">
        <v>244</v>
      </c>
      <c r="E10" s="81"/>
      <c r="F10" s="124"/>
      <c r="G10" s="81" t="str">
        <f t="shared" si="0"/>
        <v>lending__all__</v>
      </c>
      <c r="H10" s="125"/>
      <c r="I10" s="84" t="s">
        <v>250</v>
      </c>
      <c r="J10" s="125">
        <f>V10</f>
        <v>5341105587162</v>
      </c>
      <c r="K10" s="84">
        <f t="shared" ref="K10:X10" si="8">SUMIFS(K$48:K$3038,$I$48:$I$3038,"Balance ENR")</f>
        <v>2052438476066</v>
      </c>
      <c r="L10" s="84">
        <f t="shared" si="8"/>
        <v>2208691233824</v>
      </c>
      <c r="M10" s="84">
        <f t="shared" si="8"/>
        <v>2353465097862</v>
      </c>
      <c r="N10" s="84">
        <f t="shared" si="8"/>
        <v>2269348501981</v>
      </c>
      <c r="O10" s="84">
        <f t="shared" si="8"/>
        <v>2381914281455</v>
      </c>
      <c r="P10" s="84">
        <f t="shared" si="8"/>
        <v>2586626572528</v>
      </c>
      <c r="Q10" s="84">
        <f t="shared" si="8"/>
        <v>2809564235670</v>
      </c>
      <c r="R10" s="84">
        <f t="shared" si="8"/>
        <v>3047094181089</v>
      </c>
      <c r="S10" s="84">
        <f t="shared" si="8"/>
        <v>3581571539212</v>
      </c>
      <c r="T10" s="84">
        <f t="shared" si="8"/>
        <v>3982639212969</v>
      </c>
      <c r="U10" s="84">
        <f t="shared" si="8"/>
        <v>4698643910641</v>
      </c>
      <c r="V10" s="84">
        <f t="shared" si="8"/>
        <v>5341105587162</v>
      </c>
      <c r="W10" s="84">
        <f t="shared" si="8"/>
        <v>5989360520352</v>
      </c>
      <c r="X10" s="84">
        <f t="shared" si="8"/>
        <v>6617059046336</v>
      </c>
      <c r="Y10" s="70">
        <f t="shared" si="2"/>
        <v>627698525984</v>
      </c>
    </row>
    <row r="11" spans="2:26" ht="16" hidden="1" x14ac:dyDescent="0.2">
      <c r="B11" s="121" t="s">
        <v>243</v>
      </c>
      <c r="C11" s="81"/>
      <c r="D11" s="81" t="s">
        <v>244</v>
      </c>
      <c r="E11" s="81"/>
      <c r="F11" s="124"/>
      <c r="G11" s="81" t="str">
        <f t="shared" si="0"/>
        <v>lending__all__</v>
      </c>
      <c r="H11" s="125"/>
      <c r="I11" s="127" t="s">
        <v>251</v>
      </c>
      <c r="J11" s="128"/>
      <c r="K11" s="84">
        <f t="shared" ref="K11:X11" si="9">SUMIFS(K$48:K$3038,$I$48:$I$3038,"Indue balance")</f>
        <v>1861677245641</v>
      </c>
      <c r="L11" s="84">
        <f t="shared" si="9"/>
        <v>2017439375775</v>
      </c>
      <c r="M11" s="84">
        <f t="shared" si="9"/>
        <v>2146462749230</v>
      </c>
      <c r="N11" s="84">
        <f t="shared" si="9"/>
        <v>2109310363676</v>
      </c>
      <c r="O11" s="84">
        <f t="shared" si="9"/>
        <v>2212171474295</v>
      </c>
      <c r="P11" s="84">
        <f t="shared" si="9"/>
        <v>2407668341994</v>
      </c>
      <c r="Q11" s="84">
        <f t="shared" si="9"/>
        <v>2623647731424</v>
      </c>
      <c r="R11" s="84">
        <f t="shared" si="9"/>
        <v>2862461599102</v>
      </c>
      <c r="S11" s="84">
        <f t="shared" si="9"/>
        <v>3381041159622</v>
      </c>
      <c r="T11" s="84">
        <f t="shared" si="9"/>
        <v>3776096718873</v>
      </c>
      <c r="U11" s="84">
        <f t="shared" si="9"/>
        <v>4483304548936</v>
      </c>
      <c r="V11" s="84">
        <f t="shared" si="9"/>
        <v>5096619403628</v>
      </c>
      <c r="W11" s="84">
        <f t="shared" si="9"/>
        <v>5712030372324</v>
      </c>
      <c r="X11" s="84">
        <f t="shared" si="9"/>
        <v>6319462955843</v>
      </c>
      <c r="Y11" s="70">
        <f t="shared" si="2"/>
        <v>607432583519</v>
      </c>
    </row>
    <row r="12" spans="2:26" ht="16" hidden="1" x14ac:dyDescent="0.2">
      <c r="B12" s="121" t="s">
        <v>243</v>
      </c>
      <c r="C12" s="81"/>
      <c r="D12" s="81" t="s">
        <v>244</v>
      </c>
      <c r="E12" s="81"/>
      <c r="F12" s="124"/>
      <c r="G12" s="81" t="str">
        <f t="shared" si="0"/>
        <v>lending__all__</v>
      </c>
      <c r="H12" s="125"/>
      <c r="I12" s="127" t="s">
        <v>252</v>
      </c>
      <c r="J12" s="128"/>
      <c r="K12" s="84">
        <f t="shared" ref="K12:X12" si="10">SUMIFS(K$48:K$3038,$I$48:$I$3038,"Overdue balance (dpd &gt;0)")</f>
        <v>190761230425</v>
      </c>
      <c r="L12" s="84">
        <f t="shared" si="10"/>
        <v>191251858049</v>
      </c>
      <c r="M12" s="84">
        <f t="shared" si="10"/>
        <v>207002348632</v>
      </c>
      <c r="N12" s="84">
        <f t="shared" si="10"/>
        <v>160038138305</v>
      </c>
      <c r="O12" s="84">
        <f t="shared" si="10"/>
        <v>169742807160</v>
      </c>
      <c r="P12" s="84">
        <f t="shared" si="10"/>
        <v>178958230534</v>
      </c>
      <c r="Q12" s="84">
        <f t="shared" si="10"/>
        <v>185916504246</v>
      </c>
      <c r="R12" s="84">
        <f t="shared" si="10"/>
        <v>184632581987</v>
      </c>
      <c r="S12" s="84">
        <f t="shared" si="10"/>
        <v>200530379590</v>
      </c>
      <c r="T12" s="84">
        <f t="shared" si="10"/>
        <v>206542494096</v>
      </c>
      <c r="U12" s="84">
        <f t="shared" si="10"/>
        <v>215339361705</v>
      </c>
      <c r="V12" s="84">
        <f t="shared" si="10"/>
        <v>244486183534</v>
      </c>
      <c r="W12" s="84">
        <f t="shared" si="10"/>
        <v>277330148028</v>
      </c>
      <c r="X12" s="84">
        <f t="shared" si="10"/>
        <v>297596090493</v>
      </c>
      <c r="Y12" s="70">
        <f t="shared" si="2"/>
        <v>20265942465</v>
      </c>
    </row>
    <row r="13" spans="2:26" ht="16" hidden="1" x14ac:dyDescent="0.2">
      <c r="B13" s="121" t="s">
        <v>243</v>
      </c>
      <c r="C13" s="81"/>
      <c r="D13" s="81" t="s">
        <v>244</v>
      </c>
      <c r="E13" s="81"/>
      <c r="F13" s="124"/>
      <c r="G13" s="81" t="str">
        <f t="shared" si="0"/>
        <v>lending__all__</v>
      </c>
      <c r="H13" s="125"/>
      <c r="I13" s="126" t="s">
        <v>253</v>
      </c>
      <c r="J13" s="128"/>
      <c r="K13" s="84">
        <f t="shared" ref="K13:X13" si="11">SUMIFS(K$48:K$3038,$I$48:$I$3038,"Overdue balance (90d+)- CAKE")</f>
        <v>209084219244</v>
      </c>
      <c r="L13" s="84">
        <f t="shared" si="11"/>
        <v>218890134025</v>
      </c>
      <c r="M13" s="84">
        <f t="shared" si="11"/>
        <v>251298767400</v>
      </c>
      <c r="N13" s="84">
        <f t="shared" si="11"/>
        <v>189681407635</v>
      </c>
      <c r="O13" s="84">
        <f t="shared" si="11"/>
        <v>197886173133</v>
      </c>
      <c r="P13" s="84">
        <f t="shared" si="11"/>
        <v>205873544624</v>
      </c>
      <c r="Q13" s="84">
        <f t="shared" si="11"/>
        <v>223901043135</v>
      </c>
      <c r="R13" s="84">
        <f t="shared" si="11"/>
        <v>210075662340</v>
      </c>
      <c r="S13" s="84">
        <f t="shared" si="11"/>
        <v>225269731132</v>
      </c>
      <c r="T13" s="84">
        <f t="shared" si="11"/>
        <v>221629358673</v>
      </c>
      <c r="U13" s="84">
        <f t="shared" si="11"/>
        <v>221184750579</v>
      </c>
      <c r="V13" s="84">
        <f t="shared" si="11"/>
        <v>224149325644</v>
      </c>
      <c r="W13" s="84">
        <f t="shared" si="11"/>
        <v>235937958533</v>
      </c>
      <c r="X13" s="84">
        <f t="shared" si="11"/>
        <v>246201433440</v>
      </c>
      <c r="Y13" s="70">
        <f t="shared" si="2"/>
        <v>10263474907</v>
      </c>
    </row>
    <row r="14" spans="2:26" ht="16" hidden="1" x14ac:dyDescent="0.2">
      <c r="B14" s="121" t="s">
        <v>243</v>
      </c>
      <c r="C14" s="81"/>
      <c r="D14" s="81" t="s">
        <v>244</v>
      </c>
      <c r="E14" s="81"/>
      <c r="F14" s="124"/>
      <c r="G14" s="81" t="str">
        <f t="shared" si="0"/>
        <v>lending__all__</v>
      </c>
      <c r="H14" s="125"/>
      <c r="I14" s="84" t="s">
        <v>254</v>
      </c>
      <c r="J14" s="128"/>
      <c r="K14" s="84">
        <f t="shared" ref="K14:X14" si="12">SUMIFS(K$48:K$3038,$I$48:$I$3038,"Overdue balance (10d+)")</f>
        <v>425943553591</v>
      </c>
      <c r="L14" s="84">
        <f t="shared" si="12"/>
        <v>470976426376</v>
      </c>
      <c r="M14" s="84">
        <f t="shared" si="12"/>
        <v>495636150490</v>
      </c>
      <c r="N14" s="84">
        <f t="shared" si="12"/>
        <v>446334022206</v>
      </c>
      <c r="O14" s="84">
        <f t="shared" si="12"/>
        <v>482513889165</v>
      </c>
      <c r="P14" s="84">
        <f t="shared" si="12"/>
        <v>467190144812</v>
      </c>
      <c r="Q14" s="84">
        <f t="shared" si="12"/>
        <v>488876105575</v>
      </c>
      <c r="R14" s="84">
        <f t="shared" si="12"/>
        <v>535617603799</v>
      </c>
      <c r="S14" s="84">
        <f t="shared" si="12"/>
        <v>575022333189</v>
      </c>
      <c r="T14" s="84">
        <f t="shared" si="12"/>
        <v>612353661156</v>
      </c>
      <c r="U14" s="84">
        <f t="shared" si="12"/>
        <v>736214783991</v>
      </c>
      <c r="V14" s="84">
        <f t="shared" si="12"/>
        <v>771531556627</v>
      </c>
      <c r="W14" s="84">
        <f t="shared" si="12"/>
        <v>882816124425</v>
      </c>
      <c r="X14" s="84">
        <f t="shared" si="12"/>
        <v>0</v>
      </c>
      <c r="Y14" s="70">
        <f t="shared" si="2"/>
        <v>-882816124425</v>
      </c>
    </row>
    <row r="15" spans="2:26" ht="16" hidden="1" x14ac:dyDescent="0.2">
      <c r="B15" s="121" t="s">
        <v>243</v>
      </c>
      <c r="C15" s="81"/>
      <c r="D15" s="81" t="s">
        <v>244</v>
      </c>
      <c r="E15" s="81"/>
      <c r="F15" s="124"/>
      <c r="G15" s="81" t="str">
        <f t="shared" si="0"/>
        <v>lending__all__</v>
      </c>
      <c r="H15" s="125"/>
      <c r="I15" s="84" t="s">
        <v>255</v>
      </c>
      <c r="J15" s="125"/>
      <c r="K15" s="84">
        <f t="shared" ref="K15:X15" si="13">SUMIFS(K$48:K$3038,$I$48:$I$3038,"Overdue balance (90+)")</f>
        <v>229333356425</v>
      </c>
      <c r="L15" s="84">
        <f t="shared" si="13"/>
        <v>246335530146</v>
      </c>
      <c r="M15" s="84">
        <f t="shared" si="13"/>
        <v>273128559163</v>
      </c>
      <c r="N15" s="84">
        <f t="shared" si="13"/>
        <v>216556182793</v>
      </c>
      <c r="O15" s="84">
        <f t="shared" si="13"/>
        <v>241525121033</v>
      </c>
      <c r="P15" s="84">
        <f t="shared" si="13"/>
        <v>239203735205</v>
      </c>
      <c r="Q15" s="84">
        <f t="shared" si="13"/>
        <v>257266404757</v>
      </c>
      <c r="R15" s="84">
        <f t="shared" si="13"/>
        <v>264987269863</v>
      </c>
      <c r="S15" s="84">
        <f t="shared" si="13"/>
        <v>264525009447</v>
      </c>
      <c r="T15" s="84">
        <f t="shared" si="13"/>
        <v>263125382149</v>
      </c>
      <c r="U15" s="84">
        <f t="shared" si="13"/>
        <v>288767284768</v>
      </c>
      <c r="V15" s="84">
        <f t="shared" si="13"/>
        <v>264094061116</v>
      </c>
      <c r="W15" s="84">
        <f t="shared" si="13"/>
        <v>288216101887</v>
      </c>
      <c r="X15" s="84">
        <f t="shared" si="13"/>
        <v>0</v>
      </c>
      <c r="Y15" s="70">
        <f t="shared" si="2"/>
        <v>-288216101887</v>
      </c>
    </row>
    <row r="16" spans="2:26" ht="16" hidden="1" x14ac:dyDescent="0.2">
      <c r="B16" s="121" t="s">
        <v>243</v>
      </c>
      <c r="C16" s="81"/>
      <c r="D16" s="81" t="s">
        <v>244</v>
      </c>
      <c r="E16" s="81"/>
      <c r="F16" s="124"/>
      <c r="G16" s="81" t="str">
        <f t="shared" si="0"/>
        <v>lending__all__</v>
      </c>
      <c r="H16" s="125"/>
      <c r="I16" s="84" t="s">
        <v>256</v>
      </c>
      <c r="J16" s="128"/>
      <c r="K16" s="84">
        <f t="shared" ref="K16:X16" si="14">SUMIFS(K$48:K$3038,$I$48:$I$3038,"Overdue balance (11-90d)")</f>
        <v>196610197166</v>
      </c>
      <c r="L16" s="84">
        <f t="shared" si="14"/>
        <v>224392444824</v>
      </c>
      <c r="M16" s="84">
        <f t="shared" si="14"/>
        <v>222507591327</v>
      </c>
      <c r="N16" s="84">
        <f t="shared" si="14"/>
        <v>229777839413</v>
      </c>
      <c r="O16" s="84">
        <f t="shared" si="14"/>
        <v>240988768132</v>
      </c>
      <c r="P16" s="84">
        <f t="shared" si="14"/>
        <v>227986409607</v>
      </c>
      <c r="Q16" s="84">
        <f t="shared" si="14"/>
        <v>231609700818</v>
      </c>
      <c r="R16" s="84">
        <f t="shared" si="14"/>
        <v>270630333936</v>
      </c>
      <c r="S16" s="84">
        <f t="shared" si="14"/>
        <v>310497323742</v>
      </c>
      <c r="T16" s="84">
        <f t="shared" si="14"/>
        <v>349228279007</v>
      </c>
      <c r="U16" s="84">
        <f t="shared" si="14"/>
        <v>447438859223</v>
      </c>
      <c r="V16" s="84">
        <f t="shared" si="14"/>
        <v>507219433659</v>
      </c>
      <c r="W16" s="84">
        <f t="shared" si="14"/>
        <v>593736182398</v>
      </c>
      <c r="X16" s="84">
        <f t="shared" si="14"/>
        <v>0</v>
      </c>
      <c r="Y16" s="70">
        <f t="shared" si="2"/>
        <v>-593736182398</v>
      </c>
    </row>
    <row r="17" spans="2:34" ht="16" hidden="1" x14ac:dyDescent="0.2">
      <c r="B17" s="121" t="s">
        <v>243</v>
      </c>
      <c r="C17" s="81"/>
      <c r="D17" s="81" t="s">
        <v>244</v>
      </c>
      <c r="E17" s="81"/>
      <c r="F17" s="124"/>
      <c r="G17" s="81" t="str">
        <f t="shared" si="0"/>
        <v>lending__all__</v>
      </c>
      <c r="H17" s="125"/>
      <c r="I17" s="84" t="s">
        <v>257</v>
      </c>
      <c r="J17" s="125"/>
      <c r="K17" s="129">
        <f t="shared" ref="K17:X17" si="15">K13/K10</f>
        <v>0.10187112631252217</v>
      </c>
      <c r="L17" s="129">
        <f t="shared" si="15"/>
        <v>9.9103999089101419E-2</v>
      </c>
      <c r="M17" s="129">
        <f t="shared" si="15"/>
        <v>0.10677820020712939</v>
      </c>
      <c r="N17" s="129">
        <f t="shared" si="15"/>
        <v>8.358408039550555E-2</v>
      </c>
      <c r="O17" s="129">
        <f t="shared" si="15"/>
        <v>8.3078629098323642E-2</v>
      </c>
      <c r="P17" s="129">
        <f t="shared" si="15"/>
        <v>7.9591521563467368E-2</v>
      </c>
      <c r="Q17" s="129">
        <f t="shared" si="15"/>
        <v>7.9692444932338791E-2</v>
      </c>
      <c r="R17" s="129">
        <f t="shared" si="15"/>
        <v>6.8942950186371046E-2</v>
      </c>
      <c r="S17" s="129">
        <f t="shared" si="15"/>
        <v>6.2896895584993048E-2</v>
      </c>
      <c r="T17" s="129">
        <f t="shared" si="15"/>
        <v>5.5648866699069766E-2</v>
      </c>
      <c r="U17" s="129">
        <f>U13/U10</f>
        <v>4.7074167522693895E-2</v>
      </c>
      <c r="V17" s="129">
        <f t="shared" si="15"/>
        <v>4.1966840382779605E-2</v>
      </c>
      <c r="W17" s="129">
        <f t="shared" si="15"/>
        <v>3.9392846319949652E-2</v>
      </c>
      <c r="X17" s="129">
        <f t="shared" si="15"/>
        <v>3.7207078207398908E-2</v>
      </c>
      <c r="Y17" s="70">
        <f t="shared" si="2"/>
        <v>-2.1857681125507442E-3</v>
      </c>
    </row>
    <row r="18" spans="2:34" ht="16" hidden="1" x14ac:dyDescent="0.2">
      <c r="B18" s="121" t="s">
        <v>243</v>
      </c>
      <c r="C18" s="81"/>
      <c r="D18" s="81" t="s">
        <v>244</v>
      </c>
      <c r="E18" s="81"/>
      <c r="F18" s="80" t="s">
        <v>258</v>
      </c>
      <c r="G18" s="81" t="str">
        <f t="shared" si="0"/>
        <v>lending__all__npl</v>
      </c>
      <c r="H18" s="125"/>
      <c r="I18" s="84" t="s">
        <v>259</v>
      </c>
      <c r="J18" s="125"/>
      <c r="K18" s="129">
        <f t="shared" ref="K18:X18" si="16">K15/K10</f>
        <v>0.11173701872154211</v>
      </c>
      <c r="L18" s="129">
        <f t="shared" si="16"/>
        <v>0.11153008911956831</v>
      </c>
      <c r="M18" s="129">
        <f t="shared" si="16"/>
        <v>0.11605379634103051</v>
      </c>
      <c r="N18" s="129">
        <f t="shared" si="16"/>
        <v>9.5426587235922525E-2</v>
      </c>
      <c r="O18" s="129">
        <f t="shared" si="16"/>
        <v>0.10139958558267832</v>
      </c>
      <c r="P18" s="129">
        <f t="shared" si="16"/>
        <v>9.2477104250582989E-2</v>
      </c>
      <c r="Q18" s="129">
        <f t="shared" si="16"/>
        <v>9.1568080733220675E-2</v>
      </c>
      <c r="R18" s="129">
        <f t="shared" si="16"/>
        <v>8.6963925010121054E-2</v>
      </c>
      <c r="S18" s="129">
        <f t="shared" si="16"/>
        <v>7.3857245779097164E-2</v>
      </c>
      <c r="T18" s="129">
        <f t="shared" si="16"/>
        <v>6.6068094064901203E-2</v>
      </c>
      <c r="U18" s="129">
        <f>U15/U10</f>
        <v>6.145758015712361E-2</v>
      </c>
      <c r="V18" s="129">
        <f t="shared" si="16"/>
        <v>4.9445579535215022E-2</v>
      </c>
      <c r="W18" s="129">
        <f t="shared" si="16"/>
        <v>4.8121347998276998E-2</v>
      </c>
      <c r="X18" s="129">
        <f t="shared" si="16"/>
        <v>0</v>
      </c>
      <c r="Y18" s="70">
        <f t="shared" si="2"/>
        <v>-4.8121347998276998E-2</v>
      </c>
    </row>
    <row r="19" spans="2:34" hidden="1" x14ac:dyDescent="0.2">
      <c r="B19" s="121" t="s">
        <v>243</v>
      </c>
      <c r="C19" s="81"/>
      <c r="D19" s="81" t="s">
        <v>244</v>
      </c>
      <c r="E19" s="81"/>
      <c r="F19" s="124"/>
      <c r="G19" s="81" t="str">
        <f t="shared" si="0"/>
        <v>lending__all__</v>
      </c>
      <c r="H19" s="125"/>
      <c r="I19" s="130" t="s">
        <v>260</v>
      </c>
      <c r="J19" s="131">
        <f t="shared" ref="J19:X19" si="17">J20+J25+J29</f>
        <v>2104221502560.1006</v>
      </c>
      <c r="K19" s="131">
        <f t="shared" si="17"/>
        <v>79814464956</v>
      </c>
      <c r="L19" s="131">
        <f t="shared" si="17"/>
        <v>90589203057.205383</v>
      </c>
      <c r="M19" s="131">
        <f t="shared" si="17"/>
        <v>93976364502</v>
      </c>
      <c r="N19" s="131">
        <f t="shared" si="17"/>
        <v>83352868197</v>
      </c>
      <c r="O19" s="131">
        <f t="shared" si="17"/>
        <v>102719149823.10056</v>
      </c>
      <c r="P19" s="131">
        <f t="shared" si="17"/>
        <v>111585837773</v>
      </c>
      <c r="Q19" s="131">
        <f t="shared" si="17"/>
        <v>120805173410</v>
      </c>
      <c r="R19" s="131">
        <f t="shared" si="17"/>
        <v>134001760270</v>
      </c>
      <c r="S19" s="131">
        <f t="shared" si="17"/>
        <v>166643200482</v>
      </c>
      <c r="T19" s="131">
        <f t="shared" si="17"/>
        <v>188368001928</v>
      </c>
      <c r="U19" s="131">
        <f t="shared" si="17"/>
        <v>228207818774</v>
      </c>
      <c r="V19" s="131">
        <f>V20+V25+V29</f>
        <v>270089230602</v>
      </c>
      <c r="W19" s="131">
        <f>W20+W25+W29</f>
        <v>284024566303</v>
      </c>
      <c r="X19" s="131">
        <f t="shared" si="17"/>
        <v>320447530496</v>
      </c>
      <c r="Y19" s="70">
        <f t="shared" si="2"/>
        <v>36422964193</v>
      </c>
      <c r="Z19" s="70"/>
    </row>
    <row r="20" spans="2:34" hidden="1" x14ac:dyDescent="0.2">
      <c r="B20" s="121" t="s">
        <v>243</v>
      </c>
      <c r="C20" s="81"/>
      <c r="D20" s="81" t="s">
        <v>244</v>
      </c>
      <c r="E20" s="81"/>
      <c r="F20" s="124"/>
      <c r="G20" s="81" t="str">
        <f t="shared" si="0"/>
        <v>lending__all__</v>
      </c>
      <c r="H20" s="125"/>
      <c r="I20" s="132" t="s">
        <v>261</v>
      </c>
      <c r="J20" s="131">
        <f t="shared" ref="J20:X20" si="18">J21-J24</f>
        <v>1281411769374.1006</v>
      </c>
      <c r="K20" s="131">
        <f t="shared" si="18"/>
        <v>52213603901</v>
      </c>
      <c r="L20" s="131">
        <f t="shared" si="18"/>
        <v>58117593045</v>
      </c>
      <c r="M20" s="131">
        <f t="shared" si="18"/>
        <v>64177638510</v>
      </c>
      <c r="N20" s="131">
        <f t="shared" si="18"/>
        <v>58823369739</v>
      </c>
      <c r="O20" s="131">
        <f t="shared" si="18"/>
        <v>67391301479.100555</v>
      </c>
      <c r="P20" s="131">
        <f t="shared" si="18"/>
        <v>71053250087</v>
      </c>
      <c r="Q20" s="131">
        <f t="shared" si="18"/>
        <v>79740766095</v>
      </c>
      <c r="R20" s="131">
        <f t="shared" si="18"/>
        <v>85141834041</v>
      </c>
      <c r="S20" s="131">
        <f t="shared" si="18"/>
        <v>100074891541</v>
      </c>
      <c r="T20" s="131">
        <f t="shared" si="18"/>
        <v>116161678718</v>
      </c>
      <c r="U20" s="131">
        <f t="shared" si="18"/>
        <v>128562251327</v>
      </c>
      <c r="V20" s="131">
        <f t="shared" si="18"/>
        <v>154618573145</v>
      </c>
      <c r="W20" s="131">
        <f>W21-W24</f>
        <v>165251262258</v>
      </c>
      <c r="X20" s="131">
        <f t="shared" si="18"/>
        <v>190414952434</v>
      </c>
      <c r="Y20" s="70">
        <f t="shared" si="2"/>
        <v>25163690176</v>
      </c>
    </row>
    <row r="21" spans="2:34" ht="16" hidden="1" x14ac:dyDescent="0.2">
      <c r="B21" s="121" t="s">
        <v>243</v>
      </c>
      <c r="C21" s="81"/>
      <c r="D21" s="81" t="s">
        <v>244</v>
      </c>
      <c r="E21" s="133"/>
      <c r="F21" s="124"/>
      <c r="G21" s="81" t="str">
        <f t="shared" si="0"/>
        <v>lending__all__</v>
      </c>
      <c r="H21" s="125"/>
      <c r="I21" s="134" t="s">
        <v>262</v>
      </c>
      <c r="J21" s="125">
        <f>SUM(M21:X21)</f>
        <v>1525705629347</v>
      </c>
      <c r="K21" s="125">
        <v>62223552804</v>
      </c>
      <c r="L21" s="125">
        <f t="shared" ref="L21:V21" si="19">L22+K23-L23</f>
        <v>69272878417</v>
      </c>
      <c r="M21" s="125">
        <f t="shared" si="19"/>
        <v>76219395758</v>
      </c>
      <c r="N21" s="125">
        <f t="shared" si="19"/>
        <v>69975903294</v>
      </c>
      <c r="O21" s="125">
        <f t="shared" si="19"/>
        <v>79648572501</v>
      </c>
      <c r="P21" s="125">
        <f t="shared" si="19"/>
        <v>83805884795</v>
      </c>
      <c r="Q21" s="125">
        <f t="shared" si="19"/>
        <v>94103072191</v>
      </c>
      <c r="R21" s="125">
        <f t="shared" si="19"/>
        <v>100381074810</v>
      </c>
      <c r="S21" s="125">
        <f t="shared" si="19"/>
        <v>118193939617</v>
      </c>
      <c r="T21" s="125">
        <f t="shared" si="19"/>
        <v>137644451425</v>
      </c>
      <c r="U21" s="125">
        <f t="shared" si="19"/>
        <v>152744132366</v>
      </c>
      <c r="V21" s="125">
        <f t="shared" si="19"/>
        <v>184653118039</v>
      </c>
      <c r="W21" s="125">
        <f>W22+V23-W23</f>
        <v>198356701720</v>
      </c>
      <c r="X21" s="125">
        <f>X22+W23-X23</f>
        <v>229979382831</v>
      </c>
      <c r="Y21" s="70">
        <f t="shared" si="2"/>
        <v>31622681111</v>
      </c>
      <c r="Z21" s="70"/>
    </row>
    <row r="22" spans="2:34" hidden="1" x14ac:dyDescent="0.2">
      <c r="B22" s="121" t="s">
        <v>243</v>
      </c>
      <c r="C22" s="81"/>
      <c r="D22" s="81" t="s">
        <v>244</v>
      </c>
      <c r="E22" s="81"/>
      <c r="F22" s="124"/>
      <c r="G22" s="81" t="str">
        <f t="shared" si="0"/>
        <v>lending__all__</v>
      </c>
      <c r="H22" s="125"/>
      <c r="I22" s="135" t="s">
        <v>263</v>
      </c>
      <c r="J22" s="136">
        <f>SUM(M22:X22)</f>
        <v>1539717162560</v>
      </c>
      <c r="K22" s="137">
        <f t="shared" ref="K22:X22" si="20">SUMIFS(K$48:K$3038,$I$48:$I$3038,"Thu lãi vay")</f>
        <v>63214223471</v>
      </c>
      <c r="L22" s="137">
        <f t="shared" si="20"/>
        <v>70990475112</v>
      </c>
      <c r="M22" s="137">
        <f t="shared" si="20"/>
        <v>76707556347</v>
      </c>
      <c r="N22" s="137">
        <f t="shared" si="20"/>
        <v>69254610169</v>
      </c>
      <c r="O22" s="137">
        <f t="shared" si="20"/>
        <v>79789204964</v>
      </c>
      <c r="P22" s="137">
        <f t="shared" si="20"/>
        <v>84276037008</v>
      </c>
      <c r="Q22" s="137">
        <f t="shared" si="20"/>
        <v>94567752275</v>
      </c>
      <c r="R22" s="137">
        <f t="shared" si="20"/>
        <v>100878684667</v>
      </c>
      <c r="S22" s="137">
        <f t="shared" si="20"/>
        <v>120449665326</v>
      </c>
      <c r="T22" s="137">
        <f t="shared" si="20"/>
        <v>138765434049</v>
      </c>
      <c r="U22" s="137">
        <f t="shared" si="20"/>
        <v>154505148678</v>
      </c>
      <c r="V22" s="137">
        <f t="shared" si="20"/>
        <v>187226048479</v>
      </c>
      <c r="W22" s="137">
        <f t="shared" si="20"/>
        <v>200999807492</v>
      </c>
      <c r="X22" s="137">
        <f t="shared" si="20"/>
        <v>232297213106</v>
      </c>
      <c r="Y22" s="70">
        <f t="shared" si="2"/>
        <v>31297405614</v>
      </c>
      <c r="AA22" s="70">
        <f>W22-W23+V23</f>
        <v>198356701720</v>
      </c>
    </row>
    <row r="23" spans="2:34" hidden="1" x14ac:dyDescent="0.2">
      <c r="B23" s="121" t="s">
        <v>243</v>
      </c>
      <c r="C23" s="81"/>
      <c r="D23" s="81" t="s">
        <v>244</v>
      </c>
      <c r="E23" s="81"/>
      <c r="F23" s="124"/>
      <c r="G23" s="81" t="str">
        <f t="shared" si="0"/>
        <v>lending__all__</v>
      </c>
      <c r="H23" s="125"/>
      <c r="I23" s="135" t="s">
        <v>264</v>
      </c>
      <c r="J23" s="136"/>
      <c r="K23" s="137">
        <f t="shared" ref="K23:X23" si="21">SUMIFS(K$48:K$3038,$I$48:$I$3038,"Thoái lãi")</f>
        <v>7999287750</v>
      </c>
      <c r="L23" s="137">
        <f t="shared" si="21"/>
        <v>9716884445</v>
      </c>
      <c r="M23" s="137">
        <f t="shared" si="21"/>
        <v>10205045034</v>
      </c>
      <c r="N23" s="137">
        <f t="shared" si="21"/>
        <v>9483751909</v>
      </c>
      <c r="O23" s="137">
        <f t="shared" si="21"/>
        <v>9624384372</v>
      </c>
      <c r="P23" s="137">
        <f t="shared" si="21"/>
        <v>10094536585</v>
      </c>
      <c r="Q23" s="137">
        <f t="shared" si="21"/>
        <v>10559216669</v>
      </c>
      <c r="R23" s="137">
        <f t="shared" si="21"/>
        <v>11056826526</v>
      </c>
      <c r="S23" s="137">
        <f t="shared" si="21"/>
        <v>13312552235</v>
      </c>
      <c r="T23" s="137">
        <f t="shared" si="21"/>
        <v>14433534859</v>
      </c>
      <c r="U23" s="137">
        <f t="shared" si="21"/>
        <v>16194551171</v>
      </c>
      <c r="V23" s="137">
        <f t="shared" si="21"/>
        <v>18767481611</v>
      </c>
      <c r="W23" s="137">
        <f t="shared" si="21"/>
        <v>21410587383</v>
      </c>
      <c r="X23" s="137">
        <f t="shared" si="21"/>
        <v>23728417658</v>
      </c>
      <c r="Y23" s="70">
        <f t="shared" si="2"/>
        <v>2317830275</v>
      </c>
      <c r="Z23" s="70"/>
      <c r="AA23" s="70"/>
    </row>
    <row r="24" spans="2:34" ht="16" hidden="1" x14ac:dyDescent="0.2">
      <c r="B24" s="121" t="s">
        <v>243</v>
      </c>
      <c r="C24" s="81"/>
      <c r="D24" s="81" t="s">
        <v>244</v>
      </c>
      <c r="E24" s="133"/>
      <c r="F24" s="124"/>
      <c r="G24" s="81" t="str">
        <f t="shared" si="0"/>
        <v>lending__all__</v>
      </c>
      <c r="H24" s="125"/>
      <c r="I24" s="134" t="s">
        <v>62</v>
      </c>
      <c r="J24" s="125">
        <f>SUM(M24:X24)</f>
        <v>244293859972.89944</v>
      </c>
      <c r="K24" s="137">
        <f t="shared" ref="K24:X24" si="22">SUMIFS(K$48:K$3038,$I$48:$I$3038,"COF")</f>
        <v>10009948903</v>
      </c>
      <c r="L24" s="137">
        <f t="shared" si="22"/>
        <v>11155285372</v>
      </c>
      <c r="M24" s="137">
        <f t="shared" si="22"/>
        <v>12041757248</v>
      </c>
      <c r="N24" s="137">
        <f t="shared" si="22"/>
        <v>11152533555</v>
      </c>
      <c r="O24" s="137">
        <f t="shared" si="22"/>
        <v>12257271021.899446</v>
      </c>
      <c r="P24" s="137">
        <f t="shared" si="22"/>
        <v>12752634708</v>
      </c>
      <c r="Q24" s="137">
        <f t="shared" si="22"/>
        <v>14362306096</v>
      </c>
      <c r="R24" s="137">
        <f t="shared" si="22"/>
        <v>15239240769</v>
      </c>
      <c r="S24" s="137">
        <f t="shared" si="22"/>
        <v>18119048076</v>
      </c>
      <c r="T24" s="137">
        <f t="shared" si="22"/>
        <v>21482772707</v>
      </c>
      <c r="U24" s="137">
        <f t="shared" si="22"/>
        <v>24181881039</v>
      </c>
      <c r="V24" s="137">
        <f t="shared" si="22"/>
        <v>30034544894</v>
      </c>
      <c r="W24" s="137">
        <f t="shared" si="22"/>
        <v>33105439462</v>
      </c>
      <c r="X24" s="137">
        <f t="shared" si="22"/>
        <v>39564430397</v>
      </c>
      <c r="Y24" s="70">
        <f t="shared" si="2"/>
        <v>6458990935</v>
      </c>
      <c r="AA24" s="52">
        <v>1562245635</v>
      </c>
    </row>
    <row r="25" spans="2:34" hidden="1" x14ac:dyDescent="0.2">
      <c r="B25" s="121" t="s">
        <v>243</v>
      </c>
      <c r="C25" s="81"/>
      <c r="D25" s="81" t="s">
        <v>244</v>
      </c>
      <c r="E25" s="138"/>
      <c r="F25" s="124"/>
      <c r="G25" s="81" t="str">
        <f t="shared" si="0"/>
        <v>lending__all__</v>
      </c>
      <c r="H25" s="125"/>
      <c r="I25" s="132" t="s">
        <v>265</v>
      </c>
      <c r="J25" s="131">
        <f t="shared" ref="J25:X25" si="23">SUM(J26:J28)</f>
        <v>803908966781</v>
      </c>
      <c r="K25" s="131">
        <f t="shared" si="23"/>
        <v>27583083979</v>
      </c>
      <c r="L25" s="131">
        <f t="shared" si="23"/>
        <v>32434754283.205387</v>
      </c>
      <c r="M25" s="131">
        <f t="shared" si="23"/>
        <v>29756782715</v>
      </c>
      <c r="N25" s="131">
        <f t="shared" si="23"/>
        <v>24284197615</v>
      </c>
      <c r="O25" s="131">
        <f t="shared" si="23"/>
        <v>34259497297</v>
      </c>
      <c r="P25" s="131">
        <f t="shared" si="23"/>
        <v>39687689775</v>
      </c>
      <c r="Q25" s="131">
        <f t="shared" si="23"/>
        <v>39889216104</v>
      </c>
      <c r="R25" s="131">
        <f t="shared" si="23"/>
        <v>47479338030</v>
      </c>
      <c r="S25" s="131">
        <f t="shared" si="23"/>
        <v>64626464272</v>
      </c>
      <c r="T25" s="131">
        <f t="shared" si="23"/>
        <v>70125355248</v>
      </c>
      <c r="U25" s="131">
        <f t="shared" si="23"/>
        <v>97542640182</v>
      </c>
      <c r="V25" s="131">
        <f t="shared" si="23"/>
        <v>112945931129</v>
      </c>
      <c r="W25" s="131">
        <f>SUM(W26:W28)</f>
        <v>116400966592</v>
      </c>
      <c r="X25" s="131">
        <f t="shared" si="23"/>
        <v>126910887822</v>
      </c>
      <c r="Y25" s="70">
        <f t="shared" si="2"/>
        <v>10509921230</v>
      </c>
      <c r="AA25" s="70">
        <f>AA24+W20</f>
        <v>166813507893</v>
      </c>
    </row>
    <row r="26" spans="2:34" ht="16" hidden="1" x14ac:dyDescent="0.2">
      <c r="B26" s="121" t="s">
        <v>243</v>
      </c>
      <c r="C26" s="81"/>
      <c r="D26" s="81" t="s">
        <v>244</v>
      </c>
      <c r="E26" s="133"/>
      <c r="F26" s="124"/>
      <c r="G26" s="81" t="str">
        <f t="shared" si="0"/>
        <v>lending__all__</v>
      </c>
      <c r="H26" s="125"/>
      <c r="I26" s="134" t="s">
        <v>266</v>
      </c>
      <c r="J26" s="136">
        <f>SUM(M26:X26)</f>
        <v>656687659991</v>
      </c>
      <c r="K26" s="137">
        <f t="shared" ref="K26:X26" si="24">SUMIFS(K$48:K$3038,$I$48:$I$3038,"Insurance fee")</f>
        <v>24710450873</v>
      </c>
      <c r="L26" s="137">
        <f t="shared" si="24"/>
        <v>29076807559.205387</v>
      </c>
      <c r="M26" s="137">
        <f t="shared" si="24"/>
        <v>26590524165</v>
      </c>
      <c r="N26" s="137">
        <f t="shared" si="24"/>
        <v>21215572578</v>
      </c>
      <c r="O26" s="137">
        <f t="shared" si="24"/>
        <v>29713730593</v>
      </c>
      <c r="P26" s="137">
        <f t="shared" si="24"/>
        <v>33878604810</v>
      </c>
      <c r="Q26" s="137">
        <f t="shared" si="24"/>
        <v>34268836103</v>
      </c>
      <c r="R26" s="137">
        <f t="shared" si="24"/>
        <v>38448492066</v>
      </c>
      <c r="S26" s="137">
        <f t="shared" si="24"/>
        <v>53805754691</v>
      </c>
      <c r="T26" s="137">
        <f t="shared" si="24"/>
        <v>55430909434</v>
      </c>
      <c r="U26" s="137">
        <f t="shared" si="24"/>
        <v>79058722002</v>
      </c>
      <c r="V26" s="137">
        <f t="shared" si="24"/>
        <v>90314973069</v>
      </c>
      <c r="W26" s="137">
        <f t="shared" si="24"/>
        <v>92997869257</v>
      </c>
      <c r="X26" s="137">
        <f t="shared" si="24"/>
        <v>100963671223</v>
      </c>
      <c r="Y26" s="70">
        <f t="shared" si="2"/>
        <v>7965801966</v>
      </c>
      <c r="AA26" s="70"/>
    </row>
    <row r="27" spans="2:34" ht="16" hidden="1" x14ac:dyDescent="0.2">
      <c r="B27" s="121" t="s">
        <v>243</v>
      </c>
      <c r="C27" s="81"/>
      <c r="D27" s="81" t="s">
        <v>244</v>
      </c>
      <c r="E27" s="133"/>
      <c r="F27" s="124"/>
      <c r="G27" s="81" t="str">
        <f t="shared" si="0"/>
        <v>lending__all__</v>
      </c>
      <c r="H27" s="125"/>
      <c r="I27" s="134" t="s">
        <v>267</v>
      </c>
      <c r="J27" s="136">
        <f>SUM(M27:X27)</f>
        <v>143290856790</v>
      </c>
      <c r="K27" s="137">
        <f t="shared" ref="K27:X27" si="25">SUMIFS(K$48:K$3038,$I$48:$I$3038,"Early repayment fee")</f>
        <v>2422383106</v>
      </c>
      <c r="L27" s="137">
        <f t="shared" si="25"/>
        <v>2633346724</v>
      </c>
      <c r="M27" s="137">
        <f t="shared" si="25"/>
        <v>2585208550</v>
      </c>
      <c r="N27" s="137">
        <f t="shared" si="25"/>
        <v>2640825037</v>
      </c>
      <c r="O27" s="137">
        <f t="shared" si="25"/>
        <v>4033416704</v>
      </c>
      <c r="P27" s="137">
        <f t="shared" si="25"/>
        <v>5294534965</v>
      </c>
      <c r="Q27" s="137">
        <f t="shared" si="25"/>
        <v>5102530001</v>
      </c>
      <c r="R27" s="137">
        <f t="shared" si="25"/>
        <v>8503845964</v>
      </c>
      <c r="S27" s="137">
        <f t="shared" si="25"/>
        <v>10395359581</v>
      </c>
      <c r="T27" s="137">
        <f t="shared" si="25"/>
        <v>14616095814</v>
      </c>
      <c r="U27" s="137">
        <f t="shared" si="25"/>
        <v>18397118180</v>
      </c>
      <c r="V27" s="137">
        <f t="shared" si="25"/>
        <v>22526658060</v>
      </c>
      <c r="W27" s="137">
        <f t="shared" si="25"/>
        <v>23317997335</v>
      </c>
      <c r="X27" s="137">
        <f t="shared" si="25"/>
        <v>25877266599</v>
      </c>
      <c r="Y27" s="70">
        <f t="shared" si="2"/>
        <v>2559269264</v>
      </c>
    </row>
    <row r="28" spans="2:34" ht="16" hidden="1" x14ac:dyDescent="0.2">
      <c r="B28" s="121" t="s">
        <v>243</v>
      </c>
      <c r="C28" s="81"/>
      <c r="D28" s="81" t="s">
        <v>244</v>
      </c>
      <c r="E28" s="133"/>
      <c r="F28" s="124"/>
      <c r="G28" s="81" t="str">
        <f t="shared" si="0"/>
        <v>lending__all__</v>
      </c>
      <c r="H28" s="125"/>
      <c r="I28" s="134" t="s">
        <v>187</v>
      </c>
      <c r="J28" s="136">
        <f>SUM(M28:X28)</f>
        <v>3930450000</v>
      </c>
      <c r="K28" s="137">
        <f t="shared" ref="K28:X28" si="26">SUMIFS(K$48:K$3038,$I$48:$I$3038,"Limit fee")</f>
        <v>450250000</v>
      </c>
      <c r="L28" s="137">
        <f t="shared" si="26"/>
        <v>724600000</v>
      </c>
      <c r="M28" s="137">
        <f t="shared" si="26"/>
        <v>581050000</v>
      </c>
      <c r="N28" s="137">
        <f t="shared" si="26"/>
        <v>427800000</v>
      </c>
      <c r="O28" s="137">
        <f t="shared" si="26"/>
        <v>512350000</v>
      </c>
      <c r="P28" s="137">
        <f t="shared" si="26"/>
        <v>514550000</v>
      </c>
      <c r="Q28" s="137">
        <f t="shared" si="26"/>
        <v>517850000</v>
      </c>
      <c r="R28" s="137">
        <f t="shared" si="26"/>
        <v>527000000</v>
      </c>
      <c r="S28" s="137">
        <f t="shared" si="26"/>
        <v>425350000</v>
      </c>
      <c r="T28" s="137">
        <f t="shared" si="26"/>
        <v>78350000</v>
      </c>
      <c r="U28" s="137">
        <f t="shared" si="26"/>
        <v>86800000</v>
      </c>
      <c r="V28" s="137">
        <f t="shared" si="26"/>
        <v>104300000</v>
      </c>
      <c r="W28" s="137">
        <f t="shared" si="26"/>
        <v>85100000</v>
      </c>
      <c r="X28" s="137">
        <f t="shared" si="26"/>
        <v>69950000</v>
      </c>
      <c r="Y28" s="70">
        <f t="shared" si="2"/>
        <v>-15150000</v>
      </c>
      <c r="AE28" s="52" t="s">
        <v>268</v>
      </c>
      <c r="AF28" s="52">
        <v>4</v>
      </c>
      <c r="AG28" s="52">
        <v>5</v>
      </c>
      <c r="AH28" s="52">
        <v>6</v>
      </c>
    </row>
    <row r="29" spans="2:34" s="54" customFormat="1" hidden="1" x14ac:dyDescent="0.2">
      <c r="B29" s="121" t="s">
        <v>243</v>
      </c>
      <c r="C29" s="81"/>
      <c r="D29" s="81" t="s">
        <v>244</v>
      </c>
      <c r="E29" s="133"/>
      <c r="F29" s="124"/>
      <c r="G29" s="81" t="str">
        <f t="shared" si="0"/>
        <v>lending__all__</v>
      </c>
      <c r="H29" s="125"/>
      <c r="I29" s="132" t="s">
        <v>269</v>
      </c>
      <c r="J29" s="139">
        <f>SUM(M29:X29)</f>
        <v>18900766405</v>
      </c>
      <c r="K29" s="139">
        <f t="shared" ref="K29:X29" si="27">SUMIFS(K$48:K$3038,$I$48:$I$3038,"Other TOI")</f>
        <v>17777076</v>
      </c>
      <c r="L29" s="139">
        <f t="shared" si="27"/>
        <v>36855729</v>
      </c>
      <c r="M29" s="139">
        <f t="shared" si="27"/>
        <v>41943277</v>
      </c>
      <c r="N29" s="139">
        <f t="shared" si="27"/>
        <v>245300843</v>
      </c>
      <c r="O29" s="139">
        <f t="shared" si="27"/>
        <v>1068351047</v>
      </c>
      <c r="P29" s="139">
        <f t="shared" si="27"/>
        <v>844897911</v>
      </c>
      <c r="Q29" s="139">
        <f t="shared" si="27"/>
        <v>1175191211</v>
      </c>
      <c r="R29" s="139">
        <f t="shared" si="27"/>
        <v>1380588199</v>
      </c>
      <c r="S29" s="139">
        <f t="shared" si="27"/>
        <v>1941844669</v>
      </c>
      <c r="T29" s="139">
        <f t="shared" si="27"/>
        <v>2080967962</v>
      </c>
      <c r="U29" s="139">
        <f t="shared" si="27"/>
        <v>2102927265</v>
      </c>
      <c r="V29" s="139">
        <f t="shared" si="27"/>
        <v>2524726328</v>
      </c>
      <c r="W29" s="139">
        <f t="shared" si="27"/>
        <v>2372337453</v>
      </c>
      <c r="X29" s="139">
        <f t="shared" si="27"/>
        <v>3121690240</v>
      </c>
      <c r="Y29" s="70">
        <f t="shared" si="2"/>
        <v>749352787</v>
      </c>
    </row>
    <row r="30" spans="2:34" ht="16" hidden="1" x14ac:dyDescent="0.2">
      <c r="B30" s="121" t="s">
        <v>243</v>
      </c>
      <c r="C30" s="81"/>
      <c r="D30" s="81" t="s">
        <v>244</v>
      </c>
      <c r="E30" s="138"/>
      <c r="F30" s="124"/>
      <c r="G30" s="81" t="str">
        <f t="shared" si="0"/>
        <v>lending__all__</v>
      </c>
      <c r="H30" s="125"/>
      <c r="I30" s="140" t="s">
        <v>270</v>
      </c>
      <c r="J30" s="131">
        <f>SUM(M30:X30)</f>
        <v>910112574484</v>
      </c>
      <c r="K30" s="131">
        <f t="shared" ref="K30:X30" si="28">SUMIFS(K$48:K$3038,$I$48:$I$3038,"Provision expenses")</f>
        <v>21518247295</v>
      </c>
      <c r="L30" s="131">
        <f t="shared" si="28"/>
        <v>31138146416</v>
      </c>
      <c r="M30" s="131">
        <f t="shared" si="28"/>
        <v>73619871731</v>
      </c>
      <c r="N30" s="131">
        <f t="shared" si="28"/>
        <v>45681275021</v>
      </c>
      <c r="O30" s="131">
        <f t="shared" si="28"/>
        <v>55722136445</v>
      </c>
      <c r="P30" s="131">
        <f t="shared" si="28"/>
        <v>39812626019</v>
      </c>
      <c r="Q30" s="131">
        <f t="shared" si="28"/>
        <v>62627976854</v>
      </c>
      <c r="R30" s="131">
        <f t="shared" si="28"/>
        <v>62111404665</v>
      </c>
      <c r="S30" s="131">
        <f t="shared" si="28"/>
        <v>54290269578</v>
      </c>
      <c r="T30" s="131">
        <f t="shared" si="28"/>
        <v>74096166881</v>
      </c>
      <c r="U30" s="131">
        <f t="shared" si="28"/>
        <v>96789279416</v>
      </c>
      <c r="V30" s="131">
        <f t="shared" si="28"/>
        <v>89997365466</v>
      </c>
      <c r="W30" s="131">
        <f t="shared" si="28"/>
        <v>116243866061</v>
      </c>
      <c r="X30" s="131">
        <f t="shared" si="28"/>
        <v>139120336347</v>
      </c>
      <c r="Y30" s="70">
        <f t="shared" si="2"/>
        <v>22876470286</v>
      </c>
      <c r="AE30" s="141">
        <f>O33/(O19-PNL!$R30)</f>
        <v>0.34888206249427423</v>
      </c>
      <c r="AF30" s="141">
        <f>P33/(P19-PNL!$R30)</f>
        <v>0.45399466777049424</v>
      </c>
      <c r="AG30" s="141">
        <f>Q33/(Q19-PNL!$R30)</f>
        <v>0.30569864772107502</v>
      </c>
      <c r="AH30" s="141">
        <f>R33/(R19-PNL!$R30)</f>
        <v>0.33858352914180162</v>
      </c>
    </row>
    <row r="31" spans="2:34" hidden="1" x14ac:dyDescent="0.2">
      <c r="B31" s="121" t="s">
        <v>243</v>
      </c>
      <c r="C31" s="81"/>
      <c r="D31" s="81" t="s">
        <v>244</v>
      </c>
      <c r="E31" s="81"/>
      <c r="F31" s="124"/>
      <c r="G31" s="81" t="str">
        <f t="shared" si="0"/>
        <v>lending__all__</v>
      </c>
      <c r="H31" s="125"/>
      <c r="I31" s="140" t="s">
        <v>271</v>
      </c>
      <c r="J31" s="131">
        <f t="shared" ref="J31:X31" si="29">SUM(J32:J39)</f>
        <v>475482793259.83514</v>
      </c>
      <c r="K31" s="131">
        <f t="shared" si="29"/>
        <v>20090911087.633446</v>
      </c>
      <c r="L31" s="131">
        <f t="shared" si="29"/>
        <v>20567000625.683231</v>
      </c>
      <c r="M31" s="131">
        <f t="shared" si="29"/>
        <v>19830157836.17775</v>
      </c>
      <c r="N31" s="131">
        <f t="shared" si="29"/>
        <v>19592649189.571465</v>
      </c>
      <c r="O31" s="131">
        <f t="shared" si="29"/>
        <v>20036374262.062614</v>
      </c>
      <c r="P31" s="131">
        <f t="shared" si="29"/>
        <v>29249124148.625126</v>
      </c>
      <c r="Q31" s="131">
        <f t="shared" si="29"/>
        <v>24248720567.516411</v>
      </c>
      <c r="R31" s="131">
        <f t="shared" si="29"/>
        <v>31218335728.584656</v>
      </c>
      <c r="S31" s="131">
        <f t="shared" si="29"/>
        <v>47806214356.441513</v>
      </c>
      <c r="T31" s="131">
        <f t="shared" si="29"/>
        <v>39489225492.02523</v>
      </c>
      <c r="U31" s="131">
        <f t="shared" si="29"/>
        <v>52201901557.296638</v>
      </c>
      <c r="V31" s="131">
        <f t="shared" si="29"/>
        <v>60604093279.752159</v>
      </c>
      <c r="W31" s="131">
        <f>SUM(W32:W39)</f>
        <v>63491153974.771477</v>
      </c>
      <c r="X31" s="131">
        <f t="shared" si="29"/>
        <v>67714842867.010139</v>
      </c>
      <c r="Y31" s="70">
        <f t="shared" si="2"/>
        <v>4223688892.2386627</v>
      </c>
    </row>
    <row r="32" spans="2:34" ht="16" hidden="1" x14ac:dyDescent="0.2">
      <c r="B32" s="121" t="s">
        <v>243</v>
      </c>
      <c r="C32" s="81"/>
      <c r="D32" s="81" t="s">
        <v>244</v>
      </c>
      <c r="E32" s="81"/>
      <c r="F32" s="124"/>
      <c r="G32" s="81" t="str">
        <f t="shared" si="0"/>
        <v>lending__all__</v>
      </c>
      <c r="H32" s="125"/>
      <c r="I32" s="142" t="s">
        <v>272</v>
      </c>
      <c r="J32" s="125">
        <f t="shared" ref="J32:J37" si="30">SUM(M32:X32)</f>
        <v>33561348302</v>
      </c>
      <c r="K32" s="125">
        <f t="shared" ref="K32:X32" si="31">SUMIFS(K$48:K$3038,$I$48:$I$3038,"Marketing acquisition cost")</f>
        <v>1057341055</v>
      </c>
      <c r="L32" s="125">
        <f t="shared" si="31"/>
        <v>1358095141</v>
      </c>
      <c r="M32" s="125">
        <f t="shared" si="31"/>
        <v>1181479170</v>
      </c>
      <c r="N32" s="125">
        <f t="shared" si="31"/>
        <v>885757119</v>
      </c>
      <c r="O32" s="125">
        <f t="shared" si="31"/>
        <v>1503077794</v>
      </c>
      <c r="P32" s="125">
        <f t="shared" si="31"/>
        <v>2078254342</v>
      </c>
      <c r="Q32" s="125">
        <f t="shared" si="31"/>
        <v>1414197238</v>
      </c>
      <c r="R32" s="125">
        <f t="shared" si="31"/>
        <v>2978507515</v>
      </c>
      <c r="S32" s="125">
        <f t="shared" si="31"/>
        <v>5244446655</v>
      </c>
      <c r="T32" s="125">
        <f t="shared" si="31"/>
        <v>3848634384</v>
      </c>
      <c r="U32" s="125">
        <f t="shared" si="31"/>
        <v>2654723478</v>
      </c>
      <c r="V32" s="125">
        <f t="shared" si="31"/>
        <v>3615381819</v>
      </c>
      <c r="W32" s="125">
        <f t="shared" si="31"/>
        <v>3698416181</v>
      </c>
      <c r="X32" s="125">
        <f t="shared" si="31"/>
        <v>4458472607</v>
      </c>
      <c r="Y32" s="70">
        <f t="shared" si="2"/>
        <v>760056426</v>
      </c>
      <c r="AF32" s="52">
        <f>SUM(P33:R33)/(SUM(P19:R19)-SUM(P30:R30))</f>
        <v>0.32077080770594746</v>
      </c>
    </row>
    <row r="33" spans="1:31" ht="16" hidden="1" x14ac:dyDescent="0.2">
      <c r="B33" s="121" t="s">
        <v>243</v>
      </c>
      <c r="C33" s="81"/>
      <c r="D33" s="81" t="s">
        <v>244</v>
      </c>
      <c r="E33" s="138"/>
      <c r="F33" s="124"/>
      <c r="G33" s="81" t="str">
        <f t="shared" si="0"/>
        <v>lending__all__</v>
      </c>
      <c r="H33" s="125"/>
      <c r="I33" s="142" t="s">
        <v>202</v>
      </c>
      <c r="J33" s="125">
        <f t="shared" si="30"/>
        <v>365824861719</v>
      </c>
      <c r="K33" s="125">
        <f t="shared" ref="K33:X33" si="32">SUMIFS(K$48:K$3038,$I$48:$I$3038,"Partner acquisition cost")</f>
        <v>15057180956</v>
      </c>
      <c r="L33" s="125">
        <f t="shared" si="32"/>
        <v>14005998385</v>
      </c>
      <c r="M33" s="125">
        <f t="shared" si="32"/>
        <v>13808398735</v>
      </c>
      <c r="N33" s="125">
        <f t="shared" si="32"/>
        <v>13830372027</v>
      </c>
      <c r="O33" s="125">
        <f t="shared" si="32"/>
        <v>14167313884</v>
      </c>
      <c r="P33" s="125">
        <f t="shared" si="32"/>
        <v>22461128822</v>
      </c>
      <c r="Q33" s="125">
        <f t="shared" si="32"/>
        <v>17942605735</v>
      </c>
      <c r="R33" s="125">
        <f t="shared" si="32"/>
        <v>24340890312</v>
      </c>
      <c r="S33" s="125">
        <f t="shared" si="32"/>
        <v>37047193619</v>
      </c>
      <c r="T33" s="125">
        <f t="shared" si="32"/>
        <v>28553318988</v>
      </c>
      <c r="U33" s="125">
        <f t="shared" si="32"/>
        <v>41258229210</v>
      </c>
      <c r="V33" s="125">
        <f t="shared" si="32"/>
        <v>48326493514</v>
      </c>
      <c r="W33" s="125">
        <f t="shared" si="32"/>
        <v>50678860993</v>
      </c>
      <c r="X33" s="125">
        <f t="shared" si="32"/>
        <v>53410055880</v>
      </c>
      <c r="Y33" s="70">
        <f t="shared" si="2"/>
        <v>2731194887</v>
      </c>
    </row>
    <row r="34" spans="1:31" ht="16" hidden="1" x14ac:dyDescent="0.2">
      <c r="B34" s="121" t="s">
        <v>243</v>
      </c>
      <c r="C34" s="81"/>
      <c r="D34" s="81" t="s">
        <v>244</v>
      </c>
      <c r="E34" s="133"/>
      <c r="F34" s="124"/>
      <c r="G34" s="81" t="str">
        <f t="shared" si="0"/>
        <v>lending__all__</v>
      </c>
      <c r="H34" s="125"/>
      <c r="I34" s="142" t="s">
        <v>273</v>
      </c>
      <c r="J34" s="125">
        <f t="shared" si="30"/>
        <v>48625010811</v>
      </c>
      <c r="K34" s="125">
        <f t="shared" ref="K34:X34" si="33">SUMIFS(K$48:K$3038,$I$48:$I$3038,"Underwritting")</f>
        <v>2351855110.9999957</v>
      </c>
      <c r="L34" s="125">
        <f t="shared" si="33"/>
        <v>3005122609.7522507</v>
      </c>
      <c r="M34" s="125">
        <f t="shared" si="33"/>
        <v>2481935995</v>
      </c>
      <c r="N34" s="125">
        <f t="shared" si="33"/>
        <v>1864713205</v>
      </c>
      <c r="O34" s="125">
        <f t="shared" si="33"/>
        <v>2200530610</v>
      </c>
      <c r="P34" s="125">
        <f t="shared" si="33"/>
        <v>2327024294</v>
      </c>
      <c r="Q34" s="125">
        <f t="shared" si="33"/>
        <v>2381411929</v>
      </c>
      <c r="R34" s="125">
        <f t="shared" si="33"/>
        <v>2743575485.0000005</v>
      </c>
      <c r="S34" s="125">
        <f t="shared" si="33"/>
        <v>3770873858</v>
      </c>
      <c r="T34" s="125">
        <f t="shared" si="33"/>
        <v>5287839554</v>
      </c>
      <c r="U34" s="125">
        <f t="shared" si="33"/>
        <v>6071656551.0000019</v>
      </c>
      <c r="V34" s="125">
        <f t="shared" si="33"/>
        <v>6388033229.999999</v>
      </c>
      <c r="W34" s="125">
        <f t="shared" si="33"/>
        <v>6171890160.000001</v>
      </c>
      <c r="X34" s="125">
        <f t="shared" si="33"/>
        <v>6935525939.9999981</v>
      </c>
      <c r="Y34" s="70">
        <f t="shared" si="2"/>
        <v>763635779.99999714</v>
      </c>
      <c r="AE34" s="52">
        <f>SUM(M33:Q33)/(SUM(M19:Q19)-SUM(M30:Q30))</f>
        <v>0.34986548185552047</v>
      </c>
    </row>
    <row r="35" spans="1:31" ht="16" hidden="1" x14ac:dyDescent="0.2">
      <c r="B35" s="121" t="s">
        <v>243</v>
      </c>
      <c r="C35" s="81"/>
      <c r="D35" s="81" t="s">
        <v>244</v>
      </c>
      <c r="E35" s="81"/>
      <c r="F35" s="124"/>
      <c r="G35" s="81" t="str">
        <f t="shared" si="0"/>
        <v>lending__all__</v>
      </c>
      <c r="H35" s="125"/>
      <c r="I35" s="142" t="s">
        <v>274</v>
      </c>
      <c r="J35" s="125">
        <f t="shared" si="30"/>
        <v>1519628255</v>
      </c>
      <c r="K35" s="125">
        <f t="shared" ref="K35:X35" si="34">SUMIFS(K$48:K$3038,$I$48:$I$3038,"E Contract")</f>
        <v>53857518</v>
      </c>
      <c r="L35" s="125">
        <f t="shared" si="34"/>
        <v>65273472</v>
      </c>
      <c r="M35" s="125">
        <f t="shared" si="34"/>
        <v>56495896</v>
      </c>
      <c r="N35" s="125">
        <f t="shared" si="34"/>
        <v>49048615</v>
      </c>
      <c r="O35" s="125">
        <f t="shared" si="34"/>
        <v>67832022</v>
      </c>
      <c r="P35" s="125">
        <f t="shared" si="34"/>
        <v>175886615</v>
      </c>
      <c r="Q35" s="125">
        <f t="shared" si="34"/>
        <v>68122992</v>
      </c>
      <c r="R35" s="125">
        <f t="shared" si="34"/>
        <v>72317391</v>
      </c>
      <c r="S35" s="125">
        <f t="shared" si="34"/>
        <v>106352277</v>
      </c>
      <c r="T35" s="125">
        <f t="shared" si="34"/>
        <v>171978006</v>
      </c>
      <c r="U35" s="125">
        <f t="shared" si="34"/>
        <v>162200423</v>
      </c>
      <c r="V35" s="125">
        <f t="shared" si="34"/>
        <v>185961492</v>
      </c>
      <c r="W35" s="125">
        <f t="shared" si="34"/>
        <v>189608291</v>
      </c>
      <c r="X35" s="125">
        <f t="shared" si="34"/>
        <v>213824235</v>
      </c>
      <c r="Y35" s="70">
        <f t="shared" si="2"/>
        <v>24215944</v>
      </c>
      <c r="AE35" s="52">
        <f>SUM(O33:Q33)/(SUM(O19:Q19)-SUM(O30:Q30))</f>
        <v>0.30840261994430523</v>
      </c>
    </row>
    <row r="36" spans="1:31" ht="16" hidden="1" x14ac:dyDescent="0.2">
      <c r="B36" s="121" t="s">
        <v>243</v>
      </c>
      <c r="C36" s="81"/>
      <c r="D36" s="81" t="s">
        <v>244</v>
      </c>
      <c r="E36" s="81"/>
      <c r="F36" s="124"/>
      <c r="G36" s="81" t="str">
        <f t="shared" si="0"/>
        <v>lending__all__</v>
      </c>
      <c r="H36" s="125"/>
      <c r="I36" s="142" t="s">
        <v>275</v>
      </c>
      <c r="J36" s="125">
        <f t="shared" si="30"/>
        <v>1879043237.5</v>
      </c>
      <c r="K36" s="125">
        <f t="shared" ref="K36:X36" si="35">SUMIFS(K$48:K$3038,$I$48:$I$3038,"NFC")</f>
        <v>0</v>
      </c>
      <c r="L36" s="125">
        <f t="shared" si="35"/>
        <v>0</v>
      </c>
      <c r="M36" s="125">
        <f t="shared" si="35"/>
        <v>169563600</v>
      </c>
      <c r="N36" s="125">
        <f t="shared" si="35"/>
        <v>106067025</v>
      </c>
      <c r="O36" s="125">
        <f t="shared" si="35"/>
        <v>157495274.99999997</v>
      </c>
      <c r="P36" s="125">
        <f t="shared" si="35"/>
        <v>130956075</v>
      </c>
      <c r="Q36" s="125">
        <f t="shared" si="35"/>
        <v>131174100.00000001</v>
      </c>
      <c r="R36" s="125">
        <f t="shared" si="35"/>
        <v>142207875</v>
      </c>
      <c r="S36" s="125">
        <f t="shared" si="35"/>
        <v>161016450</v>
      </c>
      <c r="T36" s="125">
        <f t="shared" si="35"/>
        <v>154578775</v>
      </c>
      <c r="U36" s="125">
        <f t="shared" si="35"/>
        <v>152530574.99999997</v>
      </c>
      <c r="V36" s="125">
        <f t="shared" si="35"/>
        <v>175051275</v>
      </c>
      <c r="W36" s="125">
        <f t="shared" si="35"/>
        <v>174851775</v>
      </c>
      <c r="X36" s="125">
        <f t="shared" si="35"/>
        <v>223550437.50000003</v>
      </c>
      <c r="Y36" s="70">
        <f t="shared" si="2"/>
        <v>48698662.50000003</v>
      </c>
    </row>
    <row r="37" spans="1:31" ht="16" hidden="1" x14ac:dyDescent="0.2">
      <c r="B37" s="121" t="s">
        <v>243</v>
      </c>
      <c r="C37" s="81"/>
      <c r="D37" s="81" t="s">
        <v>244</v>
      </c>
      <c r="E37" s="133"/>
      <c r="F37" s="124"/>
      <c r="G37" s="81" t="str">
        <f t="shared" si="0"/>
        <v>lending__all__</v>
      </c>
      <c r="H37" s="125"/>
      <c r="I37" s="142" t="s">
        <v>196</v>
      </c>
      <c r="J37" s="125">
        <f t="shared" si="30"/>
        <v>21745284570.897236</v>
      </c>
      <c r="K37" s="125">
        <f t="shared" ref="K37:X37" si="36">SUMIFS(K$48:K$3038,$I$48:$I$3038,"Collection")</f>
        <v>1519395954.4466536</v>
      </c>
      <c r="L37" s="125">
        <f t="shared" si="36"/>
        <v>2011608282.6213398</v>
      </c>
      <c r="M37" s="125">
        <f t="shared" si="36"/>
        <v>1969724896.7522254</v>
      </c>
      <c r="N37" s="125">
        <f t="shared" si="36"/>
        <v>2764257139.481719</v>
      </c>
      <c r="O37" s="125">
        <f t="shared" si="36"/>
        <v>1817438828.3436799</v>
      </c>
      <c r="P37" s="125">
        <f t="shared" si="36"/>
        <v>1887866321.1861274</v>
      </c>
      <c r="Q37" s="125">
        <f t="shared" si="36"/>
        <v>2155209221.9244728</v>
      </c>
      <c r="R37" s="125">
        <f t="shared" si="36"/>
        <v>798981001.7113533</v>
      </c>
      <c r="S37" s="125">
        <f t="shared" si="36"/>
        <v>1274599610</v>
      </c>
      <c r="T37" s="125">
        <f t="shared" si="36"/>
        <v>1342260856.7022572</v>
      </c>
      <c r="U37" s="125">
        <f t="shared" si="36"/>
        <v>1660735858.1114016</v>
      </c>
      <c r="V37" s="125">
        <f t="shared" si="36"/>
        <v>1619002570.8100004</v>
      </c>
      <c r="W37" s="125">
        <f t="shared" si="36"/>
        <v>2283565471.4339995</v>
      </c>
      <c r="X37" s="125">
        <f t="shared" si="36"/>
        <v>2171642794.4399996</v>
      </c>
      <c r="Y37" s="70">
        <f t="shared" si="2"/>
        <v>-111922676.99399996</v>
      </c>
    </row>
    <row r="38" spans="1:31" ht="16" hidden="1" x14ac:dyDescent="0.2">
      <c r="B38" s="121" t="s">
        <v>243</v>
      </c>
      <c r="C38" s="81"/>
      <c r="D38" s="81" t="s">
        <v>244</v>
      </c>
      <c r="E38" s="81"/>
      <c r="F38" s="124"/>
      <c r="G38" s="81" t="str">
        <f t="shared" si="0"/>
        <v>lending__all__</v>
      </c>
      <c r="H38" s="125"/>
      <c r="I38" s="142" t="s">
        <v>276</v>
      </c>
      <c r="J38" s="125"/>
      <c r="K38" s="125">
        <f t="shared" ref="K38:X38" si="37">SUMIFS(K$48:K$3038,$I$48:$I$3038,"Promotion")</f>
        <v>0</v>
      </c>
      <c r="L38" s="125">
        <f t="shared" si="37"/>
        <v>0</v>
      </c>
      <c r="M38" s="125">
        <f t="shared" si="37"/>
        <v>0</v>
      </c>
      <c r="N38" s="125">
        <f t="shared" si="37"/>
        <v>0</v>
      </c>
      <c r="O38" s="125">
        <f t="shared" si="37"/>
        <v>0</v>
      </c>
      <c r="P38" s="125">
        <f t="shared" si="37"/>
        <v>0</v>
      </c>
      <c r="Q38" s="125">
        <f t="shared" si="37"/>
        <v>0</v>
      </c>
      <c r="R38" s="125">
        <f t="shared" si="37"/>
        <v>0</v>
      </c>
      <c r="S38" s="125">
        <f t="shared" si="37"/>
        <v>0</v>
      </c>
      <c r="T38" s="125">
        <f t="shared" si="37"/>
        <v>0</v>
      </c>
      <c r="U38" s="125">
        <f t="shared" si="37"/>
        <v>0</v>
      </c>
      <c r="V38" s="125">
        <f t="shared" si="37"/>
        <v>0</v>
      </c>
      <c r="W38" s="125">
        <f t="shared" si="37"/>
        <v>0</v>
      </c>
      <c r="X38" s="125">
        <f t="shared" si="37"/>
        <v>0</v>
      </c>
      <c r="Y38" s="70">
        <f t="shared" si="2"/>
        <v>0</v>
      </c>
    </row>
    <row r="39" spans="1:31" ht="16" hidden="1" x14ac:dyDescent="0.2">
      <c r="B39" s="121" t="s">
        <v>243</v>
      </c>
      <c r="C39" s="81"/>
      <c r="D39" s="81" t="s">
        <v>244</v>
      </c>
      <c r="E39" s="81"/>
      <c r="F39" s="124"/>
      <c r="G39" s="81" t="str">
        <f t="shared" si="0"/>
        <v>lending__all__</v>
      </c>
      <c r="H39" s="125"/>
      <c r="I39" s="142" t="s">
        <v>197</v>
      </c>
      <c r="J39" s="125">
        <f>SUM(M39:X39)</f>
        <v>2327616364.437943</v>
      </c>
      <c r="K39" s="125">
        <f t="shared" ref="K39:X39" si="38">SUMIFS(K$48:K$3038,$I$48:$I$3038,"SMS")</f>
        <v>51280493.186793834</v>
      </c>
      <c r="L39" s="125">
        <f t="shared" si="38"/>
        <v>120902735.30964354</v>
      </c>
      <c r="M39" s="125">
        <f t="shared" si="38"/>
        <v>162559543.42552543</v>
      </c>
      <c r="N39" s="125">
        <f t="shared" si="38"/>
        <v>92434059.089743882</v>
      </c>
      <c r="O39" s="125">
        <f t="shared" si="38"/>
        <v>122685848.7189346</v>
      </c>
      <c r="P39" s="125">
        <f t="shared" si="38"/>
        <v>188007679.43899825</v>
      </c>
      <c r="Q39" s="125">
        <f t="shared" si="38"/>
        <v>155999351.59193617</v>
      </c>
      <c r="R39" s="125">
        <f t="shared" si="38"/>
        <v>141856148.87330419</v>
      </c>
      <c r="S39" s="125">
        <f t="shared" si="38"/>
        <v>201731887.44151092</v>
      </c>
      <c r="T39" s="125">
        <f t="shared" si="38"/>
        <v>130614928.32297824</v>
      </c>
      <c r="U39" s="125">
        <f t="shared" si="38"/>
        <v>241825462.18523499</v>
      </c>
      <c r="V39" s="125">
        <f t="shared" si="38"/>
        <v>294169378.94216394</v>
      </c>
      <c r="W39" s="125">
        <f t="shared" si="38"/>
        <v>293961103.33747584</v>
      </c>
      <c r="X39" s="125">
        <f t="shared" si="38"/>
        <v>301770973.07013655</v>
      </c>
      <c r="Y39" s="70">
        <f t="shared" si="2"/>
        <v>7809869.7326607108</v>
      </c>
    </row>
    <row r="40" spans="1:31" hidden="1" x14ac:dyDescent="0.2">
      <c r="B40" s="121" t="s">
        <v>243</v>
      </c>
      <c r="C40" s="81"/>
      <c r="D40" s="81" t="s">
        <v>244</v>
      </c>
      <c r="E40" s="81"/>
      <c r="F40" s="80" t="s">
        <v>277</v>
      </c>
      <c r="G40" s="81" t="str">
        <f t="shared" si="0"/>
        <v>lending__all__overhead_cost</v>
      </c>
      <c r="H40" s="125"/>
      <c r="I40" s="140" t="s">
        <v>278</v>
      </c>
      <c r="J40" s="131">
        <f>J41+J42+J43+J44</f>
        <v>251197142714.29941</v>
      </c>
      <c r="K40" s="131">
        <f t="shared" ref="K40:X40" si="39">SUM(K41:K44)</f>
        <v>13411705149</v>
      </c>
      <c r="L40" s="131">
        <f t="shared" si="39"/>
        <v>34364413886.333183</v>
      </c>
      <c r="M40" s="131">
        <f t="shared" si="39"/>
        <v>16575132462.98778</v>
      </c>
      <c r="N40" s="131">
        <f t="shared" si="39"/>
        <v>16692886490.629421</v>
      </c>
      <c r="O40" s="131">
        <f t="shared" si="39"/>
        <v>15924716374.766579</v>
      </c>
      <c r="P40" s="131">
        <f t="shared" si="39"/>
        <v>18131154977.044502</v>
      </c>
      <c r="Q40" s="131">
        <f t="shared" si="39"/>
        <v>16327544337.178886</v>
      </c>
      <c r="R40" s="131">
        <f t="shared" si="39"/>
        <v>18135931693.865021</v>
      </c>
      <c r="S40" s="131">
        <f t="shared" si="39"/>
        <v>29820416738.268654</v>
      </c>
      <c r="T40" s="131">
        <f t="shared" si="39"/>
        <v>24187343854.897621</v>
      </c>
      <c r="U40" s="131">
        <f t="shared" si="39"/>
        <v>23745538637.932678</v>
      </c>
      <c r="V40" s="131">
        <f t="shared" si="39"/>
        <v>44862702637.29319</v>
      </c>
      <c r="W40" s="131">
        <f>SUM(W41:W44)</f>
        <v>21238135554.757717</v>
      </c>
      <c r="X40" s="131">
        <f t="shared" si="39"/>
        <v>5555638954.6773272</v>
      </c>
      <c r="Y40" s="70">
        <f t="shared" si="2"/>
        <v>-15682496600.080391</v>
      </c>
    </row>
    <row r="41" spans="1:31" ht="16" hidden="1" x14ac:dyDescent="0.2">
      <c r="B41" s="121" t="s">
        <v>243</v>
      </c>
      <c r="C41" s="81"/>
      <c r="D41" s="81" t="s">
        <v>244</v>
      </c>
      <c r="E41" s="81"/>
      <c r="F41" s="80" t="s">
        <v>279</v>
      </c>
      <c r="G41" s="81" t="str">
        <f t="shared" si="0"/>
        <v>lending__all__direct_HR</v>
      </c>
      <c r="H41" s="125"/>
      <c r="I41" s="142" t="s">
        <v>280</v>
      </c>
      <c r="J41" s="125">
        <f>SUM(M41:X41)</f>
        <v>52992315544.9366</v>
      </c>
      <c r="K41" s="143">
        <v>3773682025</v>
      </c>
      <c r="L41" s="125">
        <v>3992626360</v>
      </c>
      <c r="M41" s="143">
        <v>3968550598.0500002</v>
      </c>
      <c r="N41" s="143">
        <v>4085971098.2443533</v>
      </c>
      <c r="O41" s="143">
        <v>4264275089.3357134</v>
      </c>
      <c r="P41" s="143">
        <v>4171865029.4499998</v>
      </c>
      <c r="Q41" s="143">
        <v>4152461260.1999998</v>
      </c>
      <c r="R41" s="143">
        <v>4141554811.6992984</v>
      </c>
      <c r="S41" s="64">
        <v>4102129822</v>
      </c>
      <c r="T41" s="143">
        <v>4957972351.1724033</v>
      </c>
      <c r="U41" s="143">
        <v>4703302112.4346657</v>
      </c>
      <c r="V41" s="143">
        <v>4696522689.5982056</v>
      </c>
      <c r="W41" s="143">
        <v>4870545982.7898483</v>
      </c>
      <c r="X41" s="125">
        <v>4877164699.9621067</v>
      </c>
      <c r="Y41" s="70">
        <f t="shared" si="2"/>
        <v>6618717.1722583771</v>
      </c>
    </row>
    <row r="42" spans="1:31" ht="16" hidden="1" x14ac:dyDescent="0.2">
      <c r="B42" s="121" t="s">
        <v>243</v>
      </c>
      <c r="C42" s="81"/>
      <c r="D42" s="81" t="s">
        <v>244</v>
      </c>
      <c r="E42" s="81"/>
      <c r="F42" s="80" t="s">
        <v>281</v>
      </c>
      <c r="G42" s="81" t="str">
        <f t="shared" si="0"/>
        <v>lending__all__indirect_HR</v>
      </c>
      <c r="H42" s="125"/>
      <c r="I42" s="142" t="s">
        <v>282</v>
      </c>
      <c r="J42" s="125">
        <f>SUM(M42:X42)</f>
        <v>84030951110.077744</v>
      </c>
      <c r="K42" s="143">
        <v>3138024865</v>
      </c>
      <c r="L42" s="125">
        <v>3148726854</v>
      </c>
      <c r="M42" s="143">
        <v>4112303261.8600001</v>
      </c>
      <c r="N42" s="143">
        <v>3865979691.8406277</v>
      </c>
      <c r="O42" s="143">
        <v>3781296734.6086416</v>
      </c>
      <c r="P42" s="143">
        <v>3754005156.7900004</v>
      </c>
      <c r="Q42" s="143">
        <v>3853413040.8900003</v>
      </c>
      <c r="R42" s="64">
        <v>3969234500.6768327</v>
      </c>
      <c r="S42" s="64">
        <f>4087561962.53592+11450450192.1994</f>
        <v>15538012154.735321</v>
      </c>
      <c r="T42" s="143">
        <v>8552842242.6585484</v>
      </c>
      <c r="U42" s="143">
        <f>4504719087.22856+1791388162</f>
        <v>6296107249.2285604</v>
      </c>
      <c r="V42" s="143">
        <f>4483394213.06167+ 18673900000</f>
        <v>23157294213.061668</v>
      </c>
      <c r="W42" s="143">
        <f>4610179776.01231+ 1861808833</f>
        <v>6471988609.01231</v>
      </c>
      <c r="X42" s="125">
        <v>678474254.71522045</v>
      </c>
      <c r="Y42" s="70">
        <f t="shared" si="2"/>
        <v>-5793514354.2970896</v>
      </c>
    </row>
    <row r="43" spans="1:31" ht="16" hidden="1" x14ac:dyDescent="0.2">
      <c r="B43" s="121" t="s">
        <v>243</v>
      </c>
      <c r="C43" s="81"/>
      <c r="D43" s="81" t="s">
        <v>244</v>
      </c>
      <c r="E43" s="81"/>
      <c r="F43" s="80" t="s">
        <v>283</v>
      </c>
      <c r="G43" s="81" t="str">
        <f t="shared" si="0"/>
        <v>lending__all__system_cost</v>
      </c>
      <c r="H43" s="125"/>
      <c r="I43" s="142" t="s">
        <v>284</v>
      </c>
      <c r="J43" s="125">
        <f>SUM(M43:X43)</f>
        <v>56038450190.255539</v>
      </c>
      <c r="K43" s="143">
        <v>3267200000</v>
      </c>
      <c r="L43" s="125">
        <v>5717209194.2399998</v>
      </c>
      <c r="M43" s="143">
        <v>4364383094.3222227</v>
      </c>
      <c r="N43" s="143">
        <v>4746293046.6777773</v>
      </c>
      <c r="O43" s="143">
        <v>4144575358.8555555</v>
      </c>
      <c r="P43" s="143">
        <v>5140692281.8999996</v>
      </c>
      <c r="Q43" s="143">
        <v>5061100122.6333332</v>
      </c>
      <c r="R43" s="143">
        <v>5475352897.1555548</v>
      </c>
      <c r="S43" s="143">
        <v>5109167635.5999994</v>
      </c>
      <c r="T43" s="143">
        <v>5310534531.166667</v>
      </c>
      <c r="U43" s="143">
        <v>5729459022.6999998</v>
      </c>
      <c r="V43" s="143">
        <v>5968265329.1333332</v>
      </c>
      <c r="W43" s="143">
        <v>4988626870.1111107</v>
      </c>
      <c r="X43" s="125"/>
      <c r="Y43" s="70">
        <f t="shared" si="2"/>
        <v>-4988626870.1111107</v>
      </c>
    </row>
    <row r="44" spans="1:31" hidden="1" x14ac:dyDescent="0.2">
      <c r="B44" s="121" t="s">
        <v>243</v>
      </c>
      <c r="C44" s="81"/>
      <c r="D44" s="81" t="s">
        <v>244</v>
      </c>
      <c r="E44" s="81"/>
      <c r="F44" s="80" t="s">
        <v>285</v>
      </c>
      <c r="G44" s="81" t="str">
        <f t="shared" si="0"/>
        <v>lending__all__other_support_cost</v>
      </c>
      <c r="H44" s="125"/>
      <c r="I44" s="144" t="s">
        <v>286</v>
      </c>
      <c r="J44" s="125">
        <f>SUM(M44:X44)</f>
        <v>58135425869.029503</v>
      </c>
      <c r="K44" s="143">
        <v>3232798259</v>
      </c>
      <c r="L44" s="143">
        <v>21505851478.093182</v>
      </c>
      <c r="M44" s="143">
        <v>4129895508.7555561</v>
      </c>
      <c r="N44" s="143">
        <v>3994642653.8666635</v>
      </c>
      <c r="O44" s="143">
        <v>3734569191.9666667</v>
      </c>
      <c r="P44" s="143">
        <v>5064592508.9045019</v>
      </c>
      <c r="Q44" s="143">
        <v>3260569913.455554</v>
      </c>
      <c r="R44" s="143">
        <v>4549789484.3333359</v>
      </c>
      <c r="S44" s="143">
        <v>5071107125.9333324</v>
      </c>
      <c r="T44" s="143">
        <v>5365994729.9000015</v>
      </c>
      <c r="U44" s="143">
        <v>7016670253.5694504</v>
      </c>
      <c r="V44" s="143">
        <v>11040620405.499987</v>
      </c>
      <c r="W44" s="143">
        <v>4906974092.844449</v>
      </c>
      <c r="X44" s="143"/>
      <c r="Y44" s="70">
        <f t="shared" si="2"/>
        <v>-4906974092.844449</v>
      </c>
    </row>
    <row r="45" spans="1:31" ht="16" hidden="1" thickTop="1" x14ac:dyDescent="0.2">
      <c r="B45" s="121" t="s">
        <v>243</v>
      </c>
      <c r="C45" s="81"/>
      <c r="D45" s="81" t="s">
        <v>244</v>
      </c>
      <c r="E45" s="81"/>
      <c r="F45" s="80" t="s">
        <v>287</v>
      </c>
      <c r="G45" s="81" t="str">
        <f t="shared" si="0"/>
        <v>lending__all__profit_after_overhead</v>
      </c>
      <c r="H45" s="125"/>
      <c r="I45" s="145" t="s">
        <v>288</v>
      </c>
      <c r="J45" s="145">
        <f t="shared" ref="J45:X45" si="40">J19-J30-J31-J40</f>
        <v>467428992101.96594</v>
      </c>
      <c r="K45" s="145">
        <f t="shared" si="40"/>
        <v>24793601424.366554</v>
      </c>
      <c r="L45" s="145">
        <f t="shared" si="40"/>
        <v>4519642129.1889725</v>
      </c>
      <c r="M45" s="145">
        <f t="shared" si="40"/>
        <v>-16048797528.165529</v>
      </c>
      <c r="N45" s="145">
        <f t="shared" si="40"/>
        <v>1386057495.7991142</v>
      </c>
      <c r="O45" s="145">
        <f t="shared" si="40"/>
        <v>11035922741.271362</v>
      </c>
      <c r="P45" s="145">
        <f t="shared" si="40"/>
        <v>24392932628.330376</v>
      </c>
      <c r="Q45" s="145">
        <f t="shared" si="40"/>
        <v>17600931651.304703</v>
      </c>
      <c r="R45" s="145">
        <f t="shared" si="40"/>
        <v>22536088182.550323</v>
      </c>
      <c r="S45" s="145">
        <f t="shared" si="40"/>
        <v>34726299809.289833</v>
      </c>
      <c r="T45" s="145">
        <f t="shared" si="40"/>
        <v>50595265700.077141</v>
      </c>
      <c r="U45" s="145">
        <f t="shared" si="40"/>
        <v>55471099162.770691</v>
      </c>
      <c r="V45" s="145">
        <f>V19-V30-V31-V40</f>
        <v>74625069218.954651</v>
      </c>
      <c r="W45" s="145">
        <f>W19-W30-W31-W40</f>
        <v>83051410712.470795</v>
      </c>
      <c r="X45" s="145">
        <f t="shared" si="40"/>
        <v>108056712327.31255</v>
      </c>
      <c r="Y45" s="70">
        <f t="shared" si="2"/>
        <v>25005301614.841751</v>
      </c>
      <c r="Z45" s="70"/>
    </row>
    <row r="46" spans="1:31" s="147" customFormat="1" hidden="1" x14ac:dyDescent="0.2">
      <c r="A46" s="52"/>
      <c r="B46" s="121"/>
      <c r="C46" s="81"/>
      <c r="D46" s="81"/>
      <c r="E46" s="81"/>
      <c r="F46" s="80"/>
      <c r="G46" s="81"/>
      <c r="H46" s="125"/>
      <c r="I46" s="146" t="s">
        <v>289</v>
      </c>
      <c r="J46" s="146">
        <f>J19-J30-J31</f>
        <v>718626134816.26538</v>
      </c>
      <c r="K46" s="146">
        <f t="shared" ref="K46:S46" si="41">K19-K30-K31</f>
        <v>38205306573.366554</v>
      </c>
      <c r="L46" s="146">
        <f t="shared" si="41"/>
        <v>38884056015.522156</v>
      </c>
      <c r="M46" s="146">
        <f t="shared" si="41"/>
        <v>526334934.82225037</v>
      </c>
      <c r="N46" s="146">
        <f t="shared" si="41"/>
        <v>18078943986.428535</v>
      </c>
      <c r="O46" s="146">
        <f t="shared" si="41"/>
        <v>26960639116.037941</v>
      </c>
      <c r="P46" s="146">
        <f t="shared" si="41"/>
        <v>42524087605.374878</v>
      </c>
      <c r="Q46" s="146">
        <f t="shared" si="41"/>
        <v>33928475988.483589</v>
      </c>
      <c r="R46" s="146">
        <f t="shared" si="41"/>
        <v>40672019876.415344</v>
      </c>
      <c r="S46" s="146">
        <f t="shared" si="41"/>
        <v>64546716547.558487</v>
      </c>
      <c r="T46" s="146">
        <f>T45+T40</f>
        <v>74782609554.974762</v>
      </c>
      <c r="U46" s="146">
        <f>U45+U40</f>
        <v>79216637800.703369</v>
      </c>
      <c r="V46" s="146">
        <f>V45+V40</f>
        <v>119487771856.24783</v>
      </c>
      <c r="W46" s="146">
        <f>W45+W40</f>
        <v>104289546267.22852</v>
      </c>
      <c r="X46" s="146">
        <f>X45+X40</f>
        <v>113612351281.98987</v>
      </c>
      <c r="Y46" s="70">
        <f t="shared" si="2"/>
        <v>9322805014.7613525</v>
      </c>
    </row>
    <row r="47" spans="1:31" hidden="1" x14ac:dyDescent="0.2">
      <c r="B47" s="121"/>
      <c r="C47" s="81"/>
      <c r="D47" s="81"/>
      <c r="E47" s="81"/>
      <c r="F47" s="124"/>
      <c r="G47" s="81"/>
      <c r="H47" s="125"/>
      <c r="I47" s="148"/>
      <c r="J47" s="149"/>
      <c r="K47" s="149"/>
      <c r="L47" s="149"/>
      <c r="M47" s="149"/>
      <c r="N47" s="149"/>
      <c r="O47" s="149"/>
      <c r="P47" s="149"/>
      <c r="Q47" s="149"/>
      <c r="R47" s="149"/>
      <c r="S47" s="150"/>
      <c r="T47" s="149"/>
      <c r="U47" s="149"/>
      <c r="V47" s="149"/>
      <c r="W47" s="149"/>
      <c r="X47" s="149"/>
      <c r="Y47" s="70">
        <f t="shared" si="2"/>
        <v>0</v>
      </c>
    </row>
    <row r="48" spans="1:31" hidden="1" x14ac:dyDescent="0.2">
      <c r="B48" s="121" t="s">
        <v>243</v>
      </c>
      <c r="C48" s="81"/>
      <c r="D48" s="81"/>
      <c r="E48" s="81"/>
      <c r="F48" s="81"/>
      <c r="G48" s="81" t="str">
        <f t="shared" ref="G48:G82" si="42">B48&amp;"_"&amp;C48&amp;"_"&amp;D48&amp;"_"&amp;E48&amp;"_"&amp;F48</f>
        <v>lending____</v>
      </c>
      <c r="H48" s="125"/>
      <c r="I48" s="123" t="s">
        <v>290</v>
      </c>
      <c r="J48" s="123"/>
      <c r="K48" s="123"/>
      <c r="L48" s="123"/>
      <c r="M48" s="123"/>
      <c r="N48" s="123"/>
      <c r="O48" s="123"/>
      <c r="P48" s="123"/>
      <c r="Q48" s="123"/>
      <c r="R48" s="123"/>
      <c r="S48" s="123"/>
      <c r="T48" s="123"/>
      <c r="U48" s="123"/>
      <c r="V48" s="123"/>
      <c r="W48" s="123"/>
      <c r="X48" s="123"/>
      <c r="Y48" s="70">
        <f t="shared" si="2"/>
        <v>0</v>
      </c>
    </row>
    <row r="49" spans="2:35" ht="16" hidden="1" x14ac:dyDescent="0.2">
      <c r="B49" s="121" t="s">
        <v>243</v>
      </c>
      <c r="C49" s="81" t="s">
        <v>291</v>
      </c>
      <c r="D49" s="81" t="s">
        <v>291</v>
      </c>
      <c r="E49" s="81" t="s">
        <v>207</v>
      </c>
      <c r="F49" s="80" t="s">
        <v>292</v>
      </c>
      <c r="G49" s="81" t="str">
        <f t="shared" si="42"/>
        <v>lending_cashloan_cashloan_VDS_new_account</v>
      </c>
      <c r="H49" s="125"/>
      <c r="I49" s="126" t="s">
        <v>245</v>
      </c>
      <c r="J49" s="125"/>
      <c r="K49" s="84">
        <v>17956</v>
      </c>
      <c r="L49" s="84">
        <v>15750</v>
      </c>
      <c r="M49" s="84">
        <v>15082</v>
      </c>
      <c r="N49" s="84">
        <v>11820</v>
      </c>
      <c r="O49" s="84">
        <v>18786</v>
      </c>
      <c r="P49" s="84">
        <v>19997</v>
      </c>
      <c r="Q49" s="84">
        <v>16661</v>
      </c>
      <c r="R49" s="84">
        <v>17951</v>
      </c>
      <c r="S49" s="84">
        <v>25713</v>
      </c>
      <c r="T49" s="84">
        <v>23272</v>
      </c>
      <c r="U49" s="84">
        <v>26446</v>
      </c>
      <c r="V49" s="84">
        <v>27305</v>
      </c>
      <c r="W49" s="84">
        <v>29191</v>
      </c>
      <c r="X49" s="84">
        <v>32735</v>
      </c>
      <c r="Y49" s="70">
        <f t="shared" si="2"/>
        <v>3544</v>
      </c>
    </row>
    <row r="50" spans="2:35" ht="16" hidden="1" x14ac:dyDescent="0.2">
      <c r="B50" s="121" t="s">
        <v>243</v>
      </c>
      <c r="C50" s="81" t="s">
        <v>291</v>
      </c>
      <c r="D50" s="81" t="s">
        <v>291</v>
      </c>
      <c r="E50" s="81" t="s">
        <v>207</v>
      </c>
      <c r="F50" s="126" t="s">
        <v>246</v>
      </c>
      <c r="G50" s="81" t="str">
        <f t="shared" si="42"/>
        <v>lending_cashloan_cashloan_VDS_Repeat account</v>
      </c>
      <c r="H50" s="125"/>
      <c r="I50" s="126" t="s">
        <v>246</v>
      </c>
      <c r="J50" s="125"/>
      <c r="K50" s="84">
        <v>4682</v>
      </c>
      <c r="L50" s="84">
        <v>5020</v>
      </c>
      <c r="M50" s="84">
        <v>5125</v>
      </c>
      <c r="N50" s="84">
        <v>4599</v>
      </c>
      <c r="O50" s="151">
        <v>7455</v>
      </c>
      <c r="P50" s="84">
        <v>7849</v>
      </c>
      <c r="Q50" s="84">
        <v>6407</v>
      </c>
      <c r="R50" s="84">
        <v>6743</v>
      </c>
      <c r="S50" s="84">
        <v>9386</v>
      </c>
      <c r="T50" s="84">
        <v>8830</v>
      </c>
      <c r="U50" s="84">
        <v>12587</v>
      </c>
      <c r="V50" s="82">
        <v>14893</v>
      </c>
      <c r="W50" s="84">
        <v>15478</v>
      </c>
      <c r="X50" s="84">
        <v>16505</v>
      </c>
      <c r="Y50" s="70">
        <f t="shared" si="2"/>
        <v>1027</v>
      </c>
    </row>
    <row r="51" spans="2:35" ht="16" hidden="1" x14ac:dyDescent="0.2">
      <c r="B51" s="121" t="s">
        <v>243</v>
      </c>
      <c r="C51" s="81" t="s">
        <v>291</v>
      </c>
      <c r="D51" s="81" t="s">
        <v>291</v>
      </c>
      <c r="E51" s="81" t="s">
        <v>207</v>
      </c>
      <c r="F51" s="80" t="s">
        <v>293</v>
      </c>
      <c r="G51" s="81" t="str">
        <f t="shared" si="42"/>
        <v>lending_cashloan_cashloan_VDS_active_account</v>
      </c>
      <c r="H51" s="125"/>
      <c r="I51" s="126" t="s">
        <v>247</v>
      </c>
      <c r="J51" s="125">
        <f>W51</f>
        <v>163592</v>
      </c>
      <c r="K51" s="84">
        <v>129097</v>
      </c>
      <c r="L51" s="84">
        <v>132635</v>
      </c>
      <c r="M51" s="84">
        <f>136327-4782</f>
        <v>131545</v>
      </c>
      <c r="N51" s="84">
        <f>136829-12268</f>
        <v>124561</v>
      </c>
      <c r="O51" s="84">
        <f>141237-14332</f>
        <v>126905</v>
      </c>
      <c r="P51" s="84">
        <f>146432-16309</f>
        <v>130123</v>
      </c>
      <c r="Q51" s="152">
        <v>131023</v>
      </c>
      <c r="R51" s="152">
        <v>130324</v>
      </c>
      <c r="S51" s="152">
        <v>138380</v>
      </c>
      <c r="T51" s="84">
        <v>143825</v>
      </c>
      <c r="U51" s="84">
        <v>150208</v>
      </c>
      <c r="V51" s="84">
        <v>155368</v>
      </c>
      <c r="W51" s="84">
        <v>163592</v>
      </c>
      <c r="X51" s="84">
        <v>173179</v>
      </c>
      <c r="Y51" s="70">
        <f t="shared" si="2"/>
        <v>9587</v>
      </c>
    </row>
    <row r="52" spans="2:35" ht="16" hidden="1" x14ac:dyDescent="0.2">
      <c r="B52" s="121" t="s">
        <v>243</v>
      </c>
      <c r="C52" s="81" t="s">
        <v>291</v>
      </c>
      <c r="D52" s="81" t="s">
        <v>291</v>
      </c>
      <c r="E52" s="81" t="s">
        <v>207</v>
      </c>
      <c r="F52" s="80" t="s">
        <v>294</v>
      </c>
      <c r="G52" s="81" t="str">
        <f t="shared" si="42"/>
        <v>lending_cashloan_cashloan_VDS_disburse/spend</v>
      </c>
      <c r="H52" s="125"/>
      <c r="I52" s="84" t="s">
        <v>191</v>
      </c>
      <c r="J52" s="125">
        <f>SUM(M52:X52)</f>
        <v>4004483580000</v>
      </c>
      <c r="K52" s="125">
        <v>189961290000</v>
      </c>
      <c r="L52" s="125">
        <f>182857630000+465120000+405530000+1832240000</f>
        <v>185560520000</v>
      </c>
      <c r="M52" s="84">
        <f>180511400000+74900000+173890000+237950000</f>
        <v>180998140000</v>
      </c>
      <c r="N52" s="153">
        <v>131780450000</v>
      </c>
      <c r="O52" s="84">
        <v>199492410000</v>
      </c>
      <c r="P52" s="84">
        <v>249365790000</v>
      </c>
      <c r="Q52" s="84">
        <v>237678410000</v>
      </c>
      <c r="R52" s="84">
        <v>261376050000</v>
      </c>
      <c r="S52" s="82">
        <v>380965670000</v>
      </c>
      <c r="T52" s="153">
        <v>346289200000</v>
      </c>
      <c r="U52" s="153">
        <v>465278440000</v>
      </c>
      <c r="V52" s="84">
        <v>489924960000</v>
      </c>
      <c r="W52" s="84">
        <v>513252480000</v>
      </c>
      <c r="X52" s="125">
        <v>548081580000</v>
      </c>
      <c r="Y52" s="70">
        <f t="shared" si="2"/>
        <v>34829100000</v>
      </c>
    </row>
    <row r="53" spans="2:35" ht="16" hidden="1" x14ac:dyDescent="0.2">
      <c r="B53" s="121" t="s">
        <v>243</v>
      </c>
      <c r="C53" s="81" t="s">
        <v>291</v>
      </c>
      <c r="D53" s="81" t="s">
        <v>291</v>
      </c>
      <c r="E53" s="81" t="s">
        <v>207</v>
      </c>
      <c r="F53" s="80"/>
      <c r="G53" s="81" t="str">
        <f t="shared" si="42"/>
        <v>lending_cashloan_cashloan_VDS_</v>
      </c>
      <c r="H53" s="125"/>
      <c r="I53" s="84" t="s">
        <v>248</v>
      </c>
      <c r="J53" s="125">
        <f>SUM(M53:X53)</f>
        <v>3354301180000</v>
      </c>
      <c r="K53" s="125">
        <v>176386290000</v>
      </c>
      <c r="L53" s="125">
        <v>171559520000</v>
      </c>
      <c r="M53" s="84">
        <v>166922140000</v>
      </c>
      <c r="N53" s="84">
        <v>111638450000</v>
      </c>
      <c r="O53" s="84">
        <v>167308410000</v>
      </c>
      <c r="P53" s="84">
        <v>207148790000</v>
      </c>
      <c r="Q53" s="84">
        <v>196198410000</v>
      </c>
      <c r="R53" s="84">
        <v>219451650000</v>
      </c>
      <c r="S53" s="82">
        <v>322370670000</v>
      </c>
      <c r="T53" s="84">
        <v>290750200000</v>
      </c>
      <c r="U53" s="84">
        <v>388527440000</v>
      </c>
      <c r="V53" s="84">
        <v>407913960000</v>
      </c>
      <c r="W53" s="84">
        <v>422825480000</v>
      </c>
      <c r="X53" s="125">
        <v>453245580000</v>
      </c>
      <c r="Y53" s="70">
        <f t="shared" si="2"/>
        <v>30420100000</v>
      </c>
      <c r="Z53" s="52">
        <f>N53/N52</f>
        <v>0.84715487008884849</v>
      </c>
      <c r="AA53" s="52">
        <f>O53/O52</f>
        <v>0.83867055393235257</v>
      </c>
      <c r="AB53" s="52">
        <f>P53/P52</f>
        <v>0.83070251937926209</v>
      </c>
      <c r="AC53" s="52">
        <f>Q53/Q52</f>
        <v>0.82547846899514343</v>
      </c>
    </row>
    <row r="54" spans="2:35" ht="16" hidden="1" x14ac:dyDescent="0.2">
      <c r="B54" s="121" t="s">
        <v>243</v>
      </c>
      <c r="C54" s="81" t="s">
        <v>291</v>
      </c>
      <c r="D54" s="81" t="s">
        <v>291</v>
      </c>
      <c r="E54" s="81" t="s">
        <v>207</v>
      </c>
      <c r="F54" s="80"/>
      <c r="G54" s="81" t="str">
        <f t="shared" si="42"/>
        <v>lending_cashloan_cashloan_VDS_</v>
      </c>
      <c r="H54" s="125"/>
      <c r="I54" s="84" t="s">
        <v>249</v>
      </c>
      <c r="J54" s="125">
        <f>SUM(M54:X54)</f>
        <v>650182400000</v>
      </c>
      <c r="K54" s="125">
        <f t="shared" ref="K54:X54" si="43">K52-K53</f>
        <v>13575000000</v>
      </c>
      <c r="L54" s="125">
        <f t="shared" si="43"/>
        <v>14001000000</v>
      </c>
      <c r="M54" s="84">
        <f t="shared" si="43"/>
        <v>14076000000</v>
      </c>
      <c r="N54" s="84">
        <f t="shared" si="43"/>
        <v>20142000000</v>
      </c>
      <c r="O54" s="84">
        <f t="shared" si="43"/>
        <v>32184000000</v>
      </c>
      <c r="P54" s="84">
        <f t="shared" si="43"/>
        <v>42217000000</v>
      </c>
      <c r="Q54" s="84">
        <f t="shared" si="43"/>
        <v>41480000000</v>
      </c>
      <c r="R54" s="84">
        <f t="shared" si="43"/>
        <v>41924400000</v>
      </c>
      <c r="S54" s="84">
        <f t="shared" si="43"/>
        <v>58595000000</v>
      </c>
      <c r="T54" s="84">
        <f t="shared" si="43"/>
        <v>55539000000</v>
      </c>
      <c r="U54" s="84">
        <f t="shared" si="43"/>
        <v>76751000000</v>
      </c>
      <c r="V54" s="84">
        <f t="shared" si="43"/>
        <v>82011000000</v>
      </c>
      <c r="W54" s="84">
        <f t="shared" si="43"/>
        <v>90427000000</v>
      </c>
      <c r="X54" s="84">
        <f t="shared" si="43"/>
        <v>94836000000</v>
      </c>
      <c r="Y54" s="70">
        <f t="shared" si="2"/>
        <v>4409000000</v>
      </c>
    </row>
    <row r="55" spans="2:35" ht="16" hidden="1" x14ac:dyDescent="0.2">
      <c r="B55" s="121" t="s">
        <v>243</v>
      </c>
      <c r="C55" s="81" t="s">
        <v>291</v>
      </c>
      <c r="D55" s="81" t="s">
        <v>291</v>
      </c>
      <c r="E55" s="81" t="s">
        <v>207</v>
      </c>
      <c r="F55" s="80" t="s">
        <v>295</v>
      </c>
      <c r="G55" s="81" t="str">
        <f t="shared" si="42"/>
        <v>lending_cashloan_cashloan_VDS_ENR</v>
      </c>
      <c r="H55" s="125"/>
      <c r="I55" s="84" t="s">
        <v>250</v>
      </c>
      <c r="J55" s="125">
        <f>W55</f>
        <v>2072466106173</v>
      </c>
      <c r="K55" s="84">
        <v>1096760883557</v>
      </c>
      <c r="L55" s="64">
        <v>1105565326487</v>
      </c>
      <c r="M55" s="64">
        <v>1147479030231</v>
      </c>
      <c r="N55" s="64">
        <v>1059836524693</v>
      </c>
      <c r="O55" s="64">
        <v>1075941072798</v>
      </c>
      <c r="P55" s="64">
        <v>1136717782140</v>
      </c>
      <c r="Q55" s="64">
        <v>1178814582203</v>
      </c>
      <c r="R55" s="64">
        <v>1219457237377</v>
      </c>
      <c r="S55" s="64">
        <v>1378305772338</v>
      </c>
      <c r="T55" s="154">
        <v>1490245196812</v>
      </c>
      <c r="U55" s="154">
        <v>1689128717794</v>
      </c>
      <c r="V55" s="84">
        <v>1873560534525</v>
      </c>
      <c r="W55" s="84">
        <v>2072466106173</v>
      </c>
      <c r="X55" s="64">
        <v>2269684868394</v>
      </c>
      <c r="Y55" s="70">
        <f t="shared" si="2"/>
        <v>197218762221</v>
      </c>
      <c r="AI55" s="52" t="s">
        <v>296</v>
      </c>
    </row>
    <row r="56" spans="2:35" hidden="1" x14ac:dyDescent="0.2">
      <c r="B56" s="121" t="s">
        <v>243</v>
      </c>
      <c r="C56" s="81" t="s">
        <v>291</v>
      </c>
      <c r="D56" s="81" t="s">
        <v>291</v>
      </c>
      <c r="E56" s="81" t="s">
        <v>207</v>
      </c>
      <c r="F56" s="80"/>
      <c r="G56" s="81" t="str">
        <f t="shared" si="42"/>
        <v>lending_cashloan_cashloan_VDS_</v>
      </c>
      <c r="H56" s="125"/>
      <c r="I56" s="127" t="s">
        <v>251</v>
      </c>
      <c r="J56" s="125">
        <f>V55</f>
        <v>1873560534525</v>
      </c>
      <c r="K56" s="155">
        <f t="shared" ref="K56:X56" si="44">K55-K57</f>
        <v>1003932482028</v>
      </c>
      <c r="L56" s="155">
        <f t="shared" si="44"/>
        <v>1022463924093</v>
      </c>
      <c r="M56" s="155">
        <f t="shared" si="44"/>
        <v>1061249950213</v>
      </c>
      <c r="N56" s="155">
        <f t="shared" si="44"/>
        <v>1003227370358</v>
      </c>
      <c r="O56" s="155">
        <f t="shared" si="44"/>
        <v>1013650376772</v>
      </c>
      <c r="P56" s="156">
        <f t="shared" si="44"/>
        <v>1070490754302</v>
      </c>
      <c r="Q56" s="156">
        <f t="shared" si="44"/>
        <v>1112040908577</v>
      </c>
      <c r="R56" s="156">
        <f t="shared" si="44"/>
        <v>1160661668614</v>
      </c>
      <c r="S56" s="156">
        <f t="shared" si="44"/>
        <v>1318302573746</v>
      </c>
      <c r="T56" s="156">
        <f t="shared" si="44"/>
        <v>1431948239882</v>
      </c>
      <c r="U56" s="156">
        <f t="shared" si="44"/>
        <v>1631474887774</v>
      </c>
      <c r="V56" s="156">
        <f>V55-V57</f>
        <v>1817400572848</v>
      </c>
      <c r="W56" s="156">
        <f t="shared" si="44"/>
        <v>2016577411714</v>
      </c>
      <c r="X56" s="156">
        <f t="shared" si="44"/>
        <v>2214371972305</v>
      </c>
      <c r="Y56" s="70">
        <f t="shared" si="2"/>
        <v>197794560591</v>
      </c>
      <c r="AI56" s="52" t="s">
        <v>297</v>
      </c>
    </row>
    <row r="57" spans="2:35" hidden="1" x14ac:dyDescent="0.2">
      <c r="B57" s="121" t="s">
        <v>243</v>
      </c>
      <c r="C57" s="81" t="s">
        <v>291</v>
      </c>
      <c r="D57" s="81" t="s">
        <v>291</v>
      </c>
      <c r="E57" s="81" t="s">
        <v>207</v>
      </c>
      <c r="F57" s="80"/>
      <c r="G57" s="81" t="str">
        <f t="shared" si="42"/>
        <v>lending_cashloan_cashloan_VDS_</v>
      </c>
      <c r="H57" s="125"/>
      <c r="I57" s="127" t="s">
        <v>252</v>
      </c>
      <c r="J57" s="125">
        <f>X57</f>
        <v>55312896089</v>
      </c>
      <c r="K57" s="155">
        <v>92828401529</v>
      </c>
      <c r="L57" s="155">
        <v>83101402394</v>
      </c>
      <c r="M57" s="155">
        <v>86229080018</v>
      </c>
      <c r="N57" s="155">
        <v>56609154335</v>
      </c>
      <c r="O57" s="155">
        <v>62290696026</v>
      </c>
      <c r="P57" s="155">
        <v>66227027838</v>
      </c>
      <c r="Q57" s="155">
        <v>66773673626</v>
      </c>
      <c r="R57" s="155">
        <v>58795568763</v>
      </c>
      <c r="S57" s="156">
        <v>60003198592</v>
      </c>
      <c r="T57" s="157">
        <v>58296956930</v>
      </c>
      <c r="U57" s="155">
        <v>57653830020</v>
      </c>
      <c r="V57" s="155">
        <v>56159961677</v>
      </c>
      <c r="W57" s="155">
        <v>55888694459</v>
      </c>
      <c r="X57" s="155">
        <v>55312896089</v>
      </c>
      <c r="Y57" s="70">
        <f t="shared" si="2"/>
        <v>-575798370</v>
      </c>
    </row>
    <row r="58" spans="2:35" ht="16" hidden="1" x14ac:dyDescent="0.2">
      <c r="B58" s="121" t="s">
        <v>243</v>
      </c>
      <c r="C58" s="81" t="s">
        <v>291</v>
      </c>
      <c r="D58" s="81" t="s">
        <v>291</v>
      </c>
      <c r="E58" s="81" t="s">
        <v>207</v>
      </c>
      <c r="F58" s="80"/>
      <c r="G58" s="81" t="str">
        <f t="shared" si="42"/>
        <v>lending_cashloan_cashloan_VDS_</v>
      </c>
      <c r="H58" s="125"/>
      <c r="I58" s="126" t="s">
        <v>253</v>
      </c>
      <c r="J58" s="125"/>
      <c r="K58" s="84">
        <v>128266006630</v>
      </c>
      <c r="L58" s="84">
        <v>115945446021</v>
      </c>
      <c r="M58" s="155">
        <v>132900321522</v>
      </c>
      <c r="N58" s="155">
        <v>96174898054</v>
      </c>
      <c r="O58" s="155">
        <v>104563918691</v>
      </c>
      <c r="P58" s="155">
        <v>108253009276</v>
      </c>
      <c r="Q58" s="155">
        <v>113013683395</v>
      </c>
      <c r="R58" s="155">
        <v>96321001040</v>
      </c>
      <c r="S58" s="158">
        <v>97930342031</v>
      </c>
      <c r="T58" s="155">
        <v>94382038235</v>
      </c>
      <c r="U58" s="155">
        <v>90846402382</v>
      </c>
      <c r="V58" s="155">
        <v>87120064487</v>
      </c>
      <c r="W58" s="155">
        <v>87195482343</v>
      </c>
      <c r="X58" s="155">
        <v>87477919039</v>
      </c>
      <c r="Y58" s="70">
        <f t="shared" si="2"/>
        <v>282436696</v>
      </c>
    </row>
    <row r="59" spans="2:35" ht="16" hidden="1" x14ac:dyDescent="0.2">
      <c r="B59" s="121" t="s">
        <v>243</v>
      </c>
      <c r="C59" s="81" t="s">
        <v>291</v>
      </c>
      <c r="D59" s="81" t="s">
        <v>291</v>
      </c>
      <c r="E59" s="81" t="s">
        <v>207</v>
      </c>
      <c r="F59" s="80" t="s">
        <v>298</v>
      </c>
      <c r="G59" s="81" t="str">
        <f t="shared" si="42"/>
        <v>lending_cashloan_cashloan_VDS_overdue_balance_10d</v>
      </c>
      <c r="H59" s="125"/>
      <c r="I59" s="84" t="s">
        <v>254</v>
      </c>
      <c r="J59" s="125"/>
      <c r="K59" s="155">
        <v>242335512813</v>
      </c>
      <c r="L59" s="155">
        <v>253215307338</v>
      </c>
      <c r="M59" s="155">
        <v>257387831112</v>
      </c>
      <c r="N59" s="155">
        <v>216211035603</v>
      </c>
      <c r="O59" s="155">
        <v>228003295831</v>
      </c>
      <c r="P59" s="155">
        <v>219589836982</v>
      </c>
      <c r="Q59" s="159">
        <v>222121862595</v>
      </c>
      <c r="R59" s="159">
        <v>222657233390</v>
      </c>
      <c r="S59" s="159">
        <v>231139715652</v>
      </c>
      <c r="T59" s="157">
        <v>240339626322</v>
      </c>
      <c r="U59" s="155">
        <v>270521140060</v>
      </c>
      <c r="V59" s="155">
        <v>276093953608</v>
      </c>
      <c r="W59" s="155">
        <v>299632744083</v>
      </c>
      <c r="X59" s="155"/>
      <c r="Y59" s="70">
        <f t="shared" si="2"/>
        <v>-299632744083</v>
      </c>
    </row>
    <row r="60" spans="2:35" ht="16" hidden="1" x14ac:dyDescent="0.2">
      <c r="B60" s="121" t="s">
        <v>243</v>
      </c>
      <c r="C60" s="81" t="s">
        <v>291</v>
      </c>
      <c r="D60" s="81" t="s">
        <v>291</v>
      </c>
      <c r="E60" s="81" t="s">
        <v>207</v>
      </c>
      <c r="F60" s="80" t="s">
        <v>299</v>
      </c>
      <c r="G60" s="81" t="str">
        <f t="shared" si="42"/>
        <v>lending_cashloan_cashloan_VDS_overdue_balance_90d</v>
      </c>
      <c r="H60" s="125"/>
      <c r="I60" s="84" t="s">
        <v>255</v>
      </c>
      <c r="J60" s="125"/>
      <c r="K60" s="84">
        <v>137654955413</v>
      </c>
      <c r="L60" s="84">
        <v>132330092600</v>
      </c>
      <c r="M60" s="84">
        <v>144274036407</v>
      </c>
      <c r="N60" s="84">
        <v>108007211794</v>
      </c>
      <c r="O60" s="84">
        <v>123200234353</v>
      </c>
      <c r="P60" s="84">
        <v>121834681774</v>
      </c>
      <c r="Q60" s="125">
        <v>125809078154</v>
      </c>
      <c r="R60" s="125">
        <v>117132587105</v>
      </c>
      <c r="S60" s="159">
        <v>112198077246</v>
      </c>
      <c r="T60" s="84">
        <v>109518480538</v>
      </c>
      <c r="U60" s="84">
        <v>114038507340</v>
      </c>
      <c r="V60" s="84">
        <v>102390446994</v>
      </c>
      <c r="W60" s="84">
        <v>103829795891</v>
      </c>
      <c r="X60" s="84"/>
      <c r="Y60" s="70">
        <f t="shared" si="2"/>
        <v>-103829795891</v>
      </c>
    </row>
    <row r="61" spans="2:35" ht="16" hidden="1" x14ac:dyDescent="0.2">
      <c r="B61" s="121" t="s">
        <v>243</v>
      </c>
      <c r="C61" s="81" t="s">
        <v>291</v>
      </c>
      <c r="D61" s="81" t="s">
        <v>291</v>
      </c>
      <c r="E61" s="81" t="s">
        <v>207</v>
      </c>
      <c r="F61" s="80"/>
      <c r="G61" s="81" t="str">
        <f t="shared" si="42"/>
        <v>lending_cashloan_cashloan_VDS_</v>
      </c>
      <c r="H61" s="125"/>
      <c r="I61" s="84" t="s">
        <v>256</v>
      </c>
      <c r="J61" s="125"/>
      <c r="K61" s="155">
        <f t="shared" ref="K61:X61" si="45">K59-K60</f>
        <v>104680557400</v>
      </c>
      <c r="L61" s="155">
        <f t="shared" si="45"/>
        <v>120885214738</v>
      </c>
      <c r="M61" s="155">
        <f t="shared" si="45"/>
        <v>113113794705</v>
      </c>
      <c r="N61" s="155">
        <f t="shared" si="45"/>
        <v>108203823809</v>
      </c>
      <c r="O61" s="155">
        <f t="shared" si="45"/>
        <v>104803061478</v>
      </c>
      <c r="P61" s="155">
        <f t="shared" si="45"/>
        <v>97755155208</v>
      </c>
      <c r="Q61" s="155">
        <f t="shared" si="45"/>
        <v>96312784441</v>
      </c>
      <c r="R61" s="155">
        <f t="shared" si="45"/>
        <v>105524646285</v>
      </c>
      <c r="S61" s="155">
        <f t="shared" si="45"/>
        <v>118941638406</v>
      </c>
      <c r="T61" s="155">
        <f t="shared" si="45"/>
        <v>130821145784</v>
      </c>
      <c r="U61" s="155">
        <f t="shared" si="45"/>
        <v>156482632720</v>
      </c>
      <c r="V61" s="155">
        <f t="shared" si="45"/>
        <v>173703506614</v>
      </c>
      <c r="W61" s="155">
        <f t="shared" si="45"/>
        <v>195802948192</v>
      </c>
      <c r="X61" s="155">
        <f t="shared" si="45"/>
        <v>0</v>
      </c>
      <c r="Y61" s="70">
        <f t="shared" si="2"/>
        <v>-195802948192</v>
      </c>
    </row>
    <row r="62" spans="2:35" ht="16" hidden="1" x14ac:dyDescent="0.2">
      <c r="B62" s="121" t="s">
        <v>243</v>
      </c>
      <c r="C62" s="81" t="s">
        <v>291</v>
      </c>
      <c r="D62" s="81" t="s">
        <v>291</v>
      </c>
      <c r="E62" s="81" t="s">
        <v>207</v>
      </c>
      <c r="F62" s="80"/>
      <c r="G62" s="81" t="str">
        <f t="shared" si="42"/>
        <v>lending_cashloan_cashloan_VDS_</v>
      </c>
      <c r="H62" s="125"/>
      <c r="I62" s="84" t="s">
        <v>257</v>
      </c>
      <c r="J62" s="125"/>
      <c r="K62" s="129">
        <f t="shared" ref="K62:X62" si="46">K58/K55</f>
        <v>0.11694983706385427</v>
      </c>
      <c r="L62" s="129">
        <f t="shared" si="46"/>
        <v>0.10487435092544337</v>
      </c>
      <c r="M62" s="129">
        <f t="shared" si="46"/>
        <v>0.11581939017678233</v>
      </c>
      <c r="N62" s="129">
        <f t="shared" si="46"/>
        <v>9.0745030779023891E-2</v>
      </c>
      <c r="O62" s="129">
        <f t="shared" si="46"/>
        <v>9.718368536585377E-2</v>
      </c>
      <c r="P62" s="129">
        <f t="shared" si="46"/>
        <v>9.5232968971595958E-2</v>
      </c>
      <c r="Q62" s="129">
        <f t="shared" si="46"/>
        <v>9.587061875651133E-2</v>
      </c>
      <c r="R62" s="129">
        <f t="shared" si="46"/>
        <v>7.8986780419772917E-2</v>
      </c>
      <c r="S62" s="129">
        <f t="shared" si="46"/>
        <v>7.1051245664365312E-2</v>
      </c>
      <c r="T62" s="129">
        <f t="shared" si="46"/>
        <v>6.3333227603689868E-2</v>
      </c>
      <c r="U62" s="129">
        <f t="shared" si="46"/>
        <v>5.3782995591150261E-2</v>
      </c>
      <c r="V62" s="129">
        <f t="shared" si="46"/>
        <v>4.6499732931814433E-2</v>
      </c>
      <c r="W62" s="129">
        <f t="shared" si="46"/>
        <v>4.2073297161908482E-2</v>
      </c>
      <c r="X62" s="129">
        <f t="shared" si="46"/>
        <v>3.8541878767909425E-2</v>
      </c>
      <c r="Y62" s="70">
        <f t="shared" si="2"/>
        <v>-3.531418393999057E-3</v>
      </c>
    </row>
    <row r="63" spans="2:35" ht="16" hidden="1" x14ac:dyDescent="0.2">
      <c r="B63" s="121" t="s">
        <v>243</v>
      </c>
      <c r="C63" s="81" t="s">
        <v>291</v>
      </c>
      <c r="D63" s="81" t="s">
        <v>291</v>
      </c>
      <c r="E63" s="81" t="s">
        <v>207</v>
      </c>
      <c r="F63" s="80" t="s">
        <v>258</v>
      </c>
      <c r="G63" s="81" t="str">
        <f t="shared" si="42"/>
        <v>lending_cashloan_cashloan_VDS_npl</v>
      </c>
      <c r="H63" s="125"/>
      <c r="I63" s="84" t="s">
        <v>259</v>
      </c>
      <c r="J63" s="125"/>
      <c r="K63" s="129">
        <f t="shared" ref="K63:X63" si="47">K60/K55</f>
        <v>0.1255104530775745</v>
      </c>
      <c r="L63" s="129">
        <f t="shared" si="47"/>
        <v>0.11969450328230426</v>
      </c>
      <c r="M63" s="129">
        <f t="shared" si="47"/>
        <v>0.12573130541475436</v>
      </c>
      <c r="N63" s="129">
        <f t="shared" si="47"/>
        <v>0.10190931268884713</v>
      </c>
      <c r="O63" s="129">
        <f t="shared" si="47"/>
        <v>0.11450462991678163</v>
      </c>
      <c r="P63" s="129">
        <f t="shared" si="47"/>
        <v>0.10718111714996875</v>
      </c>
      <c r="Q63" s="129">
        <f t="shared" si="47"/>
        <v>0.10672507793285409</v>
      </c>
      <c r="R63" s="129">
        <f t="shared" si="47"/>
        <v>9.6053050090503508E-2</v>
      </c>
      <c r="S63" s="129">
        <f t="shared" si="47"/>
        <v>8.1402892955806203E-2</v>
      </c>
      <c r="T63" s="129">
        <f t="shared" si="47"/>
        <v>7.3490242258312188E-2</v>
      </c>
      <c r="U63" s="129">
        <f t="shared" si="47"/>
        <v>6.7513213255253959E-2</v>
      </c>
      <c r="V63" s="129">
        <f t="shared" si="47"/>
        <v>5.4650194166242325E-2</v>
      </c>
      <c r="W63" s="129">
        <f t="shared" si="47"/>
        <v>5.0099635203555294E-2</v>
      </c>
      <c r="X63" s="129">
        <f t="shared" si="47"/>
        <v>0</v>
      </c>
      <c r="Y63" s="70">
        <f t="shared" si="2"/>
        <v>-5.0099635203555294E-2</v>
      </c>
    </row>
    <row r="64" spans="2:35" hidden="1" x14ac:dyDescent="0.2">
      <c r="B64" s="121" t="s">
        <v>243</v>
      </c>
      <c r="C64" s="81" t="s">
        <v>291</v>
      </c>
      <c r="D64" s="81" t="s">
        <v>291</v>
      </c>
      <c r="E64" s="81" t="s">
        <v>207</v>
      </c>
      <c r="F64" s="80" t="s">
        <v>260</v>
      </c>
      <c r="G64" s="81" t="str">
        <f t="shared" si="42"/>
        <v>lending_cashloan_cashloan_VDS_TOI</v>
      </c>
      <c r="H64" s="125"/>
      <c r="I64" s="130" t="s">
        <v>260</v>
      </c>
      <c r="J64" s="131">
        <f t="shared" ref="J64:X64" si="48">J65+J70+J74</f>
        <v>778189988131.92017</v>
      </c>
      <c r="K64" s="131">
        <f t="shared" si="48"/>
        <v>39678475231</v>
      </c>
      <c r="L64" s="131">
        <f t="shared" si="48"/>
        <v>40794534742</v>
      </c>
      <c r="M64" s="131">
        <f t="shared" si="48"/>
        <v>42417349530</v>
      </c>
      <c r="N64" s="131">
        <f t="shared" si="48"/>
        <v>36081236115</v>
      </c>
      <c r="O64" s="131">
        <f t="shared" si="48"/>
        <v>43326725324.920181</v>
      </c>
      <c r="P64" s="131">
        <f t="shared" si="48"/>
        <v>46412665489</v>
      </c>
      <c r="Q64" s="131">
        <f t="shared" si="48"/>
        <v>48948107995</v>
      </c>
      <c r="R64" s="131">
        <f t="shared" si="48"/>
        <v>53220556578</v>
      </c>
      <c r="S64" s="131">
        <f t="shared" si="48"/>
        <v>64325595162</v>
      </c>
      <c r="T64" s="131">
        <f t="shared" si="48"/>
        <v>69040355523</v>
      </c>
      <c r="U64" s="131">
        <f t="shared" si="48"/>
        <v>79683280152</v>
      </c>
      <c r="V64" s="131">
        <f t="shared" si="48"/>
        <v>90328986632</v>
      </c>
      <c r="W64" s="131">
        <f t="shared" si="48"/>
        <v>95842691992</v>
      </c>
      <c r="X64" s="131">
        <f t="shared" si="48"/>
        <v>108562437639</v>
      </c>
      <c r="Y64" s="70">
        <f t="shared" si="2"/>
        <v>12719745647</v>
      </c>
    </row>
    <row r="65" spans="2:27" hidden="1" x14ac:dyDescent="0.2">
      <c r="B65" s="121" t="s">
        <v>243</v>
      </c>
      <c r="C65" s="81" t="s">
        <v>291</v>
      </c>
      <c r="D65" s="81" t="s">
        <v>291</v>
      </c>
      <c r="E65" s="81" t="s">
        <v>207</v>
      </c>
      <c r="F65" s="80" t="s">
        <v>300</v>
      </c>
      <c r="G65" s="81" t="str">
        <f t="shared" si="42"/>
        <v>lending_cashloan_cashloan_VDS_NII</v>
      </c>
      <c r="H65" s="125"/>
      <c r="I65" s="132" t="s">
        <v>261</v>
      </c>
      <c r="J65" s="131">
        <f t="shared" ref="J65:X65" si="49">J66-J69</f>
        <v>510561236128.92017</v>
      </c>
      <c r="K65" s="131">
        <f t="shared" si="49"/>
        <v>28096935555</v>
      </c>
      <c r="L65" s="131">
        <f t="shared" si="49"/>
        <v>29477909200</v>
      </c>
      <c r="M65" s="131">
        <f t="shared" si="49"/>
        <v>31408352679</v>
      </c>
      <c r="N65" s="131">
        <f t="shared" si="49"/>
        <v>28082686231</v>
      </c>
      <c r="O65" s="131">
        <f t="shared" si="49"/>
        <v>31161137799.920177</v>
      </c>
      <c r="P65" s="131">
        <f t="shared" si="49"/>
        <v>31800150847</v>
      </c>
      <c r="Q65" s="131">
        <f t="shared" si="49"/>
        <v>34650462975</v>
      </c>
      <c r="R65" s="131">
        <f t="shared" si="49"/>
        <v>35448283131</v>
      </c>
      <c r="S65" s="131">
        <f t="shared" si="49"/>
        <v>40143536410</v>
      </c>
      <c r="T65" s="131">
        <f t="shared" si="49"/>
        <v>44621501459</v>
      </c>
      <c r="U65" s="131">
        <f t="shared" si="49"/>
        <v>48257650005</v>
      </c>
      <c r="V65" s="131">
        <f t="shared" si="49"/>
        <v>55814149445</v>
      </c>
      <c r="W65" s="131">
        <f t="shared" si="49"/>
        <v>60069893055</v>
      </c>
      <c r="X65" s="131">
        <f t="shared" si="49"/>
        <v>69103432092</v>
      </c>
      <c r="Y65" s="70">
        <f t="shared" si="2"/>
        <v>9033539037</v>
      </c>
    </row>
    <row r="66" spans="2:27" ht="16" hidden="1" x14ac:dyDescent="0.2">
      <c r="B66" s="121" t="s">
        <v>243</v>
      </c>
      <c r="C66" s="81" t="s">
        <v>291</v>
      </c>
      <c r="D66" s="81" t="s">
        <v>291</v>
      </c>
      <c r="E66" s="81" t="s">
        <v>207</v>
      </c>
      <c r="F66" s="80" t="s">
        <v>301</v>
      </c>
      <c r="G66" s="81" t="str">
        <f t="shared" si="42"/>
        <v>lending_cashloan_cashloan_VDS_CII</v>
      </c>
      <c r="H66" s="125"/>
      <c r="I66" s="134" t="s">
        <v>262</v>
      </c>
      <c r="J66" s="125">
        <f>SUM(M66:X66)</f>
        <v>609986674726</v>
      </c>
      <c r="K66" s="125">
        <f>K67+4129655067-K68</f>
        <v>33954168405</v>
      </c>
      <c r="L66" s="125">
        <f t="shared" ref="L66:V66" si="50">L67+K68-L68</f>
        <v>35757060039</v>
      </c>
      <c r="M66" s="125">
        <f t="shared" si="50"/>
        <v>37783907263</v>
      </c>
      <c r="N66" s="125">
        <f t="shared" si="50"/>
        <v>33812818355</v>
      </c>
      <c r="O66" s="125">
        <f t="shared" si="50"/>
        <v>37182247404</v>
      </c>
      <c r="P66" s="125">
        <f t="shared" si="50"/>
        <v>37849380586</v>
      </c>
      <c r="Q66" s="125">
        <f t="shared" si="50"/>
        <v>41245909958</v>
      </c>
      <c r="R66" s="125">
        <f t="shared" si="50"/>
        <v>42103351990</v>
      </c>
      <c r="S66" s="125">
        <f t="shared" si="50"/>
        <v>47626846642</v>
      </c>
      <c r="T66" s="125">
        <f t="shared" si="50"/>
        <v>53052518536</v>
      </c>
      <c r="U66" s="125">
        <f t="shared" si="50"/>
        <v>57457127524</v>
      </c>
      <c r="V66" s="125">
        <f t="shared" si="50"/>
        <v>66783017700</v>
      </c>
      <c r="W66" s="125">
        <f>W67+V68-W68</f>
        <v>72050601901</v>
      </c>
      <c r="X66" s="125">
        <f>X67+W68-X68</f>
        <v>83038946867</v>
      </c>
      <c r="Y66" s="70">
        <f t="shared" si="2"/>
        <v>10988344966</v>
      </c>
    </row>
    <row r="67" spans="2:27" hidden="1" x14ac:dyDescent="0.2">
      <c r="B67" s="121" t="s">
        <v>243</v>
      </c>
      <c r="C67" s="81" t="s">
        <v>291</v>
      </c>
      <c r="D67" s="81" t="s">
        <v>291</v>
      </c>
      <c r="E67" s="81" t="s">
        <v>207</v>
      </c>
      <c r="F67" s="80"/>
      <c r="G67" s="81" t="str">
        <f t="shared" si="42"/>
        <v>lending_cashloan_cashloan_VDS_</v>
      </c>
      <c r="H67" s="125"/>
      <c r="I67" s="160" t="s">
        <v>263</v>
      </c>
      <c r="J67" s="136">
        <f>SUM(M67:X67)</f>
        <v>613885530839</v>
      </c>
      <c r="K67" s="161">
        <v>34594747983</v>
      </c>
      <c r="L67" s="161">
        <v>36499809681</v>
      </c>
      <c r="M67" s="161">
        <v>38002137672</v>
      </c>
      <c r="N67" s="161">
        <v>33265599220</v>
      </c>
      <c r="O67" s="136">
        <v>37097394365</v>
      </c>
      <c r="P67" s="136">
        <v>38016634897</v>
      </c>
      <c r="Q67" s="136">
        <v>41300148104</v>
      </c>
      <c r="R67" s="136">
        <v>42069348583</v>
      </c>
      <c r="S67" s="136">
        <v>48463084122</v>
      </c>
      <c r="T67" s="136">
        <v>53272770215</v>
      </c>
      <c r="U67" s="136">
        <v>57987623749</v>
      </c>
      <c r="V67" s="136">
        <v>67607734919</v>
      </c>
      <c r="W67" s="125">
        <v>72936674388</v>
      </c>
      <c r="X67" s="161">
        <v>83866380605</v>
      </c>
      <c r="Y67" s="70">
        <f t="shared" si="2"/>
        <v>10929706217</v>
      </c>
    </row>
    <row r="68" spans="2:27" hidden="1" x14ac:dyDescent="0.2">
      <c r="B68" s="121" t="s">
        <v>243</v>
      </c>
      <c r="C68" s="81" t="s">
        <v>291</v>
      </c>
      <c r="D68" s="81" t="s">
        <v>291</v>
      </c>
      <c r="E68" s="81" t="s">
        <v>207</v>
      </c>
      <c r="F68" s="80"/>
      <c r="G68" s="81" t="str">
        <f t="shared" si="42"/>
        <v>lending_cashloan_cashloan_VDS_</v>
      </c>
      <c r="H68" s="125"/>
      <c r="I68" s="160" t="s">
        <v>264</v>
      </c>
      <c r="J68" s="136"/>
      <c r="K68" s="137">
        <v>4770234645</v>
      </c>
      <c r="L68" s="137">
        <f>5174464805+338519482</f>
        <v>5512984287</v>
      </c>
      <c r="M68" s="136">
        <v>5731214696</v>
      </c>
      <c r="N68" s="137">
        <v>5183995561</v>
      </c>
      <c r="O68" s="137">
        <v>5099142522</v>
      </c>
      <c r="P68" s="137">
        <v>5266396833</v>
      </c>
      <c r="Q68" s="137">
        <v>5320634979</v>
      </c>
      <c r="R68" s="137">
        <v>5286631572</v>
      </c>
      <c r="S68" s="137">
        <v>6122869052</v>
      </c>
      <c r="T68" s="137">
        <v>6343120731</v>
      </c>
      <c r="U68" s="137">
        <v>6873616956</v>
      </c>
      <c r="V68" s="125">
        <v>7698334175</v>
      </c>
      <c r="W68" s="125">
        <v>8584406662</v>
      </c>
      <c r="X68" s="137">
        <v>9411840400</v>
      </c>
      <c r="Y68" s="70">
        <f t="shared" ref="Y68:Y131" si="51">X68-W68</f>
        <v>827433738</v>
      </c>
      <c r="Z68" s="70"/>
      <c r="AA68" s="70"/>
    </row>
    <row r="69" spans="2:27" ht="16" hidden="1" x14ac:dyDescent="0.2">
      <c r="B69" s="121" t="s">
        <v>243</v>
      </c>
      <c r="C69" s="81" t="s">
        <v>291</v>
      </c>
      <c r="D69" s="81" t="s">
        <v>291</v>
      </c>
      <c r="E69" s="81" t="s">
        <v>207</v>
      </c>
      <c r="F69" s="80" t="s">
        <v>62</v>
      </c>
      <c r="G69" s="81" t="str">
        <f t="shared" si="42"/>
        <v>lending_cashloan_cashloan_VDS_COF</v>
      </c>
      <c r="H69" s="125"/>
      <c r="I69" s="134" t="s">
        <v>62</v>
      </c>
      <c r="J69" s="125">
        <f>SUM(M69:X69)</f>
        <v>99425438597.079819</v>
      </c>
      <c r="K69" s="154">
        <v>5857232850</v>
      </c>
      <c r="L69" s="154">
        <v>6279150839</v>
      </c>
      <c r="M69" s="154">
        <v>6375554584</v>
      </c>
      <c r="N69" s="154">
        <v>5730132124</v>
      </c>
      <c r="O69" s="125">
        <v>6021109604.0798235</v>
      </c>
      <c r="P69" s="125">
        <v>6049229739</v>
      </c>
      <c r="Q69" s="84">
        <v>6595446983</v>
      </c>
      <c r="R69" s="84">
        <v>6655068859</v>
      </c>
      <c r="S69" s="82">
        <v>7483310232</v>
      </c>
      <c r="T69" s="82">
        <v>8431017077</v>
      </c>
      <c r="U69" s="82">
        <v>9199477519</v>
      </c>
      <c r="V69" s="125">
        <v>10968868255</v>
      </c>
      <c r="W69" s="154">
        <v>11980708846</v>
      </c>
      <c r="X69" s="154">
        <v>13935514775</v>
      </c>
      <c r="Y69" s="70">
        <f t="shared" si="51"/>
        <v>1954805929</v>
      </c>
    </row>
    <row r="70" spans="2:27" hidden="1" x14ac:dyDescent="0.2">
      <c r="B70" s="121" t="s">
        <v>243</v>
      </c>
      <c r="C70" s="81" t="s">
        <v>291</v>
      </c>
      <c r="D70" s="81" t="s">
        <v>291</v>
      </c>
      <c r="E70" s="81" t="s">
        <v>207</v>
      </c>
      <c r="F70" s="80" t="s">
        <v>302</v>
      </c>
      <c r="G70" s="81" t="str">
        <f t="shared" si="42"/>
        <v>lending_cashloan_cashloan_VDS_NFI</v>
      </c>
      <c r="H70" s="125"/>
      <c r="I70" s="132" t="s">
        <v>265</v>
      </c>
      <c r="J70" s="131">
        <f t="shared" ref="J70:X70" si="52">SUM(J71:J73)</f>
        <v>258847063309</v>
      </c>
      <c r="K70" s="131">
        <f t="shared" si="52"/>
        <v>11581539676</v>
      </c>
      <c r="L70" s="131">
        <f t="shared" si="52"/>
        <v>11310385070</v>
      </c>
      <c r="M70" s="131">
        <f t="shared" si="52"/>
        <v>10991696913</v>
      </c>
      <c r="N70" s="131">
        <f t="shared" si="52"/>
        <v>7892325195</v>
      </c>
      <c r="O70" s="131">
        <f t="shared" si="52"/>
        <v>11621648139</v>
      </c>
      <c r="P70" s="131">
        <f t="shared" si="52"/>
        <v>14200870683</v>
      </c>
      <c r="Q70" s="131">
        <f t="shared" si="52"/>
        <v>13650928899</v>
      </c>
      <c r="R70" s="131">
        <f t="shared" si="52"/>
        <v>16962778968</v>
      </c>
      <c r="S70" s="131">
        <f t="shared" si="52"/>
        <v>23137721251</v>
      </c>
      <c r="T70" s="131">
        <f t="shared" si="52"/>
        <v>23359503057</v>
      </c>
      <c r="U70" s="131">
        <f t="shared" si="52"/>
        <v>30543676965</v>
      </c>
      <c r="V70" s="131">
        <f t="shared" si="52"/>
        <v>33530453955</v>
      </c>
      <c r="W70" s="131">
        <f t="shared" si="52"/>
        <v>34915981842</v>
      </c>
      <c r="X70" s="131">
        <f t="shared" si="52"/>
        <v>38039477442</v>
      </c>
      <c r="Y70" s="70">
        <f t="shared" si="51"/>
        <v>3123495600</v>
      </c>
    </row>
    <row r="71" spans="2:27" ht="16" hidden="1" x14ac:dyDescent="0.2">
      <c r="B71" s="121" t="s">
        <v>243</v>
      </c>
      <c r="C71" s="81" t="s">
        <v>291</v>
      </c>
      <c r="D71" s="81" t="s">
        <v>291</v>
      </c>
      <c r="E71" s="81" t="s">
        <v>207</v>
      </c>
      <c r="F71" s="80" t="s">
        <v>303</v>
      </c>
      <c r="G71" s="81" t="str">
        <f t="shared" si="42"/>
        <v>lending_cashloan_cashloan_VDS_insurance_fee</v>
      </c>
      <c r="H71" s="125"/>
      <c r="I71" s="134" t="s">
        <v>266</v>
      </c>
      <c r="J71" s="136">
        <f>SUM(M71:X71)</f>
        <v>185509077376</v>
      </c>
      <c r="K71" s="136">
        <v>9880274232</v>
      </c>
      <c r="L71" s="136">
        <v>9609902815</v>
      </c>
      <c r="M71" s="136">
        <v>9350140074</v>
      </c>
      <c r="N71" s="64">
        <v>6253425370</v>
      </c>
      <c r="O71" s="162">
        <v>9371776980</v>
      </c>
      <c r="P71" s="162">
        <v>11603056744</v>
      </c>
      <c r="Q71" s="162">
        <v>10990049707</v>
      </c>
      <c r="R71" s="162">
        <v>12292579444</v>
      </c>
      <c r="S71" s="162">
        <v>17614586890</v>
      </c>
      <c r="T71" s="163">
        <v>15879842307</v>
      </c>
      <c r="U71" s="163">
        <v>21235065395</v>
      </c>
      <c r="V71" s="136">
        <v>22360422125</v>
      </c>
      <c r="W71" s="136">
        <v>23434158916</v>
      </c>
      <c r="X71" s="136">
        <v>25123973424</v>
      </c>
      <c r="Y71" s="70">
        <f t="shared" si="51"/>
        <v>1689814508</v>
      </c>
    </row>
    <row r="72" spans="2:27" ht="16" hidden="1" x14ac:dyDescent="0.2">
      <c r="B72" s="121" t="s">
        <v>243</v>
      </c>
      <c r="C72" s="81" t="s">
        <v>291</v>
      </c>
      <c r="D72" s="81" t="s">
        <v>291</v>
      </c>
      <c r="E72" s="81" t="s">
        <v>207</v>
      </c>
      <c r="F72" s="80" t="s">
        <v>304</v>
      </c>
      <c r="G72" s="81" t="str">
        <f t="shared" si="42"/>
        <v>lending_cashloan_cashloan_VDS_early_terminate_fee</v>
      </c>
      <c r="H72" s="125"/>
      <c r="I72" s="134" t="s">
        <v>267</v>
      </c>
      <c r="J72" s="136">
        <f>SUM(M72:X72)</f>
        <v>73337985933</v>
      </c>
      <c r="K72" s="136">
        <v>1701265444</v>
      </c>
      <c r="L72" s="136">
        <v>1700482255</v>
      </c>
      <c r="M72" s="125">
        <v>1641556839</v>
      </c>
      <c r="N72" s="125">
        <v>1638899825</v>
      </c>
      <c r="O72" s="162">
        <v>2249871159</v>
      </c>
      <c r="P72" s="136">
        <v>2597813939</v>
      </c>
      <c r="Q72" s="136">
        <v>2660879192</v>
      </c>
      <c r="R72" s="136">
        <v>4670199524</v>
      </c>
      <c r="S72" s="136">
        <v>5523134361</v>
      </c>
      <c r="T72" s="136">
        <v>7479660750</v>
      </c>
      <c r="U72" s="136">
        <v>9308611570</v>
      </c>
      <c r="V72" s="136">
        <v>11170031830</v>
      </c>
      <c r="W72" s="136">
        <v>11481822926</v>
      </c>
      <c r="X72" s="136">
        <v>12915504018</v>
      </c>
      <c r="Y72" s="70">
        <f t="shared" si="51"/>
        <v>1433681092</v>
      </c>
    </row>
    <row r="73" spans="2:27" ht="16" hidden="1" x14ac:dyDescent="0.2">
      <c r="B73" s="121" t="s">
        <v>243</v>
      </c>
      <c r="C73" s="81" t="s">
        <v>291</v>
      </c>
      <c r="D73" s="81" t="s">
        <v>291</v>
      </c>
      <c r="E73" s="81" t="s">
        <v>207</v>
      </c>
      <c r="F73" s="80" t="s">
        <v>305</v>
      </c>
      <c r="G73" s="81" t="str">
        <f t="shared" si="42"/>
        <v>lending_cashloan_cashloan_VDS_loan_grant_fee</v>
      </c>
      <c r="H73" s="125"/>
      <c r="I73" s="134" t="s">
        <v>187</v>
      </c>
      <c r="J73" s="136">
        <f>SUM(M73:X73)</f>
        <v>0</v>
      </c>
      <c r="K73" s="125"/>
      <c r="L73" s="125"/>
      <c r="M73" s="125"/>
      <c r="N73" s="162"/>
      <c r="O73" s="162"/>
      <c r="P73" s="162"/>
      <c r="Q73" s="162"/>
      <c r="R73" s="136"/>
      <c r="S73" s="164"/>
      <c r="T73" s="136"/>
      <c r="U73" s="136"/>
      <c r="V73" s="136"/>
      <c r="W73" s="136"/>
      <c r="X73" s="136"/>
      <c r="Y73" s="70">
        <f t="shared" si="51"/>
        <v>0</v>
      </c>
    </row>
    <row r="74" spans="2:27" s="54" customFormat="1" hidden="1" x14ac:dyDescent="0.2">
      <c r="B74" s="121" t="s">
        <v>243</v>
      </c>
      <c r="C74" s="81" t="s">
        <v>291</v>
      </c>
      <c r="D74" s="81" t="s">
        <v>291</v>
      </c>
      <c r="E74" s="165" t="s">
        <v>207</v>
      </c>
      <c r="F74" s="80" t="s">
        <v>306</v>
      </c>
      <c r="G74" s="165" t="str">
        <f t="shared" si="42"/>
        <v>lending_cashloan_cashloan_VDS_other_TOI</v>
      </c>
      <c r="H74" s="125"/>
      <c r="I74" s="132" t="s">
        <v>269</v>
      </c>
      <c r="J74" s="139">
        <f>SUM(M74:X74)</f>
        <v>8781688694</v>
      </c>
      <c r="K74" s="131"/>
      <c r="L74" s="131">
        <v>6240472</v>
      </c>
      <c r="M74" s="131">
        <v>17299938</v>
      </c>
      <c r="N74" s="166">
        <v>106224689</v>
      </c>
      <c r="O74" s="166">
        <v>543939386</v>
      </c>
      <c r="P74" s="166">
        <v>411643959</v>
      </c>
      <c r="Q74" s="166">
        <v>646716121</v>
      </c>
      <c r="R74" s="166">
        <v>809494479</v>
      </c>
      <c r="S74" s="166">
        <v>1044337501</v>
      </c>
      <c r="T74" s="166">
        <v>1059351007</v>
      </c>
      <c r="U74" s="166">
        <v>881953182</v>
      </c>
      <c r="V74" s="166">
        <v>984383232</v>
      </c>
      <c r="W74" s="166">
        <v>856817095</v>
      </c>
      <c r="X74" s="166">
        <v>1419528105</v>
      </c>
      <c r="Y74" s="70">
        <f t="shared" si="51"/>
        <v>562711010</v>
      </c>
    </row>
    <row r="75" spans="2:27" hidden="1" x14ac:dyDescent="0.2">
      <c r="B75" s="121" t="s">
        <v>243</v>
      </c>
      <c r="C75" s="81" t="s">
        <v>291</v>
      </c>
      <c r="D75" s="81" t="s">
        <v>291</v>
      </c>
      <c r="E75" s="81" t="s">
        <v>207</v>
      </c>
      <c r="F75" s="80" t="s">
        <v>307</v>
      </c>
      <c r="G75" s="81" t="str">
        <f t="shared" si="42"/>
        <v>lending_cashloan_cashloan_VDS_provision</v>
      </c>
      <c r="H75" s="125"/>
      <c r="I75" s="140" t="s">
        <v>270</v>
      </c>
      <c r="J75" s="131">
        <f>SUM(M75:X75)</f>
        <v>384508940425</v>
      </c>
      <c r="K75" s="131">
        <v>11931346505</v>
      </c>
      <c r="L75" s="131">
        <v>17026123186</v>
      </c>
      <c r="M75" s="140">
        <v>41826219082</v>
      </c>
      <c r="N75" s="140">
        <v>19959148404</v>
      </c>
      <c r="O75" s="140">
        <f>21225687782+3947986996</f>
        <v>25173674778</v>
      </c>
      <c r="P75" s="140">
        <v>19593311130</v>
      </c>
      <c r="Q75" s="140">
        <v>33241125666</v>
      </c>
      <c r="R75" s="140">
        <f>24968728875+3743543011</f>
        <v>28712271886</v>
      </c>
      <c r="S75" s="167">
        <v>22993577846</v>
      </c>
      <c r="T75" s="168">
        <v>29817195991</v>
      </c>
      <c r="U75" s="168">
        <f>34107002222+3560569609</f>
        <v>37667571831</v>
      </c>
      <c r="V75" s="168">
        <v>35542834791</v>
      </c>
      <c r="W75" s="168">
        <v>41845997466</v>
      </c>
      <c r="X75" s="168">
        <v>48136011554</v>
      </c>
      <c r="Y75" s="70">
        <f t="shared" si="51"/>
        <v>6290014088</v>
      </c>
    </row>
    <row r="76" spans="2:27" hidden="1" x14ac:dyDescent="0.2">
      <c r="B76" s="121" t="s">
        <v>243</v>
      </c>
      <c r="C76" s="81" t="s">
        <v>291</v>
      </c>
      <c r="D76" s="81" t="s">
        <v>291</v>
      </c>
      <c r="E76" s="81" t="s">
        <v>207</v>
      </c>
      <c r="F76" s="80" t="s">
        <v>308</v>
      </c>
      <c r="G76" s="81" t="str">
        <f t="shared" si="42"/>
        <v>lending_cashloan_cashloan_VDS_variable_cost</v>
      </c>
      <c r="H76" s="125"/>
      <c r="I76" s="140" t="s">
        <v>271</v>
      </c>
      <c r="J76" s="131">
        <f t="shared" ref="J76:X76" si="53">SUM(J77:J84)</f>
        <v>258147780510.3576</v>
      </c>
      <c r="K76" s="131">
        <f t="shared" si="53"/>
        <v>12035103319.84664</v>
      </c>
      <c r="L76" s="131">
        <f t="shared" si="53"/>
        <v>10389225991.019857</v>
      </c>
      <c r="M76" s="131">
        <f t="shared" si="53"/>
        <v>8973575238.1327629</v>
      </c>
      <c r="N76" s="131">
        <f t="shared" si="53"/>
        <v>9499098269.2716084</v>
      </c>
      <c r="O76" s="131">
        <f t="shared" si="53"/>
        <v>9101710845.9280491</v>
      </c>
      <c r="P76" s="131">
        <f t="shared" si="53"/>
        <v>18195644212.803772</v>
      </c>
      <c r="Q76" s="131">
        <f t="shared" si="53"/>
        <v>12636588175.915159</v>
      </c>
      <c r="R76" s="131">
        <f t="shared" si="53"/>
        <v>16998810809.512173</v>
      </c>
      <c r="S76" s="131">
        <f t="shared" si="53"/>
        <v>28836568696.720398</v>
      </c>
      <c r="T76" s="131">
        <f t="shared" si="53"/>
        <v>19573509394.413738</v>
      </c>
      <c r="U76" s="131">
        <f t="shared" si="53"/>
        <v>29478115021.341995</v>
      </c>
      <c r="V76" s="131">
        <f t="shared" si="53"/>
        <v>31378128616.600018</v>
      </c>
      <c r="W76" s="131">
        <f t="shared" si="53"/>
        <v>35338788285.220505</v>
      </c>
      <c r="X76" s="131">
        <f t="shared" si="53"/>
        <v>38137242944.497406</v>
      </c>
      <c r="Y76" s="70">
        <f t="shared" si="51"/>
        <v>2798454659.2769012</v>
      </c>
    </row>
    <row r="77" spans="2:27" ht="16" hidden="1" x14ac:dyDescent="0.2">
      <c r="B77" s="121" t="s">
        <v>243</v>
      </c>
      <c r="C77" s="81" t="s">
        <v>291</v>
      </c>
      <c r="D77" s="81" t="s">
        <v>291</v>
      </c>
      <c r="E77" s="81" t="s">
        <v>207</v>
      </c>
      <c r="F77" s="80" t="s">
        <v>198</v>
      </c>
      <c r="G77" s="81" t="str">
        <f t="shared" si="42"/>
        <v>lending_cashloan_cashloan_VDS_marketing_acquisition_cost</v>
      </c>
      <c r="H77" s="125"/>
      <c r="I77" s="142" t="s">
        <v>272</v>
      </c>
      <c r="J77" s="125">
        <f t="shared" ref="J77:J82" si="54">SUM(M77:X77)</f>
        <v>0</v>
      </c>
      <c r="K77" s="125"/>
      <c r="L77" s="125"/>
      <c r="M77" s="84"/>
      <c r="N77" s="84"/>
      <c r="O77" s="84"/>
      <c r="P77" s="122"/>
      <c r="Q77" s="84"/>
      <c r="R77" s="64"/>
      <c r="S77" s="122"/>
      <c r="T77" s="125"/>
      <c r="U77" s="125"/>
      <c r="V77" s="122"/>
      <c r="W77" s="122"/>
      <c r="X77" s="122"/>
      <c r="Y77" s="70">
        <f t="shared" si="51"/>
        <v>0</v>
      </c>
    </row>
    <row r="78" spans="2:27" ht="16" hidden="1" x14ac:dyDescent="0.2">
      <c r="B78" s="121" t="s">
        <v>243</v>
      </c>
      <c r="C78" s="81" t="s">
        <v>291</v>
      </c>
      <c r="D78" s="81" t="s">
        <v>291</v>
      </c>
      <c r="E78" s="81" t="s">
        <v>207</v>
      </c>
      <c r="F78" s="80" t="s">
        <v>309</v>
      </c>
      <c r="G78" s="81" t="str">
        <f t="shared" si="42"/>
        <v>lending_cashloan_cashloan_VDS_partner_acquisition_cost</v>
      </c>
      <c r="H78" s="125"/>
      <c r="I78" s="142" t="s">
        <v>202</v>
      </c>
      <c r="J78" s="125">
        <f t="shared" si="54"/>
        <v>239769284291</v>
      </c>
      <c r="K78" s="125">
        <f>10711164687+14400000</f>
        <v>10725564687</v>
      </c>
      <c r="L78" s="125">
        <f>8776603791+8880000</f>
        <v>8785483791</v>
      </c>
      <c r="M78" s="84">
        <f>7469010968+1380000</f>
        <v>7470390968</v>
      </c>
      <c r="N78" s="84">
        <v>7820321397</v>
      </c>
      <c r="O78" s="84">
        <f>7710727408+2520000</f>
        <v>7713247408</v>
      </c>
      <c r="P78" s="84">
        <f>16791179734+60000</f>
        <v>16791239734</v>
      </c>
      <c r="Q78" s="84">
        <f>7260122763+4000000000</f>
        <v>11260122763</v>
      </c>
      <c r="R78" s="169">
        <f>13137790945
+3000000000</f>
        <v>16137790945</v>
      </c>
      <c r="S78" s="84">
        <v>27658468626</v>
      </c>
      <c r="T78" s="84">
        <v>18036041466</v>
      </c>
      <c r="U78" s="84">
        <v>27652613134</v>
      </c>
      <c r="V78" s="82">
        <v>29699438610</v>
      </c>
      <c r="W78" s="82">
        <v>33440423242</v>
      </c>
      <c r="X78" s="82">
        <v>36089185998</v>
      </c>
      <c r="Y78" s="70">
        <f t="shared" si="51"/>
        <v>2648762756</v>
      </c>
    </row>
    <row r="79" spans="2:27" ht="16" hidden="1" x14ac:dyDescent="0.2">
      <c r="B79" s="121" t="s">
        <v>243</v>
      </c>
      <c r="C79" s="81" t="s">
        <v>291</v>
      </c>
      <c r="D79" s="81" t="s">
        <v>291</v>
      </c>
      <c r="E79" s="81" t="s">
        <v>207</v>
      </c>
      <c r="F79" s="80" t="s">
        <v>310</v>
      </c>
      <c r="G79" s="81" t="str">
        <f t="shared" si="42"/>
        <v>lending_cashloan_cashloan_VDS_underwritting</v>
      </c>
      <c r="H79" s="125"/>
      <c r="I79" s="142" t="s">
        <v>273</v>
      </c>
      <c r="J79" s="125">
        <f t="shared" si="54"/>
        <v>8619862099.2507935</v>
      </c>
      <c r="K79" s="125">
        <v>440438935.589508</v>
      </c>
      <c r="L79" s="125">
        <v>443290952.72403085</v>
      </c>
      <c r="M79" s="170">
        <v>399174177.37550664</v>
      </c>
      <c r="N79" s="170">
        <v>313026386.49350071</v>
      </c>
      <c r="O79" s="170">
        <v>505181895.63284093</v>
      </c>
      <c r="P79" s="170">
        <v>468890494.78803992</v>
      </c>
      <c r="Q79" s="170">
        <v>406159189.85260957</v>
      </c>
      <c r="R79" s="170">
        <v>421553514.75729436</v>
      </c>
      <c r="S79" s="170">
        <v>559362675.3176775</v>
      </c>
      <c r="T79" s="170">
        <v>955304287.33087659</v>
      </c>
      <c r="U79" s="170">
        <v>1105196761.0874016</v>
      </c>
      <c r="V79" s="125">
        <v>1083868310.90062</v>
      </c>
      <c r="W79" s="125">
        <v>1097328611.0186901</v>
      </c>
      <c r="X79" s="125">
        <v>1304815794.6957355</v>
      </c>
      <c r="Y79" s="70">
        <f t="shared" si="51"/>
        <v>207487183.67704535</v>
      </c>
    </row>
    <row r="80" spans="2:27" ht="16" hidden="1" x14ac:dyDescent="0.2">
      <c r="B80" s="121" t="s">
        <v>243</v>
      </c>
      <c r="C80" s="81" t="s">
        <v>291</v>
      </c>
      <c r="D80" s="81" t="s">
        <v>291</v>
      </c>
      <c r="E80" s="81" t="s">
        <v>207</v>
      </c>
      <c r="F80" s="80" t="s">
        <v>311</v>
      </c>
      <c r="G80" s="81" t="str">
        <f t="shared" si="42"/>
        <v>lending_cashloan_cashloan_VDS_e_contract</v>
      </c>
      <c r="H80" s="125"/>
      <c r="I80" s="142" t="s">
        <v>274</v>
      </c>
      <c r="J80" s="125">
        <f t="shared" si="54"/>
        <v>240282623</v>
      </c>
      <c r="K80" s="125">
        <v>14335502</v>
      </c>
      <c r="L80" s="125">
        <v>12561591</v>
      </c>
      <c r="M80" s="84">
        <v>11966337</v>
      </c>
      <c r="N80" s="84">
        <v>9677426</v>
      </c>
      <c r="O80" s="84">
        <v>15041279</v>
      </c>
      <c r="P80" s="84">
        <v>41754120</v>
      </c>
      <c r="Q80" s="84">
        <v>13256531</v>
      </c>
      <c r="R80" s="143">
        <v>14710483</v>
      </c>
      <c r="S80" s="143">
        <v>20382708</v>
      </c>
      <c r="T80" s="125">
        <v>19382271</v>
      </c>
      <c r="U80" s="125">
        <v>21102642</v>
      </c>
      <c r="V80" s="125">
        <v>21960093</v>
      </c>
      <c r="W80" s="125">
        <v>23428833</v>
      </c>
      <c r="X80" s="125">
        <v>27619900</v>
      </c>
      <c r="Y80" s="70">
        <f t="shared" si="51"/>
        <v>4191067</v>
      </c>
    </row>
    <row r="81" spans="2:25" ht="16" hidden="1" x14ac:dyDescent="0.2">
      <c r="B81" s="121" t="s">
        <v>243</v>
      </c>
      <c r="C81" s="81" t="s">
        <v>291</v>
      </c>
      <c r="D81" s="81" t="s">
        <v>291</v>
      </c>
      <c r="E81" s="81" t="s">
        <v>207</v>
      </c>
      <c r="F81" s="80" t="s">
        <v>312</v>
      </c>
      <c r="G81" s="81" t="str">
        <f t="shared" si="42"/>
        <v>lending_cashloan_cashloan_VDS_nfc</v>
      </c>
      <c r="H81" s="125"/>
      <c r="I81" s="142" t="s">
        <v>275</v>
      </c>
      <c r="J81" s="125">
        <f t="shared" si="54"/>
        <v>510089414.40176511</v>
      </c>
      <c r="K81" s="125"/>
      <c r="L81" s="125"/>
      <c r="M81" s="170">
        <v>51653336.786435463</v>
      </c>
      <c r="N81" s="84">
        <v>33091702.357071213</v>
      </c>
      <c r="O81" s="84">
        <v>49670832.165832736</v>
      </c>
      <c r="P81" s="84">
        <v>42424742.861552708</v>
      </c>
      <c r="Q81" s="84">
        <v>35311090.683039144</v>
      </c>
      <c r="R81" s="169">
        <v>35545615.778914414</v>
      </c>
      <c r="S81" s="143">
        <v>43025475.109831348</v>
      </c>
      <c r="T81" s="170">
        <v>41031841.118254714</v>
      </c>
      <c r="U81" s="170">
        <v>39560832.537772328</v>
      </c>
      <c r="V81" s="125">
        <v>42140308.827840358</v>
      </c>
      <c r="W81" s="125">
        <v>40721046.759890854</v>
      </c>
      <c r="X81" s="125">
        <v>55912589.415329896</v>
      </c>
      <c r="Y81" s="70">
        <f t="shared" si="51"/>
        <v>15191542.655439042</v>
      </c>
    </row>
    <row r="82" spans="2:25" ht="16" hidden="1" x14ac:dyDescent="0.2">
      <c r="B82" s="121" t="s">
        <v>243</v>
      </c>
      <c r="C82" s="81" t="s">
        <v>291</v>
      </c>
      <c r="D82" s="81" t="s">
        <v>291</v>
      </c>
      <c r="E82" s="81" t="s">
        <v>207</v>
      </c>
      <c r="F82" s="80" t="s">
        <v>313</v>
      </c>
      <c r="G82" s="81" t="str">
        <f t="shared" si="42"/>
        <v>lending_cashloan_cashloan_VDS_collection</v>
      </c>
      <c r="H82" s="125"/>
      <c r="I82" s="142" t="s">
        <v>196</v>
      </c>
      <c r="J82" s="125">
        <f t="shared" si="54"/>
        <v>8246186407.3027859</v>
      </c>
      <c r="K82" s="125">
        <v>831217897.76843691</v>
      </c>
      <c r="L82" s="125">
        <v>1090532433.8564439</v>
      </c>
      <c r="M82" s="84">
        <v>968267436.20053327</v>
      </c>
      <c r="N82" s="84">
        <v>1283266590.4093432</v>
      </c>
      <c r="O82" s="84">
        <v>767506603.14327681</v>
      </c>
      <c r="P82" s="84">
        <v>774874937.75568223</v>
      </c>
      <c r="Q82" s="84">
        <v>860487093.45002365</v>
      </c>
      <c r="R82" s="84">
        <v>336697049.51595801</v>
      </c>
      <c r="S82" s="84">
        <v>482732506</v>
      </c>
      <c r="T82" s="125">
        <v>487746898.0167675</v>
      </c>
      <c r="U82" s="125">
        <v>583679320.91171777</v>
      </c>
      <c r="V82" s="125">
        <v>448252866.44084126</v>
      </c>
      <c r="W82" s="125">
        <v>660980117.66632712</v>
      </c>
      <c r="X82" s="125">
        <v>591694987.79231477</v>
      </c>
      <c r="Y82" s="70">
        <f t="shared" si="51"/>
        <v>-69285129.874012351</v>
      </c>
    </row>
    <row r="83" spans="2:25" ht="16" hidden="1" x14ac:dyDescent="0.2">
      <c r="B83" s="121"/>
      <c r="C83" s="81"/>
      <c r="D83" s="81"/>
      <c r="E83" s="81"/>
      <c r="F83" s="80" t="s">
        <v>314</v>
      </c>
      <c r="G83" s="81"/>
      <c r="H83" s="125"/>
      <c r="I83" s="142" t="s">
        <v>276</v>
      </c>
      <c r="J83" s="125"/>
      <c r="K83" s="125"/>
      <c r="L83" s="125"/>
      <c r="M83" s="84"/>
      <c r="N83" s="84"/>
      <c r="O83" s="84"/>
      <c r="P83" s="84"/>
      <c r="Q83" s="84"/>
      <c r="R83" s="64"/>
      <c r="S83" s="84"/>
      <c r="T83" s="125"/>
      <c r="U83" s="125"/>
      <c r="V83" s="125"/>
      <c r="W83" s="125"/>
      <c r="X83" s="125"/>
      <c r="Y83" s="70">
        <f t="shared" si="51"/>
        <v>0</v>
      </c>
    </row>
    <row r="84" spans="2:25" s="171" customFormat="1" ht="17" hidden="1" thickBot="1" x14ac:dyDescent="0.25">
      <c r="B84" s="121" t="s">
        <v>243</v>
      </c>
      <c r="C84" s="81" t="s">
        <v>291</v>
      </c>
      <c r="D84" s="81" t="s">
        <v>291</v>
      </c>
      <c r="E84" s="81" t="s">
        <v>207</v>
      </c>
      <c r="F84" s="80" t="s">
        <v>315</v>
      </c>
      <c r="G84" s="81" t="str">
        <f>B84&amp;"_"&amp;C84&amp;"_"&amp;D84&amp;"_"&amp;E84&amp;"_"&amp;F84</f>
        <v>lending_cashloan_cashloan_VDS_sms</v>
      </c>
      <c r="H84" s="125"/>
      <c r="I84" s="144" t="s">
        <v>197</v>
      </c>
      <c r="J84" s="125">
        <f>SUM(M84:X84)</f>
        <v>762075675.40225172</v>
      </c>
      <c r="K84" s="143">
        <v>23546297.488694493</v>
      </c>
      <c r="L84" s="143">
        <v>57357222.439383306</v>
      </c>
      <c r="M84" s="143">
        <v>72122982.770288065</v>
      </c>
      <c r="N84" s="143">
        <v>39714767.011694647</v>
      </c>
      <c r="O84" s="143">
        <v>51062827.986099608</v>
      </c>
      <c r="P84" s="143">
        <v>76460183.398495153</v>
      </c>
      <c r="Q84" s="143">
        <v>61251507.929487683</v>
      </c>
      <c r="R84" s="169">
        <v>52513201.460006014</v>
      </c>
      <c r="S84" s="125">
        <v>72596706.292890385</v>
      </c>
      <c r="T84" s="170">
        <v>34002630.947841182</v>
      </c>
      <c r="U84" s="170">
        <v>75962330.805103675</v>
      </c>
      <c r="V84" s="125">
        <v>82468427.430717304</v>
      </c>
      <c r="W84" s="125">
        <v>75906434.775592893</v>
      </c>
      <c r="X84" s="125">
        <v>68013674.594035178</v>
      </c>
      <c r="Y84" s="70">
        <f t="shared" si="51"/>
        <v>-7892760.1815577149</v>
      </c>
    </row>
    <row r="85" spans="2:25" ht="16" hidden="1" thickTop="1" x14ac:dyDescent="0.2">
      <c r="B85" s="121" t="s">
        <v>243</v>
      </c>
      <c r="C85" s="81" t="s">
        <v>291</v>
      </c>
      <c r="D85" s="81" t="s">
        <v>291</v>
      </c>
      <c r="E85" s="172" t="s">
        <v>207</v>
      </c>
      <c r="F85" s="173" t="s">
        <v>316</v>
      </c>
      <c r="G85" s="172" t="str">
        <f>B85&amp;"_"&amp;C85&amp;"_"&amp;D85&amp;"_"&amp;E85&amp;"_"&amp;F85</f>
        <v>lending_cashloan_cashloan_VDS_profit_before_overhead</v>
      </c>
      <c r="H85" s="125"/>
      <c r="I85" s="174" t="s">
        <v>289</v>
      </c>
      <c r="J85" s="174">
        <f t="shared" ref="J85:X85" si="55">J64-J75-J76</f>
        <v>135533267196.56256</v>
      </c>
      <c r="K85" s="174">
        <f t="shared" si="55"/>
        <v>15712025406.15336</v>
      </c>
      <c r="L85" s="174">
        <f t="shared" si="55"/>
        <v>13379185564.980143</v>
      </c>
      <c r="M85" s="174">
        <f t="shared" si="55"/>
        <v>-8382444790.1327629</v>
      </c>
      <c r="N85" s="174">
        <f t="shared" si="55"/>
        <v>6622989441.7283916</v>
      </c>
      <c r="O85" s="174">
        <f t="shared" si="55"/>
        <v>9051339700.9921322</v>
      </c>
      <c r="P85" s="174">
        <f t="shared" si="55"/>
        <v>8623710146.196228</v>
      </c>
      <c r="Q85" s="174">
        <f t="shared" si="55"/>
        <v>3070394153.0848408</v>
      </c>
      <c r="R85" s="174">
        <f t="shared" si="55"/>
        <v>7509473882.4878273</v>
      </c>
      <c r="S85" s="174">
        <f t="shared" si="55"/>
        <v>12495448619.279602</v>
      </c>
      <c r="T85" s="174">
        <f t="shared" si="55"/>
        <v>19649650137.586262</v>
      </c>
      <c r="U85" s="174">
        <f t="shared" si="55"/>
        <v>12537593299.658005</v>
      </c>
      <c r="V85" s="174">
        <f t="shared" si="55"/>
        <v>23408023224.399982</v>
      </c>
      <c r="W85" s="174">
        <f t="shared" si="55"/>
        <v>18657906240.779495</v>
      </c>
      <c r="X85" s="174">
        <f t="shared" si="55"/>
        <v>22289183140.502594</v>
      </c>
      <c r="Y85" s="70">
        <f t="shared" si="51"/>
        <v>3631276899.7230988</v>
      </c>
    </row>
    <row r="86" spans="2:25" hidden="1" x14ac:dyDescent="0.2">
      <c r="B86" s="121"/>
      <c r="C86" s="81"/>
      <c r="D86" s="81"/>
      <c r="E86" s="81"/>
      <c r="F86" s="124"/>
      <c r="G86" s="81"/>
      <c r="H86" s="125"/>
      <c r="I86" s="148"/>
      <c r="J86" s="131"/>
      <c r="K86" s="131"/>
      <c r="L86" s="131"/>
      <c r="M86" s="131"/>
      <c r="N86" s="131"/>
      <c r="O86" s="131"/>
      <c r="P86" s="131"/>
      <c r="Q86" s="131"/>
      <c r="R86" s="131"/>
      <c r="S86" s="131"/>
      <c r="T86" s="131"/>
      <c r="U86" s="131"/>
      <c r="V86" s="131"/>
      <c r="W86" s="131"/>
      <c r="X86" s="131"/>
      <c r="Y86" s="70">
        <f t="shared" si="51"/>
        <v>0</v>
      </c>
    </row>
    <row r="87" spans="2:25" hidden="1" x14ac:dyDescent="0.2">
      <c r="B87" s="121" t="s">
        <v>243</v>
      </c>
      <c r="C87" s="81" t="s">
        <v>291</v>
      </c>
      <c r="D87" s="81" t="s">
        <v>210</v>
      </c>
      <c r="E87" s="81" t="s">
        <v>207</v>
      </c>
      <c r="F87" s="81"/>
      <c r="G87" s="81" t="str">
        <f t="shared" ref="G87:G124" si="56">B87&amp;"_"&amp;C87&amp;"_"&amp;D87&amp;"_"&amp;E87&amp;"_"&amp;F87</f>
        <v>lending_cashloan_payroll_VDS_</v>
      </c>
      <c r="H87" s="125"/>
      <c r="I87" s="123" t="s">
        <v>317</v>
      </c>
      <c r="J87" s="123"/>
      <c r="K87" s="123"/>
      <c r="L87" s="123"/>
      <c r="M87" s="123"/>
      <c r="N87" s="123"/>
      <c r="O87" s="123"/>
      <c r="P87" s="123"/>
      <c r="Q87" s="123"/>
      <c r="R87" s="123"/>
      <c r="S87" s="123"/>
      <c r="T87" s="123"/>
      <c r="U87" s="123"/>
      <c r="V87" s="123"/>
      <c r="W87" s="123"/>
      <c r="X87" s="123"/>
      <c r="Y87" s="70">
        <f t="shared" si="51"/>
        <v>0</v>
      </c>
    </row>
    <row r="88" spans="2:25" ht="16" hidden="1" x14ac:dyDescent="0.2">
      <c r="B88" s="121" t="s">
        <v>243</v>
      </c>
      <c r="C88" s="81" t="s">
        <v>291</v>
      </c>
      <c r="D88" s="81" t="s">
        <v>210</v>
      </c>
      <c r="E88" s="81" t="s">
        <v>207</v>
      </c>
      <c r="F88" s="80" t="s">
        <v>292</v>
      </c>
      <c r="G88" s="81" t="str">
        <f t="shared" si="56"/>
        <v>lending_cashloan_payroll_VDS_new_account</v>
      </c>
      <c r="H88" s="125"/>
      <c r="I88" s="126" t="s">
        <v>245</v>
      </c>
      <c r="J88" s="125"/>
      <c r="K88" s="84">
        <v>90</v>
      </c>
      <c r="L88" s="84">
        <v>56</v>
      </c>
      <c r="M88" s="84">
        <v>60</v>
      </c>
      <c r="N88" s="175">
        <v>70</v>
      </c>
      <c r="O88" s="84">
        <v>108</v>
      </c>
      <c r="P88" s="84">
        <v>75</v>
      </c>
      <c r="Q88" s="175">
        <v>71</v>
      </c>
      <c r="R88" s="175">
        <v>24</v>
      </c>
      <c r="S88" s="152">
        <v>52</v>
      </c>
      <c r="T88" s="84">
        <v>63</v>
      </c>
      <c r="U88" s="84">
        <v>59</v>
      </c>
      <c r="V88" s="84">
        <v>63</v>
      </c>
      <c r="W88" s="84">
        <v>54</v>
      </c>
      <c r="X88" s="84">
        <v>37</v>
      </c>
      <c r="Y88" s="70">
        <f t="shared" si="51"/>
        <v>-17</v>
      </c>
    </row>
    <row r="89" spans="2:25" ht="16" hidden="1" x14ac:dyDescent="0.2">
      <c r="B89" s="121" t="s">
        <v>243</v>
      </c>
      <c r="C89" s="81" t="s">
        <v>291</v>
      </c>
      <c r="D89" s="81" t="s">
        <v>210</v>
      </c>
      <c r="E89" s="81" t="s">
        <v>207</v>
      </c>
      <c r="F89" s="126" t="s">
        <v>246</v>
      </c>
      <c r="G89" s="81" t="str">
        <f t="shared" si="56"/>
        <v>lending_cashloan_payroll_VDS_Repeat account</v>
      </c>
      <c r="H89" s="125"/>
      <c r="I89" s="126" t="s">
        <v>246</v>
      </c>
      <c r="J89" s="125"/>
      <c r="K89" s="84">
        <v>9</v>
      </c>
      <c r="L89" s="84">
        <v>7</v>
      </c>
      <c r="M89" s="84">
        <v>14</v>
      </c>
      <c r="N89" s="84">
        <v>17</v>
      </c>
      <c r="O89" s="84">
        <v>21</v>
      </c>
      <c r="P89" s="84">
        <v>18</v>
      </c>
      <c r="Q89" s="84">
        <v>21</v>
      </c>
      <c r="R89" s="176">
        <v>146</v>
      </c>
      <c r="S89" s="84">
        <v>18</v>
      </c>
      <c r="T89" s="84">
        <v>22</v>
      </c>
      <c r="U89" s="84">
        <v>33</v>
      </c>
      <c r="V89" s="84">
        <v>46</v>
      </c>
      <c r="W89" s="84">
        <v>36</v>
      </c>
      <c r="X89" s="84">
        <v>31</v>
      </c>
      <c r="Y89" s="70">
        <f t="shared" si="51"/>
        <v>-5</v>
      </c>
    </row>
    <row r="90" spans="2:25" ht="16" hidden="1" x14ac:dyDescent="0.2">
      <c r="B90" s="121" t="s">
        <v>243</v>
      </c>
      <c r="C90" s="81" t="s">
        <v>291</v>
      </c>
      <c r="D90" s="81" t="s">
        <v>210</v>
      </c>
      <c r="E90" s="81" t="s">
        <v>207</v>
      </c>
      <c r="F90" s="80" t="s">
        <v>293</v>
      </c>
      <c r="G90" s="81" t="str">
        <f t="shared" si="56"/>
        <v>lending_cashloan_payroll_VDS_active_account</v>
      </c>
      <c r="H90" s="125"/>
      <c r="I90" s="126" t="s">
        <v>247</v>
      </c>
      <c r="J90" s="125"/>
      <c r="K90" s="125">
        <v>892</v>
      </c>
      <c r="L90" s="84">
        <v>902</v>
      </c>
      <c r="M90" s="84">
        <f>879-2</f>
        <v>877</v>
      </c>
      <c r="N90" s="175">
        <f>874-21</f>
        <v>853</v>
      </c>
      <c r="O90" s="84">
        <f>879-30</f>
        <v>849</v>
      </c>
      <c r="P90" s="84">
        <f>862-32</f>
        <v>830</v>
      </c>
      <c r="Q90" s="175">
        <f>851-43</f>
        <v>808</v>
      </c>
      <c r="R90" s="152">
        <v>777</v>
      </c>
      <c r="S90" s="152">
        <v>769</v>
      </c>
      <c r="T90" s="84">
        <v>762</v>
      </c>
      <c r="U90" s="155">
        <v>743</v>
      </c>
      <c r="V90" s="84">
        <v>731</v>
      </c>
      <c r="W90" s="125">
        <v>707</v>
      </c>
      <c r="X90" s="84">
        <v>685</v>
      </c>
      <c r="Y90" s="70">
        <f t="shared" si="51"/>
        <v>-22</v>
      </c>
    </row>
    <row r="91" spans="2:25" ht="16" hidden="1" x14ac:dyDescent="0.2">
      <c r="B91" s="121" t="s">
        <v>243</v>
      </c>
      <c r="C91" s="81" t="s">
        <v>291</v>
      </c>
      <c r="D91" s="81" t="s">
        <v>210</v>
      </c>
      <c r="E91" s="81" t="s">
        <v>207</v>
      </c>
      <c r="F91" s="80" t="s">
        <v>294</v>
      </c>
      <c r="G91" s="81" t="str">
        <f t="shared" si="56"/>
        <v>lending_cashloan_payroll_VDS_disburse/spend</v>
      </c>
      <c r="H91" s="125"/>
      <c r="I91" s="84" t="s">
        <v>191</v>
      </c>
      <c r="J91" s="125">
        <f>SUM(M91:X91)</f>
        <v>11871000000</v>
      </c>
      <c r="K91" s="84">
        <v>1487350000</v>
      </c>
      <c r="L91" s="125">
        <v>846550000</v>
      </c>
      <c r="M91" s="125">
        <v>1011950000</v>
      </c>
      <c r="N91" s="125">
        <v>1109450000</v>
      </c>
      <c r="O91" s="84">
        <v>1798700000</v>
      </c>
      <c r="P91" s="84">
        <v>1227200000</v>
      </c>
      <c r="Q91" s="84">
        <v>1149700000</v>
      </c>
      <c r="R91" s="84">
        <v>374000000</v>
      </c>
      <c r="S91" s="82">
        <v>809800000</v>
      </c>
      <c r="T91" s="84">
        <v>1040200000</v>
      </c>
      <c r="U91" s="82">
        <v>953500000</v>
      </c>
      <c r="V91" s="84">
        <v>1056500000</v>
      </c>
      <c r="W91" s="84">
        <v>746250000</v>
      </c>
      <c r="X91" s="125">
        <v>593750000</v>
      </c>
      <c r="Y91" s="70">
        <f t="shared" si="51"/>
        <v>-152500000</v>
      </c>
    </row>
    <row r="92" spans="2:25" ht="16" hidden="1" x14ac:dyDescent="0.2">
      <c r="B92" s="121" t="s">
        <v>243</v>
      </c>
      <c r="C92" s="81" t="s">
        <v>291</v>
      </c>
      <c r="D92" s="81" t="s">
        <v>210</v>
      </c>
      <c r="E92" s="81" t="s">
        <v>207</v>
      </c>
      <c r="F92" s="124"/>
      <c r="G92" s="81" t="str">
        <f t="shared" si="56"/>
        <v>lending_cashloan_payroll_VDS_</v>
      </c>
      <c r="H92" s="125"/>
      <c r="I92" s="84" t="s">
        <v>248</v>
      </c>
      <c r="J92" s="125"/>
      <c r="K92" s="125">
        <v>1267350000</v>
      </c>
      <c r="L92" s="125">
        <v>830550000</v>
      </c>
      <c r="M92" s="84">
        <v>922950000</v>
      </c>
      <c r="N92" s="84">
        <v>933450000</v>
      </c>
      <c r="O92" s="84">
        <v>1526700000</v>
      </c>
      <c r="P92" s="84">
        <v>1012200000</v>
      </c>
      <c r="Q92" s="84">
        <v>959700000</v>
      </c>
      <c r="R92" s="84">
        <v>294000000</v>
      </c>
      <c r="S92" s="82">
        <v>709800000</v>
      </c>
      <c r="T92" s="82">
        <v>865200000</v>
      </c>
      <c r="U92" s="82">
        <v>703500000</v>
      </c>
      <c r="V92" s="84">
        <v>871500000</v>
      </c>
      <c r="W92" s="125">
        <v>572250000</v>
      </c>
      <c r="X92" s="125">
        <v>498750000</v>
      </c>
      <c r="Y92" s="70">
        <f t="shared" si="51"/>
        <v>-73500000</v>
      </c>
    </row>
    <row r="93" spans="2:25" ht="16" hidden="1" x14ac:dyDescent="0.2">
      <c r="B93" s="121" t="s">
        <v>243</v>
      </c>
      <c r="C93" s="81" t="s">
        <v>291</v>
      </c>
      <c r="D93" s="81" t="s">
        <v>210</v>
      </c>
      <c r="E93" s="81" t="s">
        <v>207</v>
      </c>
      <c r="F93" s="124"/>
      <c r="G93" s="81" t="str">
        <f t="shared" si="56"/>
        <v>lending_cashloan_payroll_VDS_</v>
      </c>
      <c r="H93" s="125"/>
      <c r="I93" s="84" t="s">
        <v>249</v>
      </c>
      <c r="J93" s="125"/>
      <c r="K93" s="125">
        <f t="shared" ref="K93:X93" si="57">K91-K92</f>
        <v>220000000</v>
      </c>
      <c r="L93" s="125">
        <f t="shared" si="57"/>
        <v>16000000</v>
      </c>
      <c r="M93" s="125">
        <f t="shared" si="57"/>
        <v>89000000</v>
      </c>
      <c r="N93" s="125">
        <f t="shared" si="57"/>
        <v>176000000</v>
      </c>
      <c r="O93" s="125">
        <f t="shared" si="57"/>
        <v>272000000</v>
      </c>
      <c r="P93" s="125">
        <f t="shared" si="57"/>
        <v>215000000</v>
      </c>
      <c r="Q93" s="125">
        <f t="shared" si="57"/>
        <v>190000000</v>
      </c>
      <c r="R93" s="125">
        <f t="shared" si="57"/>
        <v>80000000</v>
      </c>
      <c r="S93" s="125">
        <f t="shared" si="57"/>
        <v>100000000</v>
      </c>
      <c r="T93" s="125">
        <f t="shared" si="57"/>
        <v>175000000</v>
      </c>
      <c r="U93" s="125">
        <f t="shared" si="57"/>
        <v>250000000</v>
      </c>
      <c r="V93" s="125">
        <f t="shared" si="57"/>
        <v>185000000</v>
      </c>
      <c r="W93" s="125">
        <f t="shared" si="57"/>
        <v>174000000</v>
      </c>
      <c r="X93" s="125">
        <f t="shared" si="57"/>
        <v>95000000</v>
      </c>
      <c r="Y93" s="70">
        <f t="shared" si="51"/>
        <v>-79000000</v>
      </c>
    </row>
    <row r="94" spans="2:25" ht="16" hidden="1" x14ac:dyDescent="0.2">
      <c r="B94" s="121" t="s">
        <v>243</v>
      </c>
      <c r="C94" s="81" t="s">
        <v>291</v>
      </c>
      <c r="D94" s="81" t="s">
        <v>210</v>
      </c>
      <c r="E94" s="81" t="s">
        <v>207</v>
      </c>
      <c r="F94" s="80" t="s">
        <v>295</v>
      </c>
      <c r="G94" s="81" t="str">
        <f t="shared" si="56"/>
        <v>lending_cashloan_payroll_VDS_ENR</v>
      </c>
      <c r="H94" s="125"/>
      <c r="I94" s="84" t="s">
        <v>250</v>
      </c>
      <c r="J94" s="125">
        <f>W94</f>
        <v>6974057806</v>
      </c>
      <c r="K94" s="84">
        <v>10497997193</v>
      </c>
      <c r="L94" s="125">
        <v>10143873242</v>
      </c>
      <c r="M94" s="84">
        <v>9787251521</v>
      </c>
      <c r="N94" s="155">
        <v>9283199996</v>
      </c>
      <c r="O94" s="84">
        <v>9564466715</v>
      </c>
      <c r="P94" s="84">
        <v>9405286904</v>
      </c>
      <c r="Q94" s="84">
        <v>9191757861</v>
      </c>
      <c r="R94" s="84">
        <v>8337120782</v>
      </c>
      <c r="S94" s="84">
        <v>7983124244</v>
      </c>
      <c r="T94" s="84">
        <v>7828795755</v>
      </c>
      <c r="U94" s="84">
        <v>7633800771</v>
      </c>
      <c r="V94" s="84">
        <v>7459775694</v>
      </c>
      <c r="W94" s="84">
        <v>6974057806</v>
      </c>
      <c r="X94" s="125">
        <v>6432786980</v>
      </c>
      <c r="Y94" s="70">
        <f t="shared" si="51"/>
        <v>-541270826</v>
      </c>
    </row>
    <row r="95" spans="2:25" hidden="1" x14ac:dyDescent="0.2">
      <c r="B95" s="121" t="s">
        <v>243</v>
      </c>
      <c r="C95" s="81" t="s">
        <v>291</v>
      </c>
      <c r="D95" s="81" t="s">
        <v>210</v>
      </c>
      <c r="E95" s="81" t="s">
        <v>207</v>
      </c>
      <c r="F95" s="124"/>
      <c r="G95" s="81" t="str">
        <f t="shared" si="56"/>
        <v>lending_cashloan_payroll_VDS_</v>
      </c>
      <c r="H95" s="125"/>
      <c r="I95" s="127" t="s">
        <v>251</v>
      </c>
      <c r="J95" s="128"/>
      <c r="K95" s="155">
        <f t="shared" ref="K95:X95" si="58">K94-K96</f>
        <v>10225974298</v>
      </c>
      <c r="L95" s="155">
        <f t="shared" si="58"/>
        <v>9830283011</v>
      </c>
      <c r="M95" s="155">
        <f t="shared" si="58"/>
        <v>9467640305</v>
      </c>
      <c r="N95" s="155">
        <f t="shared" si="58"/>
        <v>9059508037</v>
      </c>
      <c r="O95" s="155">
        <f t="shared" si="58"/>
        <v>9332494963</v>
      </c>
      <c r="P95" s="155">
        <f t="shared" si="58"/>
        <v>9152619023</v>
      </c>
      <c r="Q95" s="155">
        <f t="shared" si="58"/>
        <v>8970521915</v>
      </c>
      <c r="R95" s="155">
        <f t="shared" si="58"/>
        <v>8139455189</v>
      </c>
      <c r="S95" s="155">
        <f t="shared" si="58"/>
        <v>7814893481</v>
      </c>
      <c r="T95" s="155">
        <f t="shared" si="58"/>
        <v>7693279734</v>
      </c>
      <c r="U95" s="155">
        <f t="shared" si="58"/>
        <v>7470768887</v>
      </c>
      <c r="V95" s="155">
        <f>V94-V96</f>
        <v>7331267903</v>
      </c>
      <c r="W95" s="155">
        <f t="shared" si="58"/>
        <v>6904677355</v>
      </c>
      <c r="X95" s="155">
        <f t="shared" si="58"/>
        <v>6366020104</v>
      </c>
      <c r="Y95" s="70">
        <f t="shared" si="51"/>
        <v>-538657251</v>
      </c>
    </row>
    <row r="96" spans="2:25" hidden="1" x14ac:dyDescent="0.2">
      <c r="B96" s="121" t="s">
        <v>243</v>
      </c>
      <c r="C96" s="81" t="s">
        <v>291</v>
      </c>
      <c r="D96" s="81" t="s">
        <v>210</v>
      </c>
      <c r="E96" s="81" t="s">
        <v>207</v>
      </c>
      <c r="F96" s="124"/>
      <c r="G96" s="81" t="str">
        <f t="shared" si="56"/>
        <v>lending_cashloan_payroll_VDS_</v>
      </c>
      <c r="H96" s="125"/>
      <c r="I96" s="127" t="s">
        <v>252</v>
      </c>
      <c r="J96" s="128"/>
      <c r="K96" s="155">
        <v>272022895</v>
      </c>
      <c r="L96" s="155">
        <v>313590231</v>
      </c>
      <c r="M96" s="155">
        <v>319611216</v>
      </c>
      <c r="N96" s="155">
        <v>223691959</v>
      </c>
      <c r="O96" s="155">
        <v>231971752</v>
      </c>
      <c r="P96" s="155">
        <v>252667881</v>
      </c>
      <c r="Q96" s="155">
        <v>221235946</v>
      </c>
      <c r="R96" s="155">
        <v>197665593</v>
      </c>
      <c r="S96" s="155">
        <v>168230763</v>
      </c>
      <c r="T96" s="128">
        <v>135516021</v>
      </c>
      <c r="U96" s="155">
        <v>163031884</v>
      </c>
      <c r="V96" s="155">
        <v>128507791</v>
      </c>
      <c r="W96" s="155">
        <v>69380451</v>
      </c>
      <c r="X96" s="155">
        <v>66766876</v>
      </c>
      <c r="Y96" s="70">
        <f t="shared" si="51"/>
        <v>-2613575</v>
      </c>
    </row>
    <row r="97" spans="2:27" hidden="1" x14ac:dyDescent="0.2">
      <c r="B97" s="121" t="s">
        <v>243</v>
      </c>
      <c r="C97" s="81" t="s">
        <v>291</v>
      </c>
      <c r="D97" s="81" t="s">
        <v>210</v>
      </c>
      <c r="E97" s="81" t="s">
        <v>207</v>
      </c>
      <c r="F97" s="80"/>
      <c r="G97" s="81" t="str">
        <f t="shared" si="56"/>
        <v>lending_cashloan_payroll_VDS_</v>
      </c>
      <c r="H97" s="125"/>
      <c r="I97" s="126" t="s">
        <v>253</v>
      </c>
      <c r="J97" s="128"/>
      <c r="K97" s="155">
        <v>403780031</v>
      </c>
      <c r="L97" s="155">
        <v>438309084</v>
      </c>
      <c r="M97" s="155">
        <v>544105569</v>
      </c>
      <c r="N97" s="155">
        <v>373436279</v>
      </c>
      <c r="O97" s="155">
        <v>347952498</v>
      </c>
      <c r="P97" s="155">
        <v>375187979</v>
      </c>
      <c r="Q97" s="155">
        <v>310092447</v>
      </c>
      <c r="R97" s="155">
        <v>255093337</v>
      </c>
      <c r="S97" s="158">
        <v>227620612</v>
      </c>
      <c r="T97" s="155">
        <v>272098888</v>
      </c>
      <c r="U97" s="155">
        <v>267107696</v>
      </c>
      <c r="V97" s="155">
        <v>191374126</v>
      </c>
      <c r="W97" s="155">
        <v>76778488</v>
      </c>
      <c r="X97" s="155">
        <v>99551208</v>
      </c>
      <c r="Y97" s="70">
        <f t="shared" si="51"/>
        <v>22772720</v>
      </c>
    </row>
    <row r="98" spans="2:27" ht="16" hidden="1" x14ac:dyDescent="0.2">
      <c r="B98" s="121" t="s">
        <v>243</v>
      </c>
      <c r="C98" s="81" t="s">
        <v>291</v>
      </c>
      <c r="D98" s="81" t="s">
        <v>210</v>
      </c>
      <c r="E98" s="81" t="s">
        <v>207</v>
      </c>
      <c r="F98" s="80" t="s">
        <v>298</v>
      </c>
      <c r="G98" s="81" t="str">
        <f t="shared" si="56"/>
        <v>lending_cashloan_payroll_VDS_overdue_balance_10d</v>
      </c>
      <c r="H98" s="125"/>
      <c r="I98" s="84" t="s">
        <v>254</v>
      </c>
      <c r="J98" s="128"/>
      <c r="K98" s="155">
        <v>1175510891</v>
      </c>
      <c r="L98" s="155">
        <v>1306880160</v>
      </c>
      <c r="M98" s="155">
        <v>1235086144</v>
      </c>
      <c r="N98" s="155">
        <v>1065957703</v>
      </c>
      <c r="O98" s="155">
        <v>1014278041</v>
      </c>
      <c r="P98" s="155">
        <v>976837749</v>
      </c>
      <c r="Q98" s="159">
        <v>1014713162</v>
      </c>
      <c r="R98" s="159">
        <v>1026921137</v>
      </c>
      <c r="S98" s="159">
        <v>1039008206</v>
      </c>
      <c r="T98" s="128">
        <v>967552758</v>
      </c>
      <c r="U98" s="155">
        <v>929048526</v>
      </c>
      <c r="V98" s="155">
        <v>855300264</v>
      </c>
      <c r="W98" s="155">
        <v>647959961</v>
      </c>
      <c r="X98" s="155"/>
      <c r="Y98" s="70">
        <f t="shared" si="51"/>
        <v>-647959961</v>
      </c>
    </row>
    <row r="99" spans="2:27" ht="16" hidden="1" x14ac:dyDescent="0.2">
      <c r="B99" s="121" t="s">
        <v>243</v>
      </c>
      <c r="C99" s="81" t="s">
        <v>291</v>
      </c>
      <c r="D99" s="81" t="s">
        <v>210</v>
      </c>
      <c r="E99" s="81" t="s">
        <v>207</v>
      </c>
      <c r="F99" s="80" t="s">
        <v>299</v>
      </c>
      <c r="G99" s="81" t="str">
        <f t="shared" si="56"/>
        <v>lending_cashloan_payroll_VDS_overdue_balance_90d</v>
      </c>
      <c r="H99" s="125"/>
      <c r="I99" s="84" t="s">
        <v>255</v>
      </c>
      <c r="J99" s="125"/>
      <c r="K99" s="84">
        <v>553108322</v>
      </c>
      <c r="L99" s="84">
        <v>631753544</v>
      </c>
      <c r="M99" s="84">
        <v>663967253</v>
      </c>
      <c r="N99" s="143">
        <v>506368733</v>
      </c>
      <c r="O99" s="175">
        <v>444849247</v>
      </c>
      <c r="P99" s="155">
        <v>433580872</v>
      </c>
      <c r="Q99" s="125">
        <v>434134510</v>
      </c>
      <c r="R99" s="125">
        <v>428886401</v>
      </c>
      <c r="S99" s="159">
        <v>385074813</v>
      </c>
      <c r="T99" s="125">
        <v>460032671</v>
      </c>
      <c r="U99" s="84">
        <v>474785513</v>
      </c>
      <c r="V99" s="84">
        <v>385117696</v>
      </c>
      <c r="W99" s="84">
        <v>262439208</v>
      </c>
      <c r="X99" s="84"/>
      <c r="Y99" s="70">
        <f t="shared" si="51"/>
        <v>-262439208</v>
      </c>
    </row>
    <row r="100" spans="2:27" ht="16" hidden="1" x14ac:dyDescent="0.2">
      <c r="B100" s="121" t="s">
        <v>243</v>
      </c>
      <c r="C100" s="81" t="s">
        <v>291</v>
      </c>
      <c r="D100" s="81" t="s">
        <v>210</v>
      </c>
      <c r="E100" s="81" t="s">
        <v>207</v>
      </c>
      <c r="F100" s="124"/>
      <c r="G100" s="81" t="str">
        <f t="shared" si="56"/>
        <v>lending_cashloan_payroll_VDS_</v>
      </c>
      <c r="H100" s="125"/>
      <c r="I100" s="84" t="s">
        <v>256</v>
      </c>
      <c r="J100" s="128"/>
      <c r="K100" s="155">
        <f t="shared" ref="K100:X100" si="59">K98-K99</f>
        <v>622402569</v>
      </c>
      <c r="L100" s="155">
        <f t="shared" si="59"/>
        <v>675126616</v>
      </c>
      <c r="M100" s="155">
        <f t="shared" si="59"/>
        <v>571118891</v>
      </c>
      <c r="N100" s="155">
        <f t="shared" si="59"/>
        <v>559588970</v>
      </c>
      <c r="O100" s="155">
        <f t="shared" si="59"/>
        <v>569428794</v>
      </c>
      <c r="P100" s="155">
        <f t="shared" si="59"/>
        <v>543256877</v>
      </c>
      <c r="Q100" s="155">
        <f t="shared" si="59"/>
        <v>580578652</v>
      </c>
      <c r="R100" s="155">
        <f t="shared" si="59"/>
        <v>598034736</v>
      </c>
      <c r="S100" s="155">
        <f t="shared" si="59"/>
        <v>653933393</v>
      </c>
      <c r="T100" s="155">
        <f t="shared" si="59"/>
        <v>507520087</v>
      </c>
      <c r="U100" s="155">
        <f t="shared" si="59"/>
        <v>454263013</v>
      </c>
      <c r="V100" s="155">
        <f t="shared" si="59"/>
        <v>470182568</v>
      </c>
      <c r="W100" s="155">
        <f t="shared" si="59"/>
        <v>385520753</v>
      </c>
      <c r="X100" s="155">
        <f t="shared" si="59"/>
        <v>0</v>
      </c>
      <c r="Y100" s="70">
        <f t="shared" si="51"/>
        <v>-385520753</v>
      </c>
    </row>
    <row r="101" spans="2:27" ht="16" hidden="1" x14ac:dyDescent="0.2">
      <c r="B101" s="121" t="s">
        <v>243</v>
      </c>
      <c r="C101" s="81" t="s">
        <v>291</v>
      </c>
      <c r="D101" s="81" t="s">
        <v>210</v>
      </c>
      <c r="E101" s="81" t="s">
        <v>207</v>
      </c>
      <c r="F101" s="124"/>
      <c r="G101" s="81" t="str">
        <f t="shared" si="56"/>
        <v>lending_cashloan_payroll_VDS_</v>
      </c>
      <c r="H101" s="125"/>
      <c r="I101" s="84" t="s">
        <v>257</v>
      </c>
      <c r="J101" s="125"/>
      <c r="K101" s="177">
        <f t="shared" ref="K101:X101" si="60">K97/K94</f>
        <v>3.8462577535192909E-2</v>
      </c>
      <c r="L101" s="177">
        <f t="shared" si="60"/>
        <v>4.3209243012344814E-2</v>
      </c>
      <c r="M101" s="177">
        <f t="shared" si="60"/>
        <v>5.5593295812674352E-2</v>
      </c>
      <c r="N101" s="177">
        <f t="shared" si="60"/>
        <v>4.0227106941669727E-2</v>
      </c>
      <c r="O101" s="177">
        <f t="shared" si="60"/>
        <v>3.6379707135611061E-2</v>
      </c>
      <c r="P101" s="177">
        <f t="shared" si="60"/>
        <v>3.9891178528582184E-2</v>
      </c>
      <c r="Q101" s="177">
        <f t="shared" si="60"/>
        <v>3.3735924258372935E-2</v>
      </c>
      <c r="R101" s="177">
        <f t="shared" si="60"/>
        <v>3.0597294158284393E-2</v>
      </c>
      <c r="S101" s="177">
        <f t="shared" si="60"/>
        <v>2.8512723219994519E-2</v>
      </c>
      <c r="T101" s="177">
        <f t="shared" si="60"/>
        <v>3.4756161294183616E-2</v>
      </c>
      <c r="U101" s="177">
        <f t="shared" si="60"/>
        <v>3.4990131916294416E-2</v>
      </c>
      <c r="V101" s="177">
        <f t="shared" si="60"/>
        <v>2.5654139460778269E-2</v>
      </c>
      <c r="W101" s="177">
        <f t="shared" si="60"/>
        <v>1.100915566457523E-2</v>
      </c>
      <c r="X101" s="177">
        <f t="shared" si="60"/>
        <v>1.5475595307214728E-2</v>
      </c>
      <c r="Y101" s="70">
        <f t="shared" si="51"/>
        <v>4.466439642639498E-3</v>
      </c>
    </row>
    <row r="102" spans="2:27" ht="16" hidden="1" x14ac:dyDescent="0.2">
      <c r="B102" s="121" t="s">
        <v>243</v>
      </c>
      <c r="C102" s="81" t="s">
        <v>291</v>
      </c>
      <c r="D102" s="81" t="s">
        <v>210</v>
      </c>
      <c r="E102" s="81" t="s">
        <v>207</v>
      </c>
      <c r="F102" s="80" t="s">
        <v>258</v>
      </c>
      <c r="G102" s="81" t="str">
        <f t="shared" si="56"/>
        <v>lending_cashloan_payroll_VDS_npl</v>
      </c>
      <c r="H102" s="125"/>
      <c r="I102" s="84" t="s">
        <v>259</v>
      </c>
      <c r="J102" s="125"/>
      <c r="K102" s="177">
        <f t="shared" ref="K102:X102" si="61">K99/K94</f>
        <v>5.2687032757906357E-2</v>
      </c>
      <c r="L102" s="177">
        <f t="shared" si="61"/>
        <v>6.2279321609054465E-2</v>
      </c>
      <c r="M102" s="177">
        <f t="shared" si="61"/>
        <v>6.7840011220245008E-2</v>
      </c>
      <c r="N102" s="177">
        <f t="shared" si="61"/>
        <v>5.4546787015058079E-2</v>
      </c>
      <c r="O102" s="177">
        <f t="shared" si="61"/>
        <v>4.6510616875517038E-2</v>
      </c>
      <c r="P102" s="177">
        <f t="shared" si="61"/>
        <v>4.6099696524472975E-2</v>
      </c>
      <c r="Q102" s="177">
        <f t="shared" si="61"/>
        <v>4.723084708769397E-2</v>
      </c>
      <c r="R102" s="177">
        <f t="shared" si="61"/>
        <v>5.1442987599025047E-2</v>
      </c>
      <c r="S102" s="177">
        <f t="shared" si="61"/>
        <v>4.8236104215641715E-2</v>
      </c>
      <c r="T102" s="177">
        <f t="shared" si="61"/>
        <v>5.8761613586124271E-2</v>
      </c>
      <c r="U102" s="177">
        <f t="shared" si="61"/>
        <v>6.2195166895586254E-2</v>
      </c>
      <c r="V102" s="177">
        <f t="shared" si="61"/>
        <v>5.1625908311124617E-2</v>
      </c>
      <c r="W102" s="177">
        <f t="shared" si="61"/>
        <v>3.7630776127811176E-2</v>
      </c>
      <c r="X102" s="177">
        <f t="shared" si="61"/>
        <v>0</v>
      </c>
      <c r="Y102" s="70">
        <f t="shared" si="51"/>
        <v>-3.7630776127811176E-2</v>
      </c>
    </row>
    <row r="103" spans="2:27" hidden="1" x14ac:dyDescent="0.2">
      <c r="B103" s="121" t="s">
        <v>243</v>
      </c>
      <c r="C103" s="81" t="s">
        <v>291</v>
      </c>
      <c r="D103" s="81" t="s">
        <v>210</v>
      </c>
      <c r="E103" s="81" t="s">
        <v>207</v>
      </c>
      <c r="F103" s="80" t="s">
        <v>260</v>
      </c>
      <c r="G103" s="81" t="str">
        <f t="shared" si="56"/>
        <v>lending_cashloan_payroll_VDS_TOI</v>
      </c>
      <c r="H103" s="125"/>
      <c r="I103" s="130" t="s">
        <v>260</v>
      </c>
      <c r="J103" s="131">
        <f t="shared" ref="J103:X103" si="62">J104+J109+J113</f>
        <v>2430194854.2073002</v>
      </c>
      <c r="K103" s="131">
        <f t="shared" si="62"/>
        <v>237045083</v>
      </c>
      <c r="L103" s="131">
        <f t="shared" si="62"/>
        <v>207570801</v>
      </c>
      <c r="M103" s="131">
        <f t="shared" si="62"/>
        <v>211390028</v>
      </c>
      <c r="N103" s="131">
        <f t="shared" si="62"/>
        <v>187896200</v>
      </c>
      <c r="O103" s="131">
        <f t="shared" si="62"/>
        <v>229779946.2073001</v>
      </c>
      <c r="P103" s="131">
        <f t="shared" si="62"/>
        <v>248561807</v>
      </c>
      <c r="Q103" s="131">
        <f t="shared" si="62"/>
        <v>194470117</v>
      </c>
      <c r="R103" s="131">
        <f t="shared" si="62"/>
        <v>161070397</v>
      </c>
      <c r="S103" s="131">
        <f t="shared" si="62"/>
        <v>211360349</v>
      </c>
      <c r="T103" s="131">
        <f t="shared" si="62"/>
        <v>213056892</v>
      </c>
      <c r="U103" s="131">
        <f t="shared" si="62"/>
        <v>186561827</v>
      </c>
      <c r="V103" s="131">
        <f t="shared" si="62"/>
        <v>191204031</v>
      </c>
      <c r="W103" s="131">
        <f t="shared" si="62"/>
        <v>213074661</v>
      </c>
      <c r="X103" s="131">
        <f t="shared" si="62"/>
        <v>181768599</v>
      </c>
      <c r="Y103" s="70">
        <f t="shared" si="51"/>
        <v>-31306062</v>
      </c>
    </row>
    <row r="104" spans="2:27" hidden="1" x14ac:dyDescent="0.2">
      <c r="B104" s="121" t="s">
        <v>243</v>
      </c>
      <c r="C104" s="81" t="s">
        <v>291</v>
      </c>
      <c r="D104" s="81" t="s">
        <v>210</v>
      </c>
      <c r="E104" s="81" t="s">
        <v>207</v>
      </c>
      <c r="F104" s="80" t="s">
        <v>300</v>
      </c>
      <c r="G104" s="81" t="str">
        <f t="shared" si="56"/>
        <v>lending_cashloan_payroll_VDS_NII</v>
      </c>
      <c r="H104" s="125"/>
      <c r="I104" s="132" t="s">
        <v>261</v>
      </c>
      <c r="J104" s="131">
        <f t="shared" ref="J104:X104" si="63">J105-J108</f>
        <v>1623222839.2073002</v>
      </c>
      <c r="K104" s="131">
        <f t="shared" si="63"/>
        <v>182198095</v>
      </c>
      <c r="L104" s="131">
        <f t="shared" si="63"/>
        <v>169171501</v>
      </c>
      <c r="M104" s="131">
        <f t="shared" si="63"/>
        <v>159407378</v>
      </c>
      <c r="N104" s="131">
        <f t="shared" si="63"/>
        <v>138757581</v>
      </c>
      <c r="O104" s="131">
        <f t="shared" si="63"/>
        <v>149846330.2073001</v>
      </c>
      <c r="P104" s="131">
        <f t="shared" si="63"/>
        <v>151918325</v>
      </c>
      <c r="Q104" s="131">
        <f t="shared" si="63"/>
        <v>144072788</v>
      </c>
      <c r="R104" s="131">
        <f t="shared" si="63"/>
        <v>137006820</v>
      </c>
      <c r="S104" s="131">
        <f t="shared" si="63"/>
        <v>131144361</v>
      </c>
      <c r="T104" s="131">
        <f t="shared" si="63"/>
        <v>132580175</v>
      </c>
      <c r="U104" s="131">
        <f t="shared" si="63"/>
        <v>118928985</v>
      </c>
      <c r="V104" s="131">
        <f t="shared" si="63"/>
        <v>127584873</v>
      </c>
      <c r="W104" s="131">
        <f t="shared" si="63"/>
        <v>120929750</v>
      </c>
      <c r="X104" s="131">
        <f t="shared" si="63"/>
        <v>111045473</v>
      </c>
      <c r="Y104" s="70">
        <f t="shared" si="51"/>
        <v>-9884277</v>
      </c>
    </row>
    <row r="105" spans="2:27" ht="16" hidden="1" x14ac:dyDescent="0.2">
      <c r="B105" s="121" t="s">
        <v>243</v>
      </c>
      <c r="C105" s="81" t="s">
        <v>291</v>
      </c>
      <c r="D105" s="81" t="s">
        <v>210</v>
      </c>
      <c r="E105" s="81" t="s">
        <v>207</v>
      </c>
      <c r="F105" s="80" t="s">
        <v>301</v>
      </c>
      <c r="G105" s="81" t="str">
        <f t="shared" si="56"/>
        <v>lending_cashloan_payroll_VDS_CII</v>
      </c>
      <c r="H105" s="125"/>
      <c r="I105" s="134" t="s">
        <v>262</v>
      </c>
      <c r="J105" s="125">
        <f>SUM(M105:X105)</f>
        <v>2206150109</v>
      </c>
      <c r="K105" s="125">
        <f>K106+15133853-K107</f>
        <v>238040127</v>
      </c>
      <c r="L105" s="125">
        <f t="shared" ref="L105:W105" si="64">L106+K107-L107</f>
        <v>227376820</v>
      </c>
      <c r="M105" s="125">
        <f t="shared" si="64"/>
        <v>215491965</v>
      </c>
      <c r="N105" s="125">
        <f t="shared" si="64"/>
        <v>188016834</v>
      </c>
      <c r="O105" s="125">
        <f t="shared" si="64"/>
        <v>203055965</v>
      </c>
      <c r="P105" s="125">
        <f t="shared" si="64"/>
        <v>204518273</v>
      </c>
      <c r="Q105" s="125">
        <f t="shared" si="64"/>
        <v>197581171</v>
      </c>
      <c r="R105" s="125">
        <f t="shared" si="64"/>
        <v>186085677</v>
      </c>
      <c r="S105" s="125">
        <f t="shared" si="64"/>
        <v>178138129</v>
      </c>
      <c r="T105" s="125">
        <f t="shared" si="64"/>
        <v>178799172</v>
      </c>
      <c r="U105" s="125">
        <f t="shared" si="64"/>
        <v>163671328</v>
      </c>
      <c r="V105" s="125">
        <f t="shared" si="64"/>
        <v>173836741</v>
      </c>
      <c r="W105" s="125">
        <f t="shared" si="64"/>
        <v>164259037</v>
      </c>
      <c r="X105" s="125">
        <f>X106+W107-X107</f>
        <v>152695817</v>
      </c>
      <c r="Y105" s="70">
        <f t="shared" si="51"/>
        <v>-11563220</v>
      </c>
    </row>
    <row r="106" spans="2:27" hidden="1" x14ac:dyDescent="0.2">
      <c r="B106" s="121" t="s">
        <v>243</v>
      </c>
      <c r="C106" s="81" t="s">
        <v>291</v>
      </c>
      <c r="D106" s="81" t="s">
        <v>210</v>
      </c>
      <c r="E106" s="81" t="s">
        <v>207</v>
      </c>
      <c r="F106" s="80"/>
      <c r="G106" s="81" t="str">
        <f t="shared" si="56"/>
        <v>lending_cashloan_payroll_VDS_</v>
      </c>
      <c r="H106" s="125"/>
      <c r="I106" s="160" t="s">
        <v>263</v>
      </c>
      <c r="J106" s="136">
        <f>SUM(M106:X106)</f>
        <v>2198115348</v>
      </c>
      <c r="K106" s="161">
        <v>238710127</v>
      </c>
      <c r="L106" s="161">
        <v>228269605</v>
      </c>
      <c r="M106" s="161">
        <v>215808377</v>
      </c>
      <c r="N106" s="125">
        <v>183553468</v>
      </c>
      <c r="O106" s="125">
        <v>203109778</v>
      </c>
      <c r="P106" s="125">
        <v>203787674</v>
      </c>
      <c r="Q106" s="125">
        <v>200447127</v>
      </c>
      <c r="R106" s="125">
        <v>183987320</v>
      </c>
      <c r="S106" s="125">
        <v>180134709</v>
      </c>
      <c r="T106" s="125">
        <v>177793395</v>
      </c>
      <c r="U106" s="125">
        <v>162715192</v>
      </c>
      <c r="V106" s="125">
        <v>173146207</v>
      </c>
      <c r="W106" s="125">
        <v>161347778</v>
      </c>
      <c r="X106" s="161">
        <v>152284323</v>
      </c>
      <c r="Y106" s="70">
        <f t="shared" si="51"/>
        <v>-9063455</v>
      </c>
    </row>
    <row r="107" spans="2:27" hidden="1" x14ac:dyDescent="0.2">
      <c r="B107" s="121" t="s">
        <v>243</v>
      </c>
      <c r="C107" s="81" t="s">
        <v>291</v>
      </c>
      <c r="D107" s="81" t="s">
        <v>210</v>
      </c>
      <c r="E107" s="81" t="s">
        <v>207</v>
      </c>
      <c r="F107" s="124"/>
      <c r="G107" s="81" t="str">
        <f t="shared" si="56"/>
        <v>lending_cashloan_payroll_VDS_</v>
      </c>
      <c r="H107" s="125"/>
      <c r="I107" s="160" t="s">
        <v>264</v>
      </c>
      <c r="J107" s="136"/>
      <c r="K107" s="125">
        <v>15803853</v>
      </c>
      <c r="L107" s="125">
        <f>15585138+ 1111500</f>
        <v>16696638</v>
      </c>
      <c r="M107" s="125">
        <v>17013050</v>
      </c>
      <c r="N107" s="125">
        <v>12549684</v>
      </c>
      <c r="O107" s="125">
        <v>12603497</v>
      </c>
      <c r="P107" s="125">
        <v>11872898</v>
      </c>
      <c r="Q107" s="125">
        <v>14738854</v>
      </c>
      <c r="R107" s="125">
        <v>12640497</v>
      </c>
      <c r="S107" s="125">
        <v>14637077</v>
      </c>
      <c r="T107" s="125">
        <v>13631300</v>
      </c>
      <c r="U107" s="125">
        <v>12675164</v>
      </c>
      <c r="V107" s="125">
        <v>11984630</v>
      </c>
      <c r="W107" s="125">
        <v>9073371</v>
      </c>
      <c r="X107" s="125">
        <v>8661877</v>
      </c>
      <c r="Y107" s="70">
        <f t="shared" si="51"/>
        <v>-411494</v>
      </c>
      <c r="Z107" s="70"/>
      <c r="AA107" s="70"/>
    </row>
    <row r="108" spans="2:27" ht="16" hidden="1" x14ac:dyDescent="0.2">
      <c r="B108" s="121" t="s">
        <v>243</v>
      </c>
      <c r="C108" s="81" t="s">
        <v>291</v>
      </c>
      <c r="D108" s="81" t="s">
        <v>210</v>
      </c>
      <c r="E108" s="81" t="s">
        <v>207</v>
      </c>
      <c r="F108" s="80" t="s">
        <v>62</v>
      </c>
      <c r="G108" s="81" t="str">
        <f t="shared" si="56"/>
        <v>lending_cashloan_payroll_VDS_COF</v>
      </c>
      <c r="H108" s="125"/>
      <c r="I108" s="134" t="s">
        <v>62</v>
      </c>
      <c r="J108" s="125">
        <f>SUM(M108:X108)</f>
        <v>582927269.79269993</v>
      </c>
      <c r="K108" s="154">
        <v>55842032</v>
      </c>
      <c r="L108" s="154">
        <v>58205319</v>
      </c>
      <c r="M108" s="125">
        <v>56084587</v>
      </c>
      <c r="N108" s="154">
        <v>49259253</v>
      </c>
      <c r="O108" s="154">
        <v>53209634.792699903</v>
      </c>
      <c r="P108" s="154">
        <v>52599948</v>
      </c>
      <c r="Q108" s="125">
        <v>53508383</v>
      </c>
      <c r="R108" s="125">
        <v>49078857</v>
      </c>
      <c r="S108" s="125">
        <v>46993768</v>
      </c>
      <c r="T108" s="125">
        <v>46218997</v>
      </c>
      <c r="U108" s="82">
        <v>44742343</v>
      </c>
      <c r="V108" s="125">
        <v>46251868</v>
      </c>
      <c r="W108" s="125">
        <v>43329287</v>
      </c>
      <c r="X108" s="154">
        <v>41650344</v>
      </c>
      <c r="Y108" s="70">
        <f t="shared" si="51"/>
        <v>-1678943</v>
      </c>
    </row>
    <row r="109" spans="2:27" hidden="1" x14ac:dyDescent="0.2">
      <c r="B109" s="121" t="s">
        <v>243</v>
      </c>
      <c r="C109" s="81" t="s">
        <v>291</v>
      </c>
      <c r="D109" s="81" t="s">
        <v>210</v>
      </c>
      <c r="E109" s="81" t="s">
        <v>207</v>
      </c>
      <c r="F109" s="80" t="s">
        <v>302</v>
      </c>
      <c r="G109" s="81" t="str">
        <f t="shared" si="56"/>
        <v>lending_cashloan_payroll_VDS_NFI</v>
      </c>
      <c r="H109" s="125"/>
      <c r="I109" s="132" t="s">
        <v>265</v>
      </c>
      <c r="J109" s="131">
        <f t="shared" ref="J109:X109" si="65">SUM(J110:J112)</f>
        <v>577957482</v>
      </c>
      <c r="K109" s="131">
        <f t="shared" si="65"/>
        <v>54846988</v>
      </c>
      <c r="L109" s="131">
        <f t="shared" si="65"/>
        <v>38399300</v>
      </c>
      <c r="M109" s="131">
        <f t="shared" si="65"/>
        <v>51982650</v>
      </c>
      <c r="N109" s="131">
        <f t="shared" si="65"/>
        <v>46728619</v>
      </c>
      <c r="O109" s="131">
        <f t="shared" si="65"/>
        <v>75787836</v>
      </c>
      <c r="P109" s="131">
        <f t="shared" si="65"/>
        <v>53961582</v>
      </c>
      <c r="Q109" s="131">
        <f t="shared" si="65"/>
        <v>50397329</v>
      </c>
      <c r="R109" s="131">
        <f t="shared" si="65"/>
        <v>24047326</v>
      </c>
      <c r="S109" s="131">
        <f t="shared" si="65"/>
        <v>39441834</v>
      </c>
      <c r="T109" s="131">
        <f t="shared" si="65"/>
        <v>51675009</v>
      </c>
      <c r="U109" s="131">
        <f t="shared" si="65"/>
        <v>44511028</v>
      </c>
      <c r="V109" s="131">
        <f t="shared" si="65"/>
        <v>56807810</v>
      </c>
      <c r="W109" s="131">
        <f t="shared" si="65"/>
        <v>39949094</v>
      </c>
      <c r="X109" s="131">
        <f t="shared" si="65"/>
        <v>42667365</v>
      </c>
      <c r="Y109" s="70">
        <f t="shared" si="51"/>
        <v>2718271</v>
      </c>
    </row>
    <row r="110" spans="2:27" ht="16" hidden="1" x14ac:dyDescent="0.2">
      <c r="B110" s="121" t="s">
        <v>243</v>
      </c>
      <c r="C110" s="81" t="s">
        <v>291</v>
      </c>
      <c r="D110" s="81" t="s">
        <v>210</v>
      </c>
      <c r="E110" s="81" t="s">
        <v>207</v>
      </c>
      <c r="F110" s="80" t="s">
        <v>303</v>
      </c>
      <c r="G110" s="81" t="str">
        <f t="shared" si="56"/>
        <v>lending_cashloan_payroll_VDS_insurance_fee</v>
      </c>
      <c r="H110" s="125"/>
      <c r="I110" s="134" t="s">
        <v>266</v>
      </c>
      <c r="J110" s="136">
        <f>SUM(M110:X110)</f>
        <v>398925604</v>
      </c>
      <c r="K110" s="136">
        <v>51673418</v>
      </c>
      <c r="L110" s="164">
        <v>33863855</v>
      </c>
      <c r="M110" s="164">
        <v>37631263</v>
      </c>
      <c r="N110" s="64">
        <v>38059377</v>
      </c>
      <c r="O110" s="162">
        <v>62247845</v>
      </c>
      <c r="P110" s="162">
        <v>41270236</v>
      </c>
      <c r="Q110" s="162">
        <v>39129663</v>
      </c>
      <c r="R110" s="162">
        <v>11987205</v>
      </c>
      <c r="S110" s="162">
        <v>28225722</v>
      </c>
      <c r="T110" s="163">
        <v>34400299</v>
      </c>
      <c r="U110" s="163">
        <v>27982412</v>
      </c>
      <c r="V110" s="136">
        <v>34778956</v>
      </c>
      <c r="W110" s="136">
        <v>23089099</v>
      </c>
      <c r="X110" s="136">
        <v>20123527</v>
      </c>
      <c r="Y110" s="70">
        <f t="shared" si="51"/>
        <v>-2965572</v>
      </c>
    </row>
    <row r="111" spans="2:27" ht="16" hidden="1" x14ac:dyDescent="0.2">
      <c r="B111" s="121" t="s">
        <v>243</v>
      </c>
      <c r="C111" s="81" t="s">
        <v>291</v>
      </c>
      <c r="D111" s="81" t="s">
        <v>210</v>
      </c>
      <c r="E111" s="81" t="s">
        <v>207</v>
      </c>
      <c r="F111" s="80" t="s">
        <v>304</v>
      </c>
      <c r="G111" s="81" t="str">
        <f t="shared" si="56"/>
        <v>lending_cashloan_payroll_VDS_early_terminate_fee</v>
      </c>
      <c r="H111" s="125"/>
      <c r="I111" s="134" t="s">
        <v>267</v>
      </c>
      <c r="J111" s="136">
        <f>SUM(M111:X111)</f>
        <v>179031878</v>
      </c>
      <c r="K111" s="136">
        <v>3173570</v>
      </c>
      <c r="L111" s="136">
        <v>4535445</v>
      </c>
      <c r="M111" s="136">
        <v>14351387</v>
      </c>
      <c r="N111" s="162">
        <v>8669242</v>
      </c>
      <c r="O111" s="162">
        <v>13539991</v>
      </c>
      <c r="P111" s="162">
        <v>12691346</v>
      </c>
      <c r="Q111" s="162">
        <v>11267666</v>
      </c>
      <c r="R111" s="162">
        <v>12060121</v>
      </c>
      <c r="S111" s="162">
        <v>11216112</v>
      </c>
      <c r="T111" s="162">
        <v>17274710</v>
      </c>
      <c r="U111" s="162">
        <v>16528616</v>
      </c>
      <c r="V111" s="162">
        <v>22028854</v>
      </c>
      <c r="W111" s="136">
        <v>16859995</v>
      </c>
      <c r="X111" s="136">
        <v>22543838</v>
      </c>
      <c r="Y111" s="70">
        <f t="shared" si="51"/>
        <v>5683843</v>
      </c>
    </row>
    <row r="112" spans="2:27" ht="16" hidden="1" x14ac:dyDescent="0.2">
      <c r="B112" s="121" t="s">
        <v>243</v>
      </c>
      <c r="C112" s="81" t="s">
        <v>291</v>
      </c>
      <c r="D112" s="81" t="s">
        <v>210</v>
      </c>
      <c r="E112" s="81" t="s">
        <v>207</v>
      </c>
      <c r="F112" s="80" t="s">
        <v>305</v>
      </c>
      <c r="G112" s="81" t="str">
        <f t="shared" si="56"/>
        <v>lending_cashloan_payroll_VDS_loan_grant_fee</v>
      </c>
      <c r="H112" s="125"/>
      <c r="I112" s="134" t="s">
        <v>187</v>
      </c>
      <c r="J112" s="136">
        <f>SUM(M112:X112)</f>
        <v>0</v>
      </c>
      <c r="K112" s="136"/>
      <c r="L112" s="136"/>
      <c r="M112" s="162"/>
      <c r="N112" s="162"/>
      <c r="O112" s="162"/>
      <c r="P112" s="162"/>
      <c r="Q112" s="162"/>
      <c r="R112" s="136"/>
      <c r="S112" s="164"/>
      <c r="T112" s="136"/>
      <c r="U112" s="136"/>
      <c r="V112" s="136"/>
      <c r="W112" s="136"/>
      <c r="X112" s="136"/>
      <c r="Y112" s="70">
        <f t="shared" si="51"/>
        <v>0</v>
      </c>
    </row>
    <row r="113" spans="2:25" s="54" customFormat="1" hidden="1" x14ac:dyDescent="0.2">
      <c r="B113" s="121" t="s">
        <v>243</v>
      </c>
      <c r="C113" s="81" t="s">
        <v>291</v>
      </c>
      <c r="D113" s="81" t="s">
        <v>210</v>
      </c>
      <c r="E113" s="138" t="s">
        <v>207</v>
      </c>
      <c r="F113" s="80" t="s">
        <v>306</v>
      </c>
      <c r="G113" s="138" t="str">
        <f t="shared" si="56"/>
        <v>lending_cashloan_payroll_VDS_other_TOI</v>
      </c>
      <c r="H113" s="125"/>
      <c r="I113" s="132" t="s">
        <v>269</v>
      </c>
      <c r="J113" s="139">
        <f>SUM(M113:X113)</f>
        <v>229014533</v>
      </c>
      <c r="K113" s="178"/>
      <c r="L113" s="178"/>
      <c r="M113" s="179"/>
      <c r="N113" s="166">
        <v>2410000</v>
      </c>
      <c r="O113" s="179">
        <v>4145780</v>
      </c>
      <c r="P113" s="179">
        <v>42681900</v>
      </c>
      <c r="Q113" s="179">
        <v>0</v>
      </c>
      <c r="R113" s="179">
        <v>16251</v>
      </c>
      <c r="S113" s="179">
        <v>40774154</v>
      </c>
      <c r="T113" s="178">
        <v>28801708</v>
      </c>
      <c r="U113" s="178">
        <v>23121814</v>
      </c>
      <c r="V113" s="139">
        <v>6811348</v>
      </c>
      <c r="W113" s="139">
        <v>52195817</v>
      </c>
      <c r="X113" s="178">
        <v>28055761</v>
      </c>
      <c r="Y113" s="70">
        <f t="shared" si="51"/>
        <v>-24140056</v>
      </c>
    </row>
    <row r="114" spans="2:25" hidden="1" x14ac:dyDescent="0.2">
      <c r="B114" s="121" t="s">
        <v>243</v>
      </c>
      <c r="C114" s="81" t="s">
        <v>291</v>
      </c>
      <c r="D114" s="81" t="s">
        <v>210</v>
      </c>
      <c r="E114" s="81" t="s">
        <v>207</v>
      </c>
      <c r="F114" s="80" t="s">
        <v>307</v>
      </c>
      <c r="G114" s="81" t="str">
        <f t="shared" si="56"/>
        <v>lending_cashloan_payroll_VDS_provision</v>
      </c>
      <c r="H114" s="125"/>
      <c r="I114" s="140" t="s">
        <v>270</v>
      </c>
      <c r="J114" s="131">
        <f>SUM(M114:X114)</f>
        <v>970848165</v>
      </c>
      <c r="K114" s="131">
        <v>27426874</v>
      </c>
      <c r="L114" s="168">
        <v>27102539</v>
      </c>
      <c r="M114" s="140">
        <v>152138070</v>
      </c>
      <c r="N114" s="140">
        <v>99426084</v>
      </c>
      <c r="O114" s="140">
        <f>55262397+4683219</f>
        <v>59945616</v>
      </c>
      <c r="P114" s="140">
        <v>69276261</v>
      </c>
      <c r="Q114" s="140">
        <v>98235916</v>
      </c>
      <c r="R114" s="140">
        <f>71893865+6238322</f>
        <v>78132187</v>
      </c>
      <c r="S114" s="167">
        <v>40848948</v>
      </c>
      <c r="T114" s="168">
        <v>82587481</v>
      </c>
      <c r="U114" s="168">
        <f>78227801+7634385</f>
        <v>85862186</v>
      </c>
      <c r="V114" s="168">
        <v>116467239</v>
      </c>
      <c r="W114" s="168">
        <v>39289705</v>
      </c>
      <c r="X114" s="140">
        <v>48638472</v>
      </c>
      <c r="Y114" s="70">
        <f t="shared" si="51"/>
        <v>9348767</v>
      </c>
    </row>
    <row r="115" spans="2:25" hidden="1" x14ac:dyDescent="0.2">
      <c r="B115" s="121" t="s">
        <v>243</v>
      </c>
      <c r="C115" s="81" t="s">
        <v>291</v>
      </c>
      <c r="D115" s="81" t="s">
        <v>210</v>
      </c>
      <c r="E115" s="81" t="s">
        <v>207</v>
      </c>
      <c r="F115" s="80" t="s">
        <v>308</v>
      </c>
      <c r="G115" s="81" t="str">
        <f t="shared" si="56"/>
        <v>lending_cashloan_payroll_VDS_variable_cost</v>
      </c>
      <c r="H115" s="125"/>
      <c r="I115" s="140" t="s">
        <v>271</v>
      </c>
      <c r="J115" s="131">
        <f t="shared" ref="J115:X115" si="66">SUM(J116:J123)</f>
        <v>974099606.65840149</v>
      </c>
      <c r="K115" s="131">
        <f t="shared" si="66"/>
        <v>58707692.35680265</v>
      </c>
      <c r="L115" s="131">
        <f t="shared" si="66"/>
        <v>23143211.618542761</v>
      </c>
      <c r="M115" s="131">
        <f t="shared" si="66"/>
        <v>106214151.0435885</v>
      </c>
      <c r="N115" s="131">
        <f t="shared" si="66"/>
        <v>92013285.246371076</v>
      </c>
      <c r="O115" s="131">
        <f t="shared" si="66"/>
        <v>58694913.976740874</v>
      </c>
      <c r="P115" s="131">
        <f t="shared" si="66"/>
        <v>107490047.98453891</v>
      </c>
      <c r="Q115" s="131">
        <f t="shared" si="66"/>
        <v>74112452.633180633</v>
      </c>
      <c r="R115" s="131">
        <f t="shared" si="66"/>
        <v>48677378.399210863</v>
      </c>
      <c r="S115" s="131">
        <f t="shared" si="66"/>
        <v>80429643.013536155</v>
      </c>
      <c r="T115" s="131">
        <f t="shared" si="66"/>
        <v>61961475.309786268</v>
      </c>
      <c r="U115" s="131">
        <f t="shared" si="66"/>
        <v>69509581.075507611</v>
      </c>
      <c r="V115" s="131">
        <f t="shared" si="66"/>
        <v>95039928.003000811</v>
      </c>
      <c r="W115" s="131">
        <f t="shared" si="66"/>
        <v>102806119.16631094</v>
      </c>
      <c r="X115" s="131">
        <f t="shared" si="66"/>
        <v>77150630.806628838</v>
      </c>
      <c r="Y115" s="70">
        <f t="shared" si="51"/>
        <v>-25655488.359682098</v>
      </c>
    </row>
    <row r="116" spans="2:25" ht="16" hidden="1" x14ac:dyDescent="0.2">
      <c r="B116" s="121" t="s">
        <v>243</v>
      </c>
      <c r="C116" s="81" t="s">
        <v>291</v>
      </c>
      <c r="D116" s="81" t="s">
        <v>210</v>
      </c>
      <c r="E116" s="81" t="s">
        <v>207</v>
      </c>
      <c r="F116" s="80" t="s">
        <v>198</v>
      </c>
      <c r="G116" s="81" t="str">
        <f t="shared" si="56"/>
        <v>lending_cashloan_payroll_VDS_marketing_acquisition_cost</v>
      </c>
      <c r="H116" s="125"/>
      <c r="I116" s="142" t="s">
        <v>272</v>
      </c>
      <c r="J116" s="125">
        <f t="shared" ref="J116:J121" si="67">SUM(M116:X116)</f>
        <v>0</v>
      </c>
      <c r="K116" s="122"/>
      <c r="L116" s="122"/>
      <c r="M116" s="84"/>
      <c r="N116" s="84"/>
      <c r="O116" s="84"/>
      <c r="P116" s="122"/>
      <c r="Q116" s="84"/>
      <c r="R116" s="122"/>
      <c r="S116" s="122"/>
      <c r="T116" s="125"/>
      <c r="U116" s="125"/>
      <c r="V116" s="122"/>
      <c r="W116" s="122"/>
      <c r="X116" s="122"/>
      <c r="Y116" s="70">
        <f t="shared" si="51"/>
        <v>0</v>
      </c>
    </row>
    <row r="117" spans="2:25" ht="16" hidden="1" x14ac:dyDescent="0.2">
      <c r="B117" s="121" t="s">
        <v>243</v>
      </c>
      <c r="C117" s="81" t="s">
        <v>291</v>
      </c>
      <c r="D117" s="81" t="s">
        <v>210</v>
      </c>
      <c r="E117" s="81" t="s">
        <v>207</v>
      </c>
      <c r="F117" s="80" t="s">
        <v>309</v>
      </c>
      <c r="G117" s="81" t="str">
        <f t="shared" si="56"/>
        <v>lending_cashloan_payroll_VDS_partner_acquisition_cost</v>
      </c>
      <c r="H117" s="125"/>
      <c r="I117" s="142" t="s">
        <v>202</v>
      </c>
      <c r="J117" s="131">
        <f t="shared" si="67"/>
        <v>889212549</v>
      </c>
      <c r="K117" s="125">
        <v>49302565</v>
      </c>
      <c r="L117" s="64">
        <v>11664195</v>
      </c>
      <c r="M117" s="84">
        <v>93953531</v>
      </c>
      <c r="N117" s="169">
        <v>81617954</v>
      </c>
      <c r="O117" s="84">
        <v>49941751</v>
      </c>
      <c r="P117" s="84">
        <v>99255607</v>
      </c>
      <c r="Q117" s="84">
        <v>65437400</v>
      </c>
      <c r="R117" s="84">
        <v>45002335</v>
      </c>
      <c r="S117" s="84">
        <v>75253022</v>
      </c>
      <c r="T117" s="84">
        <v>56197853</v>
      </c>
      <c r="U117" s="84">
        <v>62706447</v>
      </c>
      <c r="V117" s="82">
        <v>89938753</v>
      </c>
      <c r="W117" s="82">
        <v>97452736</v>
      </c>
      <c r="X117" s="82">
        <v>72455160</v>
      </c>
      <c r="Y117" s="70">
        <f t="shared" si="51"/>
        <v>-24997576</v>
      </c>
    </row>
    <row r="118" spans="2:25" ht="16" hidden="1" x14ac:dyDescent="0.2">
      <c r="B118" s="121" t="s">
        <v>243</v>
      </c>
      <c r="C118" s="81" t="s">
        <v>291</v>
      </c>
      <c r="D118" s="81" t="s">
        <v>210</v>
      </c>
      <c r="E118" s="81" t="s">
        <v>207</v>
      </c>
      <c r="F118" s="80" t="s">
        <v>310</v>
      </c>
      <c r="G118" s="81" t="str">
        <f t="shared" si="56"/>
        <v>lending_cashloan_payroll_VDS_underwritting</v>
      </c>
      <c r="H118" s="125"/>
      <c r="I118" s="142" t="s">
        <v>273</v>
      </c>
      <c r="J118" s="125">
        <f t="shared" si="67"/>
        <v>27849339.300951988</v>
      </c>
      <c r="K118" s="125">
        <v>3058090.7546046409</v>
      </c>
      <c r="L118" s="125">
        <v>3215093.0592501918</v>
      </c>
      <c r="M118" s="170">
        <v>4599810.8074553562</v>
      </c>
      <c r="N118" s="170">
        <v>2101043.6653070296</v>
      </c>
      <c r="O118" s="170">
        <v>2495216.1118328101</v>
      </c>
      <c r="P118" s="170">
        <v>1816375.9131281031</v>
      </c>
      <c r="Q118" s="170">
        <v>2148250.827557411</v>
      </c>
      <c r="R118" s="170">
        <v>1183884.906570106</v>
      </c>
      <c r="S118" s="125">
        <v>1694115.2478371763</v>
      </c>
      <c r="T118" s="125">
        <v>2805481.2787715243</v>
      </c>
      <c r="U118" s="125">
        <v>3155885.4948779121</v>
      </c>
      <c r="V118" s="125">
        <v>2328550.6507648891</v>
      </c>
      <c r="W118" s="125">
        <v>1769147.8690122915</v>
      </c>
      <c r="X118" s="125">
        <v>1751576.5278373724</v>
      </c>
      <c r="Y118" s="70">
        <f t="shared" si="51"/>
        <v>-17571.341174919158</v>
      </c>
    </row>
    <row r="119" spans="2:25" ht="16" hidden="1" x14ac:dyDescent="0.2">
      <c r="B119" s="121" t="s">
        <v>243</v>
      </c>
      <c r="C119" s="81" t="s">
        <v>291</v>
      </c>
      <c r="D119" s="81" t="s">
        <v>210</v>
      </c>
      <c r="E119" s="81" t="s">
        <v>207</v>
      </c>
      <c r="F119" s="80" t="s">
        <v>311</v>
      </c>
      <c r="G119" s="81" t="str">
        <f t="shared" si="56"/>
        <v>lending_cashloan_payroll_VDS_e_contract</v>
      </c>
      <c r="H119" s="125"/>
      <c r="I119" s="142" t="s">
        <v>274</v>
      </c>
      <c r="J119" s="125">
        <f t="shared" si="67"/>
        <v>862404</v>
      </c>
      <c r="K119" s="125">
        <v>74830</v>
      </c>
      <c r="L119" s="84">
        <v>69704</v>
      </c>
      <c r="M119" s="84">
        <v>67958</v>
      </c>
      <c r="N119" s="84">
        <v>58048</v>
      </c>
      <c r="O119" s="84">
        <v>88102</v>
      </c>
      <c r="P119" s="84">
        <v>153584</v>
      </c>
      <c r="Q119" s="84">
        <v>56504</v>
      </c>
      <c r="R119" s="143">
        <v>43891</v>
      </c>
      <c r="S119" s="125">
        <v>93600</v>
      </c>
      <c r="T119" s="125">
        <v>115200</v>
      </c>
      <c r="U119" s="125">
        <v>63738</v>
      </c>
      <c r="V119" s="125">
        <v>50015</v>
      </c>
      <c r="W119" s="125">
        <v>41734</v>
      </c>
      <c r="X119" s="84">
        <v>30030</v>
      </c>
      <c r="Y119" s="70">
        <f t="shared" si="51"/>
        <v>-11704</v>
      </c>
    </row>
    <row r="120" spans="2:25" ht="16" hidden="1" x14ac:dyDescent="0.2">
      <c r="B120" s="121" t="s">
        <v>243</v>
      </c>
      <c r="C120" s="81" t="s">
        <v>291</v>
      </c>
      <c r="D120" s="81" t="s">
        <v>210</v>
      </c>
      <c r="E120" s="81" t="s">
        <v>207</v>
      </c>
      <c r="F120" s="80" t="s">
        <v>312</v>
      </c>
      <c r="G120" s="81" t="str">
        <f t="shared" si="56"/>
        <v>lending_cashloan_payroll_VDS_nfc</v>
      </c>
      <c r="H120" s="125"/>
      <c r="I120" s="142" t="s">
        <v>275</v>
      </c>
      <c r="J120" s="125">
        <f t="shared" si="67"/>
        <v>1568863.1091064918</v>
      </c>
      <c r="K120" s="125"/>
      <c r="L120" s="84"/>
      <c r="M120" s="84">
        <v>202521.72185005932</v>
      </c>
      <c r="N120" s="84">
        <v>195974.54864593782</v>
      </c>
      <c r="O120" s="84">
        <v>294938.67047891353</v>
      </c>
      <c r="P120" s="84">
        <v>157443.88022843029</v>
      </c>
      <c r="Q120" s="84">
        <v>148357.02225633155</v>
      </c>
      <c r="R120" s="64">
        <v>47523.523964901455</v>
      </c>
      <c r="S120" s="125">
        <v>87011.422459893045</v>
      </c>
      <c r="T120" s="125">
        <v>111077.94733800477</v>
      </c>
      <c r="U120" s="125">
        <v>88258.682588238938</v>
      </c>
      <c r="V120" s="125">
        <v>97229.059005821022</v>
      </c>
      <c r="W120" s="125">
        <v>75329.263301500687</v>
      </c>
      <c r="X120" s="84">
        <v>63197.366988459027</v>
      </c>
      <c r="Y120" s="70">
        <f t="shared" si="51"/>
        <v>-12131.89631304166</v>
      </c>
    </row>
    <row r="121" spans="2:25" ht="16" hidden="1" x14ac:dyDescent="0.2">
      <c r="B121" s="121" t="s">
        <v>243</v>
      </c>
      <c r="C121" s="81" t="s">
        <v>291</v>
      </c>
      <c r="D121" s="81" t="s">
        <v>210</v>
      </c>
      <c r="E121" s="81" t="s">
        <v>207</v>
      </c>
      <c r="F121" s="80" t="s">
        <v>313</v>
      </c>
      <c r="G121" s="81" t="str">
        <f t="shared" si="56"/>
        <v>lending_cashloan_payroll_VDS_collection</v>
      </c>
      <c r="H121" s="125"/>
      <c r="I121" s="142" t="s">
        <v>196</v>
      </c>
      <c r="J121" s="125">
        <f t="shared" si="67"/>
        <v>50407278.422371827</v>
      </c>
      <c r="K121" s="125">
        <v>6111672.1736246869</v>
      </c>
      <c r="L121" s="125">
        <v>7799233.3038669759</v>
      </c>
      <c r="M121" s="84">
        <v>6900900.2744143726</v>
      </c>
      <c r="N121" s="84">
        <v>7784343.5625774311</v>
      </c>
      <c r="O121" s="84">
        <v>5548340.2769982796</v>
      </c>
      <c r="P121" s="170">
        <v>5596172.0528499046</v>
      </c>
      <c r="Q121" s="84">
        <v>5931697.6395682981</v>
      </c>
      <c r="R121" s="84">
        <v>2076362.2876051844</v>
      </c>
      <c r="S121" s="84">
        <v>2878082</v>
      </c>
      <c r="T121" s="125">
        <v>2710488.2539015333</v>
      </c>
      <c r="U121" s="125">
        <v>3093620.5729698474</v>
      </c>
      <c r="V121" s="125">
        <v>2218083.4200152182</v>
      </c>
      <c r="W121" s="125">
        <v>3111105.5265640644</v>
      </c>
      <c r="X121" s="125">
        <v>2558082.5549077033</v>
      </c>
      <c r="Y121" s="70">
        <f t="shared" si="51"/>
        <v>-553022.97165636113</v>
      </c>
    </row>
    <row r="122" spans="2:25" ht="16" hidden="1" x14ac:dyDescent="0.2">
      <c r="B122" s="121" t="s">
        <v>243</v>
      </c>
      <c r="C122" s="81" t="s">
        <v>291</v>
      </c>
      <c r="D122" s="81" t="s">
        <v>210</v>
      </c>
      <c r="E122" s="81" t="s">
        <v>207</v>
      </c>
      <c r="F122" s="80" t="s">
        <v>314</v>
      </c>
      <c r="G122" s="81" t="str">
        <f t="shared" si="56"/>
        <v>lending_cashloan_payroll_VDS_promotion</v>
      </c>
      <c r="H122" s="125"/>
      <c r="I122" s="142" t="s">
        <v>276</v>
      </c>
      <c r="J122" s="125"/>
      <c r="K122" s="125"/>
      <c r="L122" s="125"/>
      <c r="M122" s="84"/>
      <c r="N122" s="84"/>
      <c r="O122" s="84"/>
      <c r="P122" s="170"/>
      <c r="Q122" s="84"/>
      <c r="R122" s="170"/>
      <c r="S122" s="84"/>
      <c r="T122" s="125"/>
      <c r="U122" s="125"/>
      <c r="V122" s="125"/>
      <c r="W122" s="125"/>
      <c r="X122" s="125"/>
      <c r="Y122" s="70">
        <f t="shared" si="51"/>
        <v>0</v>
      </c>
    </row>
    <row r="123" spans="2:25" ht="16" hidden="1" x14ac:dyDescent="0.2">
      <c r="B123" s="121" t="s">
        <v>243</v>
      </c>
      <c r="C123" s="81" t="s">
        <v>291</v>
      </c>
      <c r="D123" s="81" t="s">
        <v>210</v>
      </c>
      <c r="E123" s="81" t="s">
        <v>207</v>
      </c>
      <c r="F123" s="80" t="s">
        <v>315</v>
      </c>
      <c r="G123" s="81" t="str">
        <f t="shared" si="56"/>
        <v>lending_cashloan_payroll_VDS_sms</v>
      </c>
      <c r="H123" s="125"/>
      <c r="I123" s="144" t="s">
        <v>197</v>
      </c>
      <c r="J123" s="125">
        <f>SUM(M123:X123)</f>
        <v>4199172.825971147</v>
      </c>
      <c r="K123" s="143">
        <v>160534.42857332283</v>
      </c>
      <c r="L123" s="143">
        <v>394986.2554255951</v>
      </c>
      <c r="M123" s="143">
        <v>489429.23986872239</v>
      </c>
      <c r="N123" s="143">
        <v>255921.4698406783</v>
      </c>
      <c r="O123" s="143">
        <v>326565.91743086989</v>
      </c>
      <c r="P123" s="143">
        <v>510865.13833247829</v>
      </c>
      <c r="Q123" s="143">
        <v>390243.14379859401</v>
      </c>
      <c r="R123" s="64">
        <v>323381.6810706699</v>
      </c>
      <c r="S123" s="125">
        <v>423812.34323908278</v>
      </c>
      <c r="T123" s="125">
        <v>21374.829775197468</v>
      </c>
      <c r="U123" s="125">
        <v>401631.32507160294</v>
      </c>
      <c r="V123" s="125">
        <v>407296.87321488018</v>
      </c>
      <c r="W123" s="125">
        <v>356066.50743307447</v>
      </c>
      <c r="X123" s="84">
        <v>292584.35689529631</v>
      </c>
      <c r="Y123" s="70">
        <f t="shared" si="51"/>
        <v>-63482.150537778158</v>
      </c>
    </row>
    <row r="124" spans="2:25" ht="16" hidden="1" thickTop="1" x14ac:dyDescent="0.2">
      <c r="B124" s="121" t="s">
        <v>243</v>
      </c>
      <c r="C124" s="81" t="s">
        <v>291</v>
      </c>
      <c r="D124" s="81" t="s">
        <v>210</v>
      </c>
      <c r="E124" s="81" t="s">
        <v>207</v>
      </c>
      <c r="F124" s="80" t="s">
        <v>316</v>
      </c>
      <c r="G124" s="81" t="str">
        <f t="shared" si="56"/>
        <v>lending_cashloan_payroll_VDS_profit_before_overhead</v>
      </c>
      <c r="H124" s="125"/>
      <c r="I124" s="145" t="s">
        <v>289</v>
      </c>
      <c r="J124" s="145">
        <f t="shared" ref="J124:X124" si="68">J103-J114-J115</f>
        <v>485247082.5488987</v>
      </c>
      <c r="K124" s="145">
        <f t="shared" si="68"/>
        <v>150910516.64319736</v>
      </c>
      <c r="L124" s="145">
        <f t="shared" si="68"/>
        <v>157325050.38145724</v>
      </c>
      <c r="M124" s="145">
        <f t="shared" si="68"/>
        <v>-46962193.043588504</v>
      </c>
      <c r="N124" s="145">
        <f t="shared" si="68"/>
        <v>-3543169.2463710755</v>
      </c>
      <c r="O124" s="145">
        <f t="shared" si="68"/>
        <v>111139416.23055923</v>
      </c>
      <c r="P124" s="145">
        <f t="shared" si="68"/>
        <v>71795498.015461087</v>
      </c>
      <c r="Q124" s="145">
        <f t="shared" si="68"/>
        <v>22121748.366819367</v>
      </c>
      <c r="R124" s="145">
        <f t="shared" si="68"/>
        <v>34260831.600789137</v>
      </c>
      <c r="S124" s="145">
        <f t="shared" si="68"/>
        <v>90081757.986463845</v>
      </c>
      <c r="T124" s="145">
        <f t="shared" si="68"/>
        <v>68507935.69021374</v>
      </c>
      <c r="U124" s="145">
        <f t="shared" si="68"/>
        <v>31190059.924492389</v>
      </c>
      <c r="V124" s="145">
        <f t="shared" si="68"/>
        <v>-20303136.003000811</v>
      </c>
      <c r="W124" s="145">
        <f t="shared" si="68"/>
        <v>70978836.833689064</v>
      </c>
      <c r="X124" s="145">
        <f t="shared" si="68"/>
        <v>55979496.193371162</v>
      </c>
      <c r="Y124" s="70">
        <f t="shared" si="51"/>
        <v>-14999340.640317902</v>
      </c>
    </row>
    <row r="125" spans="2:25" hidden="1" x14ac:dyDescent="0.2">
      <c r="B125" s="121"/>
      <c r="C125" s="81"/>
      <c r="D125" s="81"/>
      <c r="E125" s="81"/>
      <c r="F125" s="124"/>
      <c r="G125" s="81"/>
      <c r="H125" s="125"/>
      <c r="I125" s="148"/>
      <c r="J125" s="131"/>
      <c r="K125" s="131"/>
      <c r="L125" s="131"/>
      <c r="M125" s="131"/>
      <c r="N125" s="131"/>
      <c r="O125" s="131"/>
      <c r="P125" s="131"/>
      <c r="Q125" s="131"/>
      <c r="R125" s="131"/>
      <c r="S125" s="131"/>
      <c r="T125" s="131"/>
      <c r="U125" s="131"/>
      <c r="V125" s="131"/>
      <c r="W125" s="131"/>
      <c r="X125" s="131"/>
      <c r="Y125" s="70">
        <f t="shared" si="51"/>
        <v>0</v>
      </c>
    </row>
    <row r="126" spans="2:25" hidden="1" x14ac:dyDescent="0.2">
      <c r="B126" s="121" t="s">
        <v>243</v>
      </c>
      <c r="C126" s="81" t="s">
        <v>291</v>
      </c>
      <c r="D126" s="81" t="s">
        <v>291</v>
      </c>
      <c r="E126" s="81" t="s">
        <v>318</v>
      </c>
      <c r="F126" s="81"/>
      <c r="G126" s="81" t="str">
        <f t="shared" ref="G126:G163" si="69">B126&amp;"_"&amp;C126&amp;"_"&amp;D126&amp;"_"&amp;E126&amp;"_"&amp;F126</f>
        <v>lending_cashloan_cashloan_BEG_</v>
      </c>
      <c r="H126" s="125"/>
      <c r="I126" s="123" t="s">
        <v>319</v>
      </c>
      <c r="J126" s="123"/>
      <c r="K126" s="123"/>
      <c r="L126" s="123"/>
      <c r="M126" s="123"/>
      <c r="N126" s="123"/>
      <c r="O126" s="123"/>
      <c r="P126" s="123"/>
      <c r="Q126" s="123"/>
      <c r="R126" s="123"/>
      <c r="S126" s="123"/>
      <c r="T126" s="123"/>
      <c r="U126" s="123"/>
      <c r="V126" s="123"/>
      <c r="W126" s="123"/>
      <c r="X126" s="123"/>
      <c r="Y126" s="70">
        <f t="shared" si="51"/>
        <v>0</v>
      </c>
    </row>
    <row r="127" spans="2:25" ht="16" hidden="1" x14ac:dyDescent="0.2">
      <c r="B127" s="121" t="s">
        <v>243</v>
      </c>
      <c r="C127" s="81" t="s">
        <v>291</v>
      </c>
      <c r="D127" s="81" t="s">
        <v>291</v>
      </c>
      <c r="E127" s="81" t="s">
        <v>318</v>
      </c>
      <c r="F127" s="80" t="s">
        <v>292</v>
      </c>
      <c r="G127" s="81" t="str">
        <f t="shared" si="69"/>
        <v>lending_cashloan_cashloan_BEG_new_account</v>
      </c>
      <c r="H127" s="125"/>
      <c r="I127" s="126" t="s">
        <v>245</v>
      </c>
      <c r="J127" s="125">
        <f>SUM(M127:X127)</f>
        <v>1001</v>
      </c>
      <c r="K127" s="84">
        <v>56</v>
      </c>
      <c r="L127" s="84">
        <v>33</v>
      </c>
      <c r="M127" s="84">
        <v>19</v>
      </c>
      <c r="N127" s="180">
        <v>6</v>
      </c>
      <c r="O127" s="84">
        <v>9</v>
      </c>
      <c r="P127" s="84">
        <v>2</v>
      </c>
      <c r="Q127" s="175">
        <v>0</v>
      </c>
      <c r="R127" s="175">
        <v>4</v>
      </c>
      <c r="S127" s="152">
        <v>5</v>
      </c>
      <c r="T127" s="84">
        <v>1</v>
      </c>
      <c r="U127" s="84">
        <v>3</v>
      </c>
      <c r="V127" s="84">
        <v>59</v>
      </c>
      <c r="W127" s="84">
        <v>147</v>
      </c>
      <c r="X127" s="84">
        <v>746</v>
      </c>
      <c r="Y127" s="70">
        <f t="shared" si="51"/>
        <v>599</v>
      </c>
    </row>
    <row r="128" spans="2:25" ht="16" hidden="1" x14ac:dyDescent="0.2">
      <c r="B128" s="121" t="s">
        <v>243</v>
      </c>
      <c r="C128" s="81" t="s">
        <v>291</v>
      </c>
      <c r="D128" s="81" t="s">
        <v>291</v>
      </c>
      <c r="E128" s="81" t="s">
        <v>318</v>
      </c>
      <c r="F128" s="126" t="s">
        <v>246</v>
      </c>
      <c r="G128" s="81" t="str">
        <f t="shared" si="69"/>
        <v>lending_cashloan_cashloan_BEG_Repeat account</v>
      </c>
      <c r="H128" s="125"/>
      <c r="I128" s="126" t="s">
        <v>246</v>
      </c>
      <c r="J128" s="125"/>
      <c r="K128" s="84">
        <v>3</v>
      </c>
      <c r="L128" s="84">
        <v>7</v>
      </c>
      <c r="M128" s="84">
        <v>0</v>
      </c>
      <c r="N128" s="84">
        <v>2</v>
      </c>
      <c r="O128" s="84">
        <v>4</v>
      </c>
      <c r="P128" s="84"/>
      <c r="Q128" s="175"/>
      <c r="R128" s="175">
        <v>2</v>
      </c>
      <c r="S128" s="84"/>
      <c r="T128" s="84"/>
      <c r="U128" s="84">
        <v>0</v>
      </c>
      <c r="V128" s="84">
        <v>20</v>
      </c>
      <c r="W128" s="84">
        <v>42</v>
      </c>
      <c r="X128" s="84">
        <v>431</v>
      </c>
      <c r="Y128" s="70">
        <f t="shared" si="51"/>
        <v>389</v>
      </c>
    </row>
    <row r="129" spans="2:26" ht="16" hidden="1" x14ac:dyDescent="0.2">
      <c r="B129" s="121" t="s">
        <v>243</v>
      </c>
      <c r="C129" s="81" t="s">
        <v>291</v>
      </c>
      <c r="D129" s="81" t="s">
        <v>291</v>
      </c>
      <c r="E129" s="81" t="s">
        <v>318</v>
      </c>
      <c r="F129" s="80" t="s">
        <v>293</v>
      </c>
      <c r="G129" s="81" t="str">
        <f t="shared" si="69"/>
        <v>lending_cashloan_cashloan_BEG_active_account</v>
      </c>
      <c r="H129" s="125"/>
      <c r="I129" s="126" t="s">
        <v>247</v>
      </c>
      <c r="J129" s="125">
        <f>SUM(M129:X129)</f>
        <v>16214</v>
      </c>
      <c r="K129" s="84">
        <v>2931</v>
      </c>
      <c r="L129" s="84">
        <v>2791</v>
      </c>
      <c r="M129" s="84">
        <f>2643-49</f>
        <v>2594</v>
      </c>
      <c r="N129" s="180">
        <f>2510-445</f>
        <v>2065</v>
      </c>
      <c r="O129" s="180">
        <f>2370-512</f>
        <v>1858</v>
      </c>
      <c r="P129" s="84">
        <f>2242-591</f>
        <v>1651</v>
      </c>
      <c r="Q129" s="152">
        <v>1455</v>
      </c>
      <c r="R129" s="143">
        <v>1241</v>
      </c>
      <c r="S129" s="143">
        <v>1035</v>
      </c>
      <c r="T129" s="84">
        <v>852</v>
      </c>
      <c r="U129" s="181">
        <v>714</v>
      </c>
      <c r="V129" s="84">
        <v>674</v>
      </c>
      <c r="W129" s="84">
        <v>724</v>
      </c>
      <c r="X129" s="84">
        <v>1351</v>
      </c>
      <c r="Y129" s="70">
        <f t="shared" si="51"/>
        <v>627</v>
      </c>
    </row>
    <row r="130" spans="2:26" ht="16" hidden="1" x14ac:dyDescent="0.2">
      <c r="B130" s="121" t="s">
        <v>243</v>
      </c>
      <c r="C130" s="81" t="s">
        <v>291</v>
      </c>
      <c r="D130" s="81" t="s">
        <v>291</v>
      </c>
      <c r="E130" s="81" t="s">
        <v>318</v>
      </c>
      <c r="F130" s="80" t="s">
        <v>294</v>
      </c>
      <c r="G130" s="81" t="str">
        <f t="shared" si="69"/>
        <v>lending_cashloan_cashloan_BEG_disburse/spend</v>
      </c>
      <c r="H130" s="125"/>
      <c r="I130" s="84" t="s">
        <v>191</v>
      </c>
      <c r="J130" s="125">
        <f>SUM(M130:X130)</f>
        <v>13310250000</v>
      </c>
      <c r="K130" s="125">
        <v>900550000</v>
      </c>
      <c r="L130" s="125">
        <v>520050000</v>
      </c>
      <c r="M130" s="125">
        <v>305150000</v>
      </c>
      <c r="N130" s="84">
        <v>106500000</v>
      </c>
      <c r="O130" s="84">
        <v>120150000</v>
      </c>
      <c r="P130" s="84">
        <v>31000000</v>
      </c>
      <c r="Q130" s="143"/>
      <c r="R130" s="84">
        <v>48650000</v>
      </c>
      <c r="S130" s="82">
        <v>98750000</v>
      </c>
      <c r="T130" s="84">
        <v>18900000</v>
      </c>
      <c r="U130" s="125">
        <v>42000000</v>
      </c>
      <c r="V130" s="84">
        <v>856450000</v>
      </c>
      <c r="W130" s="125">
        <v>2125700000</v>
      </c>
      <c r="X130" s="125">
        <v>9557000000</v>
      </c>
      <c r="Y130" s="70">
        <f t="shared" si="51"/>
        <v>7431300000</v>
      </c>
    </row>
    <row r="131" spans="2:26" ht="16" hidden="1" x14ac:dyDescent="0.2">
      <c r="B131" s="121" t="s">
        <v>243</v>
      </c>
      <c r="C131" s="81" t="s">
        <v>291</v>
      </c>
      <c r="D131" s="81" t="s">
        <v>291</v>
      </c>
      <c r="E131" s="81" t="s">
        <v>318</v>
      </c>
      <c r="F131" s="124"/>
      <c r="G131" s="81" t="str">
        <f t="shared" si="69"/>
        <v>lending_cashloan_cashloan_BEG_</v>
      </c>
      <c r="H131" s="125"/>
      <c r="I131" s="84" t="s">
        <v>248</v>
      </c>
      <c r="J131" s="125"/>
      <c r="K131" s="125">
        <v>767550000</v>
      </c>
      <c r="L131" s="125">
        <v>358050000</v>
      </c>
      <c r="M131" s="84">
        <v>234150000</v>
      </c>
      <c r="N131" s="84">
        <v>31500000</v>
      </c>
      <c r="O131" s="84">
        <v>108150000</v>
      </c>
      <c r="P131" s="84">
        <v>31000000</v>
      </c>
      <c r="Q131" s="84"/>
      <c r="R131" s="84">
        <v>34650000</v>
      </c>
      <c r="S131" s="82">
        <v>78750000</v>
      </c>
      <c r="T131" s="84">
        <v>18900000</v>
      </c>
      <c r="U131" s="125">
        <v>42000000</v>
      </c>
      <c r="V131" s="84">
        <v>660450000</v>
      </c>
      <c r="W131" s="125">
        <v>1757700000</v>
      </c>
      <c r="X131" s="125">
        <v>8022000000</v>
      </c>
      <c r="Y131" s="70">
        <f t="shared" si="51"/>
        <v>6264300000</v>
      </c>
      <c r="Z131" s="52">
        <f>W131/W130</f>
        <v>0.82688055699299057</v>
      </c>
    </row>
    <row r="132" spans="2:26" ht="16" hidden="1" x14ac:dyDescent="0.2">
      <c r="B132" s="121" t="s">
        <v>243</v>
      </c>
      <c r="C132" s="81" t="s">
        <v>291</v>
      </c>
      <c r="D132" s="81" t="s">
        <v>291</v>
      </c>
      <c r="E132" s="81" t="s">
        <v>318</v>
      </c>
      <c r="F132" s="124"/>
      <c r="G132" s="81" t="str">
        <f t="shared" si="69"/>
        <v>lending_cashloan_cashloan_BEG_</v>
      </c>
      <c r="H132" s="125"/>
      <c r="I132" s="84" t="s">
        <v>249</v>
      </c>
      <c r="J132" s="125"/>
      <c r="K132" s="125">
        <f t="shared" ref="K132:X132" si="70">K130-K131</f>
        <v>133000000</v>
      </c>
      <c r="L132" s="125">
        <f t="shared" si="70"/>
        <v>162000000</v>
      </c>
      <c r="M132" s="125">
        <f t="shared" si="70"/>
        <v>71000000</v>
      </c>
      <c r="N132" s="125">
        <f t="shared" si="70"/>
        <v>75000000</v>
      </c>
      <c r="O132" s="125">
        <f t="shared" si="70"/>
        <v>12000000</v>
      </c>
      <c r="P132" s="125">
        <f t="shared" si="70"/>
        <v>0</v>
      </c>
      <c r="Q132" s="125">
        <f t="shared" si="70"/>
        <v>0</v>
      </c>
      <c r="R132" s="125">
        <f t="shared" si="70"/>
        <v>14000000</v>
      </c>
      <c r="S132" s="125">
        <f t="shared" si="70"/>
        <v>20000000</v>
      </c>
      <c r="T132" s="125">
        <f t="shared" si="70"/>
        <v>0</v>
      </c>
      <c r="U132" s="125">
        <f t="shared" si="70"/>
        <v>0</v>
      </c>
      <c r="V132" s="125">
        <f t="shared" si="70"/>
        <v>196000000</v>
      </c>
      <c r="W132" s="125">
        <f t="shared" si="70"/>
        <v>368000000</v>
      </c>
      <c r="X132" s="125">
        <f t="shared" si="70"/>
        <v>1535000000</v>
      </c>
      <c r="Y132" s="70">
        <f t="shared" ref="Y132:Y195" si="71">X132-W132</f>
        <v>1167000000</v>
      </c>
    </row>
    <row r="133" spans="2:26" ht="16" hidden="1" x14ac:dyDescent="0.2">
      <c r="B133" s="121" t="s">
        <v>243</v>
      </c>
      <c r="C133" s="81" t="s">
        <v>291</v>
      </c>
      <c r="D133" s="81" t="s">
        <v>291</v>
      </c>
      <c r="E133" s="81" t="s">
        <v>318</v>
      </c>
      <c r="F133" s="80" t="s">
        <v>295</v>
      </c>
      <c r="G133" s="81" t="str">
        <f t="shared" si="69"/>
        <v>lending_cashloan_cashloan_BEG_ENR</v>
      </c>
      <c r="H133" s="125"/>
      <c r="I133" s="84" t="s">
        <v>250</v>
      </c>
      <c r="J133" s="125">
        <f>W133</f>
        <v>5842819724</v>
      </c>
      <c r="K133" s="84">
        <v>30063300846</v>
      </c>
      <c r="L133" s="125">
        <v>27464849380</v>
      </c>
      <c r="M133" s="84">
        <v>25600133441</v>
      </c>
      <c r="N133" s="181">
        <v>18687643232</v>
      </c>
      <c r="O133" s="84">
        <v>16048545381</v>
      </c>
      <c r="P133" s="84">
        <v>13635524092</v>
      </c>
      <c r="Q133" s="84">
        <v>11299587556</v>
      </c>
      <c r="R133" s="84">
        <v>9245510049</v>
      </c>
      <c r="S133" s="84">
        <v>7685748325</v>
      </c>
      <c r="T133" s="125">
        <v>6113329421</v>
      </c>
      <c r="U133" s="125">
        <v>4860881856</v>
      </c>
      <c r="V133" s="125">
        <v>4739078728</v>
      </c>
      <c r="W133" s="84">
        <v>5842819724</v>
      </c>
      <c r="X133" s="125">
        <v>14158374367</v>
      </c>
      <c r="Y133" s="70">
        <f t="shared" si="71"/>
        <v>8315554643</v>
      </c>
    </row>
    <row r="134" spans="2:26" hidden="1" x14ac:dyDescent="0.2">
      <c r="B134" s="121" t="s">
        <v>243</v>
      </c>
      <c r="C134" s="81" t="s">
        <v>291</v>
      </c>
      <c r="D134" s="81" t="s">
        <v>291</v>
      </c>
      <c r="E134" s="81" t="s">
        <v>318</v>
      </c>
      <c r="F134" s="124"/>
      <c r="G134" s="81" t="str">
        <f t="shared" si="69"/>
        <v>lending_cashloan_cashloan_BEG_</v>
      </c>
      <c r="H134" s="125"/>
      <c r="I134" s="127" t="s">
        <v>251</v>
      </c>
      <c r="J134" s="125">
        <f t="shared" ref="J134:J139" si="72">V134</f>
        <v>4198434585</v>
      </c>
      <c r="K134" s="181">
        <f t="shared" ref="K134:X134" si="73">K133-K135</f>
        <v>25920777995</v>
      </c>
      <c r="L134" s="181">
        <f t="shared" si="73"/>
        <v>22977097656</v>
      </c>
      <c r="M134" s="181">
        <f t="shared" si="73"/>
        <v>20678089201</v>
      </c>
      <c r="N134" s="181">
        <f t="shared" si="73"/>
        <v>16658559736</v>
      </c>
      <c r="O134" s="181">
        <f t="shared" si="73"/>
        <v>13989234740</v>
      </c>
      <c r="P134" s="181">
        <f t="shared" si="73"/>
        <v>11701367166</v>
      </c>
      <c r="Q134" s="181">
        <f t="shared" si="73"/>
        <v>9537769308</v>
      </c>
      <c r="R134" s="181">
        <f t="shared" si="73"/>
        <v>7764598124</v>
      </c>
      <c r="S134" s="181">
        <f t="shared" si="73"/>
        <v>6349953805</v>
      </c>
      <c r="T134" s="181">
        <f t="shared" si="73"/>
        <v>5123713925</v>
      </c>
      <c r="U134" s="181">
        <f t="shared" si="73"/>
        <v>4178957013</v>
      </c>
      <c r="V134" s="181">
        <f t="shared" si="73"/>
        <v>4198434585</v>
      </c>
      <c r="W134" s="181">
        <f t="shared" si="73"/>
        <v>5470765937</v>
      </c>
      <c r="X134" s="181">
        <f t="shared" si="73"/>
        <v>13846787087</v>
      </c>
      <c r="Y134" s="70">
        <f t="shared" si="71"/>
        <v>8376021150</v>
      </c>
    </row>
    <row r="135" spans="2:26" hidden="1" x14ac:dyDescent="0.2">
      <c r="B135" s="121" t="s">
        <v>243</v>
      </c>
      <c r="C135" s="81" t="s">
        <v>291</v>
      </c>
      <c r="D135" s="81" t="s">
        <v>291</v>
      </c>
      <c r="E135" s="81" t="s">
        <v>318</v>
      </c>
      <c r="F135" s="124"/>
      <c r="G135" s="81" t="str">
        <f t="shared" si="69"/>
        <v>lending_cashloan_cashloan_BEG_</v>
      </c>
      <c r="H135" s="125"/>
      <c r="I135" s="127" t="s">
        <v>252</v>
      </c>
      <c r="J135" s="125">
        <f t="shared" si="72"/>
        <v>540644143</v>
      </c>
      <c r="K135" s="155">
        <v>4142522851</v>
      </c>
      <c r="L135" s="181">
        <v>4487751724</v>
      </c>
      <c r="M135" s="181">
        <v>4922044240</v>
      </c>
      <c r="N135" s="181">
        <v>2029083496</v>
      </c>
      <c r="O135" s="155">
        <v>2059310641</v>
      </c>
      <c r="P135" s="155">
        <v>1934156926</v>
      </c>
      <c r="Q135" s="155">
        <v>1761818248</v>
      </c>
      <c r="R135" s="155">
        <v>1480911925</v>
      </c>
      <c r="S135" s="155">
        <v>1335794520</v>
      </c>
      <c r="T135" s="128">
        <v>989615496</v>
      </c>
      <c r="U135" s="155">
        <v>681924843</v>
      </c>
      <c r="V135" s="155">
        <v>540644143</v>
      </c>
      <c r="W135" s="155">
        <v>372053787</v>
      </c>
      <c r="X135" s="181">
        <v>311587280</v>
      </c>
      <c r="Y135" s="70">
        <f t="shared" si="71"/>
        <v>-60466507</v>
      </c>
    </row>
    <row r="136" spans="2:26" hidden="1" x14ac:dyDescent="0.2">
      <c r="B136" s="121" t="s">
        <v>243</v>
      </c>
      <c r="C136" s="81" t="s">
        <v>291</v>
      </c>
      <c r="D136" s="81" t="s">
        <v>291</v>
      </c>
      <c r="E136" s="81" t="s">
        <v>318</v>
      </c>
      <c r="F136" s="124"/>
      <c r="G136" s="81" t="str">
        <f t="shared" si="69"/>
        <v>lending_cashloan_cashloan_BEG_</v>
      </c>
      <c r="H136" s="125"/>
      <c r="I136" s="126" t="s">
        <v>253</v>
      </c>
      <c r="J136" s="125">
        <f t="shared" si="72"/>
        <v>794261487</v>
      </c>
      <c r="K136" s="181">
        <v>6343449427</v>
      </c>
      <c r="L136" s="181">
        <v>6734389520</v>
      </c>
      <c r="M136" s="181">
        <v>7536796905</v>
      </c>
      <c r="N136" s="181">
        <v>3652325354</v>
      </c>
      <c r="O136" s="181">
        <v>3646203106</v>
      </c>
      <c r="P136" s="181">
        <v>3331493978</v>
      </c>
      <c r="Q136" s="181">
        <v>2979871310</v>
      </c>
      <c r="R136" s="181">
        <v>2295411407</v>
      </c>
      <c r="S136" s="182">
        <v>2010157219</v>
      </c>
      <c r="T136" s="181">
        <v>1487221818</v>
      </c>
      <c r="U136" s="181">
        <v>1014097071</v>
      </c>
      <c r="V136" s="181">
        <v>794261487</v>
      </c>
      <c r="W136" s="181">
        <v>493471289</v>
      </c>
      <c r="X136" s="181">
        <v>368705411</v>
      </c>
      <c r="Y136" s="70">
        <f t="shared" si="71"/>
        <v>-124765878</v>
      </c>
    </row>
    <row r="137" spans="2:26" ht="16" hidden="1" x14ac:dyDescent="0.2">
      <c r="B137" s="121" t="s">
        <v>243</v>
      </c>
      <c r="C137" s="81" t="s">
        <v>291</v>
      </c>
      <c r="D137" s="81" t="s">
        <v>291</v>
      </c>
      <c r="E137" s="81" t="s">
        <v>318</v>
      </c>
      <c r="F137" s="80" t="s">
        <v>298</v>
      </c>
      <c r="G137" s="81" t="str">
        <f t="shared" si="69"/>
        <v>lending_cashloan_cashloan_BEG_overdue_balance_10d</v>
      </c>
      <c r="H137" s="125"/>
      <c r="I137" s="84" t="s">
        <v>254</v>
      </c>
      <c r="J137" s="125">
        <f t="shared" si="72"/>
        <v>1462757346</v>
      </c>
      <c r="K137" s="155">
        <v>10427435543</v>
      </c>
      <c r="L137" s="181">
        <v>10915463134</v>
      </c>
      <c r="M137" s="181">
        <v>10994803898</v>
      </c>
      <c r="N137" s="181">
        <v>6683564956</v>
      </c>
      <c r="O137" s="181">
        <v>6142996986</v>
      </c>
      <c r="P137" s="181">
        <v>5300434046</v>
      </c>
      <c r="Q137" s="159">
        <v>4496618039</v>
      </c>
      <c r="R137" s="159">
        <v>3709783461</v>
      </c>
      <c r="S137" s="159">
        <v>3289683692</v>
      </c>
      <c r="T137" s="128">
        <v>2536339708</v>
      </c>
      <c r="U137" s="155">
        <v>1869303856</v>
      </c>
      <c r="V137" s="155">
        <v>1462757346</v>
      </c>
      <c r="W137" s="155">
        <v>1022754258</v>
      </c>
      <c r="X137" s="181"/>
      <c r="Y137" s="70">
        <f t="shared" si="71"/>
        <v>-1022754258</v>
      </c>
    </row>
    <row r="138" spans="2:26" ht="16" hidden="1" x14ac:dyDescent="0.2">
      <c r="B138" s="121" t="s">
        <v>243</v>
      </c>
      <c r="C138" s="81" t="s">
        <v>291</v>
      </c>
      <c r="D138" s="81" t="s">
        <v>291</v>
      </c>
      <c r="E138" s="81" t="s">
        <v>318</v>
      </c>
      <c r="F138" s="80" t="s">
        <v>299</v>
      </c>
      <c r="G138" s="81" t="str">
        <f t="shared" si="69"/>
        <v>lending_cashloan_cashloan_BEG_overdue_balance_90d</v>
      </c>
      <c r="H138" s="125"/>
      <c r="I138" s="84" t="s">
        <v>255</v>
      </c>
      <c r="J138" s="125">
        <f t="shared" si="72"/>
        <v>957953139</v>
      </c>
      <c r="K138" s="84">
        <v>6739330637</v>
      </c>
      <c r="L138" s="84">
        <v>7381641358</v>
      </c>
      <c r="M138" s="84">
        <v>7995283625</v>
      </c>
      <c r="N138" s="143">
        <v>4103734691</v>
      </c>
      <c r="O138" s="84">
        <v>4240018211</v>
      </c>
      <c r="P138" s="181">
        <v>3723972470</v>
      </c>
      <c r="Q138" s="84">
        <v>3364787226</v>
      </c>
      <c r="R138" s="125">
        <v>2753535266</v>
      </c>
      <c r="S138" s="125">
        <v>2342324389</v>
      </c>
      <c r="T138" s="125">
        <v>1734585616</v>
      </c>
      <c r="U138" s="84">
        <v>1246170296</v>
      </c>
      <c r="V138" s="84">
        <v>957953139</v>
      </c>
      <c r="W138" s="84">
        <v>618215134</v>
      </c>
      <c r="X138" s="84"/>
      <c r="Y138" s="70">
        <f t="shared" si="71"/>
        <v>-618215134</v>
      </c>
    </row>
    <row r="139" spans="2:26" ht="16" hidden="1" x14ac:dyDescent="0.2">
      <c r="B139" s="121" t="s">
        <v>243</v>
      </c>
      <c r="C139" s="81" t="s">
        <v>291</v>
      </c>
      <c r="D139" s="81" t="s">
        <v>291</v>
      </c>
      <c r="E139" s="81" t="s">
        <v>318</v>
      </c>
      <c r="F139" s="124"/>
      <c r="G139" s="81" t="str">
        <f t="shared" si="69"/>
        <v>lending_cashloan_cashloan_BEG_</v>
      </c>
      <c r="H139" s="125"/>
      <c r="I139" s="84" t="s">
        <v>256</v>
      </c>
      <c r="J139" s="125">
        <f t="shared" si="72"/>
        <v>504804207</v>
      </c>
      <c r="K139" s="181">
        <f t="shared" ref="K139:X139" si="74">K137-K138</f>
        <v>3688104906</v>
      </c>
      <c r="L139" s="181">
        <f t="shared" si="74"/>
        <v>3533821776</v>
      </c>
      <c r="M139" s="181">
        <f t="shared" si="74"/>
        <v>2999520273</v>
      </c>
      <c r="N139" s="181">
        <f t="shared" si="74"/>
        <v>2579830265</v>
      </c>
      <c r="O139" s="181">
        <f t="shared" si="74"/>
        <v>1902978775</v>
      </c>
      <c r="P139" s="181">
        <f t="shared" si="74"/>
        <v>1576461576</v>
      </c>
      <c r="Q139" s="181">
        <f t="shared" si="74"/>
        <v>1131830813</v>
      </c>
      <c r="R139" s="181">
        <f t="shared" si="74"/>
        <v>956248195</v>
      </c>
      <c r="S139" s="181">
        <f t="shared" si="74"/>
        <v>947359303</v>
      </c>
      <c r="T139" s="181">
        <f t="shared" si="74"/>
        <v>801754092</v>
      </c>
      <c r="U139" s="181">
        <f t="shared" si="74"/>
        <v>623133560</v>
      </c>
      <c r="V139" s="181">
        <f t="shared" si="74"/>
        <v>504804207</v>
      </c>
      <c r="W139" s="181">
        <f t="shared" si="74"/>
        <v>404539124</v>
      </c>
      <c r="X139" s="181">
        <f t="shared" si="74"/>
        <v>0</v>
      </c>
      <c r="Y139" s="70">
        <f t="shared" si="71"/>
        <v>-404539124</v>
      </c>
    </row>
    <row r="140" spans="2:26" ht="16" hidden="1" x14ac:dyDescent="0.2">
      <c r="B140" s="121" t="s">
        <v>243</v>
      </c>
      <c r="C140" s="81" t="s">
        <v>291</v>
      </c>
      <c r="D140" s="81" t="s">
        <v>291</v>
      </c>
      <c r="E140" s="81" t="s">
        <v>318</v>
      </c>
      <c r="F140" s="124"/>
      <c r="G140" s="81" t="str">
        <f t="shared" si="69"/>
        <v>lending_cashloan_cashloan_BEG_</v>
      </c>
      <c r="H140" s="125"/>
      <c r="I140" s="84" t="s">
        <v>257</v>
      </c>
      <c r="J140" s="125"/>
      <c r="K140" s="177">
        <f t="shared" ref="K140:X140" si="75">K136/K133</f>
        <v>0.21100309175943374</v>
      </c>
      <c r="L140" s="177">
        <f t="shared" si="75"/>
        <v>0.24520030773968149</v>
      </c>
      <c r="M140" s="177">
        <f t="shared" si="75"/>
        <v>0.29440459450611345</v>
      </c>
      <c r="N140" s="177">
        <f t="shared" si="75"/>
        <v>0.19544066143909997</v>
      </c>
      <c r="O140" s="177">
        <f t="shared" si="75"/>
        <v>0.2271983547067617</v>
      </c>
      <c r="P140" s="177">
        <f t="shared" si="75"/>
        <v>0.24432460061836545</v>
      </c>
      <c r="Q140" s="177">
        <f t="shared" si="75"/>
        <v>0.2637150511230571</v>
      </c>
      <c r="R140" s="177">
        <f t="shared" si="75"/>
        <v>0.24827309632833866</v>
      </c>
      <c r="S140" s="177">
        <f t="shared" si="75"/>
        <v>0.26154346122178024</v>
      </c>
      <c r="T140" s="177">
        <f t="shared" si="75"/>
        <v>0.24327526223128423</v>
      </c>
      <c r="U140" s="177">
        <f t="shared" si="75"/>
        <v>0.20862409353731884</v>
      </c>
      <c r="V140" s="177">
        <f t="shared" si="75"/>
        <v>0.16759828915844929</v>
      </c>
      <c r="W140" s="177">
        <f t="shared" si="75"/>
        <v>8.4457729711052781E-2</v>
      </c>
      <c r="X140" s="177">
        <f t="shared" si="75"/>
        <v>2.6041507410580252E-2</v>
      </c>
      <c r="Y140" s="70">
        <f t="shared" si="71"/>
        <v>-5.8416222300472526E-2</v>
      </c>
    </row>
    <row r="141" spans="2:26" ht="16" hidden="1" x14ac:dyDescent="0.2">
      <c r="B141" s="121" t="s">
        <v>243</v>
      </c>
      <c r="C141" s="81" t="s">
        <v>291</v>
      </c>
      <c r="D141" s="81" t="s">
        <v>291</v>
      </c>
      <c r="E141" s="81" t="s">
        <v>318</v>
      </c>
      <c r="F141" s="80" t="s">
        <v>258</v>
      </c>
      <c r="G141" s="81" t="str">
        <f t="shared" si="69"/>
        <v>lending_cashloan_cashloan_BEG_npl</v>
      </c>
      <c r="H141" s="125"/>
      <c r="I141" s="84" t="s">
        <v>259</v>
      </c>
      <c r="J141" s="125"/>
      <c r="K141" s="177">
        <f t="shared" ref="K141:X141" si="76">K138/K133</f>
        <v>0.22417134670349032</v>
      </c>
      <c r="L141" s="177">
        <f t="shared" si="76"/>
        <v>0.26876686108372899</v>
      </c>
      <c r="M141" s="177">
        <f t="shared" si="76"/>
        <v>0.31231413865191499</v>
      </c>
      <c r="N141" s="177">
        <f t="shared" si="76"/>
        <v>0.21959615988242556</v>
      </c>
      <c r="O141" s="177">
        <f t="shared" si="76"/>
        <v>0.26419953399762891</v>
      </c>
      <c r="P141" s="177">
        <f t="shared" si="76"/>
        <v>0.2731081288019479</v>
      </c>
      <c r="Q141" s="177">
        <f t="shared" si="76"/>
        <v>0.29777964986105376</v>
      </c>
      <c r="R141" s="177">
        <f t="shared" si="76"/>
        <v>0.29782405204327522</v>
      </c>
      <c r="S141" s="177">
        <f t="shared" si="76"/>
        <v>0.30476204657664224</v>
      </c>
      <c r="T141" s="177">
        <f t="shared" si="76"/>
        <v>0.28373828670862983</v>
      </c>
      <c r="U141" s="177">
        <f t="shared" si="76"/>
        <v>0.25636712286306595</v>
      </c>
      <c r="V141" s="177">
        <f t="shared" si="76"/>
        <v>0.20213910634995469</v>
      </c>
      <c r="W141" s="177">
        <f t="shared" si="76"/>
        <v>0.10580766876318569</v>
      </c>
      <c r="X141" s="177">
        <f t="shared" si="76"/>
        <v>0</v>
      </c>
      <c r="Y141" s="70">
        <f t="shared" si="71"/>
        <v>-0.10580766876318569</v>
      </c>
    </row>
    <row r="142" spans="2:26" hidden="1" x14ac:dyDescent="0.2">
      <c r="B142" s="121" t="s">
        <v>243</v>
      </c>
      <c r="C142" s="81" t="s">
        <v>291</v>
      </c>
      <c r="D142" s="81" t="s">
        <v>291</v>
      </c>
      <c r="E142" s="81" t="s">
        <v>318</v>
      </c>
      <c r="F142" s="80" t="s">
        <v>260</v>
      </c>
      <c r="G142" s="81" t="str">
        <f t="shared" si="69"/>
        <v>lending_cashloan_cashloan_BEG_TOI</v>
      </c>
      <c r="H142" s="125"/>
      <c r="I142" s="130" t="s">
        <v>260</v>
      </c>
      <c r="J142" s="131">
        <f t="shared" ref="J142:X142" si="77">J143+J148+J152</f>
        <v>3966603001.9565001</v>
      </c>
      <c r="K142" s="131">
        <f t="shared" si="77"/>
        <v>720369660</v>
      </c>
      <c r="L142" s="131">
        <f t="shared" si="77"/>
        <v>640693543</v>
      </c>
      <c r="M142" s="131">
        <f t="shared" si="77"/>
        <v>532133403</v>
      </c>
      <c r="N142" s="131">
        <f t="shared" si="77"/>
        <v>396526879</v>
      </c>
      <c r="O142" s="131">
        <f t="shared" si="77"/>
        <v>413496847.95650005</v>
      </c>
      <c r="P142" s="131">
        <f t="shared" si="77"/>
        <v>345054745</v>
      </c>
      <c r="Q142" s="131">
        <f t="shared" si="77"/>
        <v>331871291</v>
      </c>
      <c r="R142" s="131">
        <f t="shared" si="77"/>
        <v>222414084</v>
      </c>
      <c r="S142" s="131">
        <f t="shared" si="77"/>
        <v>195920381</v>
      </c>
      <c r="T142" s="131">
        <f t="shared" si="77"/>
        <v>169853119</v>
      </c>
      <c r="U142" s="131">
        <f t="shared" si="77"/>
        <v>206025651</v>
      </c>
      <c r="V142" s="131">
        <f t="shared" si="77"/>
        <v>203952861</v>
      </c>
      <c r="W142" s="131">
        <f t="shared" si="77"/>
        <v>248955355</v>
      </c>
      <c r="X142" s="131">
        <f t="shared" si="77"/>
        <v>700398385</v>
      </c>
      <c r="Y142" s="70">
        <f t="shared" si="71"/>
        <v>451443030</v>
      </c>
    </row>
    <row r="143" spans="2:26" hidden="1" x14ac:dyDescent="0.2">
      <c r="B143" s="121" t="s">
        <v>243</v>
      </c>
      <c r="C143" s="81" t="s">
        <v>291</v>
      </c>
      <c r="D143" s="81" t="s">
        <v>291</v>
      </c>
      <c r="E143" s="81" t="s">
        <v>318</v>
      </c>
      <c r="F143" s="80" t="s">
        <v>300</v>
      </c>
      <c r="G143" s="81" t="str">
        <f t="shared" si="69"/>
        <v>lending_cashloan_cashloan_BEG_NII</v>
      </c>
      <c r="H143" s="125"/>
      <c r="I143" s="132" t="s">
        <v>261</v>
      </c>
      <c r="J143" s="131">
        <f t="shared" ref="J143:X143" si="78">J144-J147</f>
        <v>2972989673.9565001</v>
      </c>
      <c r="K143" s="131">
        <f t="shared" si="78"/>
        <v>671050568</v>
      </c>
      <c r="L143" s="131">
        <f t="shared" si="78"/>
        <v>614244644</v>
      </c>
      <c r="M143" s="131">
        <f t="shared" si="78"/>
        <v>511960164</v>
      </c>
      <c r="N143" s="131">
        <f t="shared" si="78"/>
        <v>384540415</v>
      </c>
      <c r="O143" s="131">
        <f t="shared" si="78"/>
        <v>379350446.95650005</v>
      </c>
      <c r="P143" s="131">
        <f t="shared" si="78"/>
        <v>315507567</v>
      </c>
      <c r="Q143" s="131">
        <f t="shared" si="78"/>
        <v>266194143</v>
      </c>
      <c r="R143" s="131">
        <f t="shared" si="78"/>
        <v>205077780</v>
      </c>
      <c r="S143" s="131">
        <f t="shared" si="78"/>
        <v>164723971</v>
      </c>
      <c r="T143" s="131">
        <f t="shared" si="78"/>
        <v>140054240</v>
      </c>
      <c r="U143" s="131">
        <f t="shared" si="78"/>
        <v>118964532</v>
      </c>
      <c r="V143" s="131">
        <f t="shared" si="78"/>
        <v>100699853</v>
      </c>
      <c r="W143" s="131">
        <f t="shared" si="78"/>
        <v>129364423</v>
      </c>
      <c r="X143" s="131">
        <f t="shared" si="78"/>
        <v>256552139</v>
      </c>
      <c r="Y143" s="70">
        <f t="shared" si="71"/>
        <v>127187716</v>
      </c>
    </row>
    <row r="144" spans="2:26" ht="16" hidden="1" x14ac:dyDescent="0.2">
      <c r="B144" s="121" t="s">
        <v>243</v>
      </c>
      <c r="C144" s="81" t="s">
        <v>291</v>
      </c>
      <c r="D144" s="81" t="s">
        <v>291</v>
      </c>
      <c r="E144" s="81" t="s">
        <v>318</v>
      </c>
      <c r="F144" s="80" t="s">
        <v>301</v>
      </c>
      <c r="G144" s="81" t="str">
        <f t="shared" si="69"/>
        <v>lending_cashloan_cashloan_BEG_CII</v>
      </c>
      <c r="H144" s="125"/>
      <c r="I144" s="134" t="s">
        <v>262</v>
      </c>
      <c r="J144" s="125">
        <f>SUM(M144:X144)</f>
        <v>3838306176</v>
      </c>
      <c r="K144" s="125">
        <f>K145+214295660-K146</f>
        <v>845932325</v>
      </c>
      <c r="L144" s="125">
        <f t="shared" ref="L144:W144" si="79">L145+K146-L146</f>
        <v>784050465</v>
      </c>
      <c r="M144" s="125">
        <f t="shared" si="79"/>
        <v>668557883</v>
      </c>
      <c r="N144" s="125">
        <f t="shared" si="79"/>
        <v>511179335</v>
      </c>
      <c r="O144" s="125">
        <f t="shared" si="79"/>
        <v>484536870</v>
      </c>
      <c r="P144" s="125">
        <f t="shared" si="79"/>
        <v>404333517</v>
      </c>
      <c r="Q144" s="125">
        <f t="shared" si="79"/>
        <v>344648732</v>
      </c>
      <c r="R144" s="125">
        <f t="shared" si="79"/>
        <v>268304196</v>
      </c>
      <c r="S144" s="125">
        <f t="shared" si="79"/>
        <v>218542080</v>
      </c>
      <c r="T144" s="125">
        <f t="shared" si="79"/>
        <v>185298248</v>
      </c>
      <c r="U144" s="125">
        <f t="shared" si="79"/>
        <v>154072586</v>
      </c>
      <c r="V144" s="125">
        <f t="shared" si="79"/>
        <v>130023607</v>
      </c>
      <c r="W144" s="125">
        <f t="shared" si="79"/>
        <v>160520113</v>
      </c>
      <c r="X144" s="125">
        <f>X145+W146-X146</f>
        <v>308289009</v>
      </c>
      <c r="Y144" s="70">
        <f t="shared" si="71"/>
        <v>147768896</v>
      </c>
    </row>
    <row r="145" spans="2:27" ht="16" hidden="1" x14ac:dyDescent="0.2">
      <c r="B145" s="121" t="s">
        <v>243</v>
      </c>
      <c r="C145" s="81" t="s">
        <v>291</v>
      </c>
      <c r="D145" s="81" t="s">
        <v>291</v>
      </c>
      <c r="E145" s="81" t="s">
        <v>318</v>
      </c>
      <c r="F145" s="80"/>
      <c r="G145" s="81" t="str">
        <f t="shared" si="69"/>
        <v>lending_cashloan_cashloan_BEG_</v>
      </c>
      <c r="H145" s="125"/>
      <c r="I145" s="183" t="s">
        <v>263</v>
      </c>
      <c r="J145" s="136">
        <f>SUM(M145:X145)</f>
        <v>3641697422</v>
      </c>
      <c r="K145" s="136">
        <v>846964089</v>
      </c>
      <c r="L145" s="136">
        <v>785922018</v>
      </c>
      <c r="M145" s="136">
        <v>663487418</v>
      </c>
      <c r="N145" s="136">
        <v>446619200</v>
      </c>
      <c r="O145" s="136">
        <v>468983349</v>
      </c>
      <c r="P145" s="136">
        <v>390052745</v>
      </c>
      <c r="Q145" s="136">
        <v>323292461</v>
      </c>
      <c r="R145" s="136">
        <v>249876312</v>
      </c>
      <c r="S145" s="136">
        <v>208673555</v>
      </c>
      <c r="T145" s="136">
        <v>170907800</v>
      </c>
      <c r="U145" s="136">
        <v>140807807</v>
      </c>
      <c r="V145" s="136">
        <v>120569597</v>
      </c>
      <c r="W145" s="125">
        <v>151227176</v>
      </c>
      <c r="X145" s="136">
        <v>307200002</v>
      </c>
      <c r="Y145" s="70">
        <f t="shared" si="71"/>
        <v>155972826</v>
      </c>
    </row>
    <row r="146" spans="2:27" ht="16" hidden="1" x14ac:dyDescent="0.2">
      <c r="B146" s="121" t="s">
        <v>243</v>
      </c>
      <c r="C146" s="81" t="s">
        <v>291</v>
      </c>
      <c r="D146" s="81" t="s">
        <v>291</v>
      </c>
      <c r="E146" s="81" t="s">
        <v>318</v>
      </c>
      <c r="F146" s="124"/>
      <c r="G146" s="81" t="str">
        <f t="shared" si="69"/>
        <v>lending_cashloan_cashloan_BEG_</v>
      </c>
      <c r="H146" s="125"/>
      <c r="I146" s="183" t="s">
        <v>264</v>
      </c>
      <c r="J146" s="136">
        <f>SUM(M146:X146)</f>
        <v>1019213728</v>
      </c>
      <c r="K146" s="136">
        <v>215327424</v>
      </c>
      <c r="L146" s="136">
        <f>205192449+ 12006528</f>
        <v>217198977</v>
      </c>
      <c r="M146" s="136">
        <v>212128512</v>
      </c>
      <c r="N146" s="136">
        <v>147568377</v>
      </c>
      <c r="O146" s="136">
        <v>132014856</v>
      </c>
      <c r="P146" s="136">
        <v>117734084</v>
      </c>
      <c r="Q146" s="136">
        <v>96377813</v>
      </c>
      <c r="R146" s="136">
        <v>77949929</v>
      </c>
      <c r="S146" s="136">
        <v>68081404</v>
      </c>
      <c r="T146" s="136">
        <v>53690956</v>
      </c>
      <c r="U146" s="136">
        <v>40426177</v>
      </c>
      <c r="V146" s="125">
        <v>30972167</v>
      </c>
      <c r="W146" s="125">
        <v>21679230</v>
      </c>
      <c r="X146" s="136">
        <v>20590223</v>
      </c>
      <c r="Y146" s="70">
        <f t="shared" si="71"/>
        <v>-1089007</v>
      </c>
      <c r="Z146" s="70"/>
      <c r="AA146" s="70"/>
    </row>
    <row r="147" spans="2:27" ht="16" hidden="1" x14ac:dyDescent="0.2">
      <c r="B147" s="121" t="s">
        <v>243</v>
      </c>
      <c r="C147" s="81" t="s">
        <v>291</v>
      </c>
      <c r="D147" s="81" t="s">
        <v>291</v>
      </c>
      <c r="E147" s="81" t="s">
        <v>318</v>
      </c>
      <c r="F147" s="80" t="s">
        <v>62</v>
      </c>
      <c r="G147" s="81" t="str">
        <f t="shared" si="69"/>
        <v>lending_cashloan_cashloan_BEG_COF</v>
      </c>
      <c r="H147" s="125"/>
      <c r="I147" s="134" t="s">
        <v>62</v>
      </c>
      <c r="J147" s="125">
        <f>SUM(M147:X147)</f>
        <v>865316502.04349995</v>
      </c>
      <c r="K147" s="154">
        <v>174881757</v>
      </c>
      <c r="L147" s="143">
        <v>169805821</v>
      </c>
      <c r="M147" s="84">
        <v>156597719</v>
      </c>
      <c r="N147" s="84">
        <v>126638920</v>
      </c>
      <c r="O147" s="84">
        <v>105186423.04349995</v>
      </c>
      <c r="P147" s="84">
        <v>88825950</v>
      </c>
      <c r="Q147" s="84">
        <v>78454589</v>
      </c>
      <c r="R147" s="84">
        <v>63226416</v>
      </c>
      <c r="S147" s="82">
        <v>53818109</v>
      </c>
      <c r="T147" s="82">
        <v>45244008</v>
      </c>
      <c r="U147" s="82">
        <v>35108054</v>
      </c>
      <c r="V147" s="82">
        <v>29323754</v>
      </c>
      <c r="W147" s="125">
        <v>31155690</v>
      </c>
      <c r="X147" s="125">
        <v>51736870</v>
      </c>
      <c r="Y147" s="70">
        <f t="shared" si="71"/>
        <v>20581180</v>
      </c>
    </row>
    <row r="148" spans="2:27" hidden="1" x14ac:dyDescent="0.2">
      <c r="B148" s="121" t="s">
        <v>243</v>
      </c>
      <c r="C148" s="81" t="s">
        <v>291</v>
      </c>
      <c r="D148" s="81" t="s">
        <v>291</v>
      </c>
      <c r="E148" s="81" t="s">
        <v>318</v>
      </c>
      <c r="F148" s="80" t="s">
        <v>302</v>
      </c>
      <c r="G148" s="81" t="str">
        <f t="shared" si="69"/>
        <v>lending_cashloan_cashloan_BEG_NFI</v>
      </c>
      <c r="H148" s="125"/>
      <c r="I148" s="132" t="s">
        <v>265</v>
      </c>
      <c r="J148" s="131">
        <f t="shared" ref="J148:X148" si="80">SUM(J149:J151)</f>
        <v>559937419</v>
      </c>
      <c r="K148" s="131">
        <f t="shared" si="80"/>
        <v>49319092</v>
      </c>
      <c r="L148" s="131">
        <f t="shared" si="80"/>
        <v>26448899</v>
      </c>
      <c r="M148" s="131">
        <f t="shared" si="80"/>
        <v>20173239</v>
      </c>
      <c r="N148" s="131">
        <f t="shared" si="80"/>
        <v>11986464</v>
      </c>
      <c r="O148" s="131">
        <f t="shared" si="80"/>
        <v>15665615</v>
      </c>
      <c r="P148" s="131">
        <f t="shared" si="80"/>
        <v>10094658</v>
      </c>
      <c r="Q148" s="131">
        <f t="shared" si="80"/>
        <v>6352132</v>
      </c>
      <c r="R148" s="131">
        <f t="shared" si="80"/>
        <v>6877143</v>
      </c>
      <c r="S148" s="131">
        <f t="shared" si="80"/>
        <v>9719393</v>
      </c>
      <c r="T148" s="131">
        <f t="shared" si="80"/>
        <v>6731509</v>
      </c>
      <c r="U148" s="131">
        <f t="shared" si="80"/>
        <v>5383623</v>
      </c>
      <c r="V148" s="131">
        <f t="shared" si="80"/>
        <v>32029006</v>
      </c>
      <c r="W148" s="131">
        <f t="shared" si="80"/>
        <v>79567602</v>
      </c>
      <c r="X148" s="131">
        <f t="shared" si="80"/>
        <v>355357035</v>
      </c>
      <c r="Y148" s="70">
        <f t="shared" si="71"/>
        <v>275789433</v>
      </c>
    </row>
    <row r="149" spans="2:27" ht="16" hidden="1" x14ac:dyDescent="0.2">
      <c r="B149" s="121" t="s">
        <v>243</v>
      </c>
      <c r="C149" s="81" t="s">
        <v>291</v>
      </c>
      <c r="D149" s="81" t="s">
        <v>291</v>
      </c>
      <c r="E149" s="81" t="s">
        <v>318</v>
      </c>
      <c r="F149" s="80" t="s">
        <v>303</v>
      </c>
      <c r="G149" s="81" t="str">
        <f t="shared" si="69"/>
        <v>lending_cashloan_cashloan_BEG_insurance_fee</v>
      </c>
      <c r="H149" s="125"/>
      <c r="I149" s="134" t="s">
        <v>266</v>
      </c>
      <c r="J149" s="136">
        <f>SUM(M149:X149)</f>
        <v>444012662</v>
      </c>
      <c r="K149" s="136">
        <v>31295168</v>
      </c>
      <c r="L149" s="164">
        <v>14598704</v>
      </c>
      <c r="M149" s="164">
        <v>9546953</v>
      </c>
      <c r="N149" s="64">
        <v>1284343</v>
      </c>
      <c r="O149" s="162">
        <v>4409579</v>
      </c>
      <c r="P149" s="162">
        <v>856229</v>
      </c>
      <c r="Q149" s="162"/>
      <c r="R149" s="162">
        <v>1412778</v>
      </c>
      <c r="S149" s="162">
        <v>3131884</v>
      </c>
      <c r="T149" s="163">
        <v>752506</v>
      </c>
      <c r="U149" s="163">
        <v>1671219</v>
      </c>
      <c r="V149" s="136">
        <v>26356582</v>
      </c>
      <c r="W149" s="136">
        <v>70919545</v>
      </c>
      <c r="X149" s="164">
        <v>323671044</v>
      </c>
      <c r="Y149" s="70">
        <f t="shared" si="71"/>
        <v>252751499</v>
      </c>
    </row>
    <row r="150" spans="2:27" ht="16" hidden="1" x14ac:dyDescent="0.2">
      <c r="B150" s="121" t="s">
        <v>243</v>
      </c>
      <c r="C150" s="81" t="s">
        <v>291</v>
      </c>
      <c r="D150" s="81" t="s">
        <v>291</v>
      </c>
      <c r="E150" s="81" t="s">
        <v>318</v>
      </c>
      <c r="F150" s="80" t="s">
        <v>304</v>
      </c>
      <c r="G150" s="81" t="str">
        <f t="shared" si="69"/>
        <v>lending_cashloan_cashloan_BEG_early_terminate_fee</v>
      </c>
      <c r="H150" s="125"/>
      <c r="I150" s="134" t="s">
        <v>267</v>
      </c>
      <c r="J150" s="136">
        <f>SUM(M150:X150)</f>
        <v>115924757</v>
      </c>
      <c r="K150" s="136">
        <v>18023924</v>
      </c>
      <c r="L150" s="136">
        <v>11850195</v>
      </c>
      <c r="M150" s="136">
        <v>10626286</v>
      </c>
      <c r="N150" s="162">
        <v>10702121</v>
      </c>
      <c r="O150" s="162">
        <v>11256036</v>
      </c>
      <c r="P150" s="162">
        <v>9238429</v>
      </c>
      <c r="Q150" s="162">
        <v>6352132</v>
      </c>
      <c r="R150" s="162">
        <v>5464365</v>
      </c>
      <c r="S150" s="162">
        <v>6587509</v>
      </c>
      <c r="T150" s="162">
        <v>5979003</v>
      </c>
      <c r="U150" s="162">
        <v>3712404</v>
      </c>
      <c r="V150" s="162">
        <v>5672424</v>
      </c>
      <c r="W150" s="136">
        <v>8648057</v>
      </c>
      <c r="X150" s="136">
        <v>31685991</v>
      </c>
      <c r="Y150" s="70">
        <f t="shared" si="71"/>
        <v>23037934</v>
      </c>
    </row>
    <row r="151" spans="2:27" ht="16" hidden="1" x14ac:dyDescent="0.2">
      <c r="B151" s="121" t="s">
        <v>243</v>
      </c>
      <c r="C151" s="81" t="s">
        <v>291</v>
      </c>
      <c r="D151" s="81" t="s">
        <v>291</v>
      </c>
      <c r="E151" s="81" t="s">
        <v>318</v>
      </c>
      <c r="F151" s="80" t="s">
        <v>305</v>
      </c>
      <c r="G151" s="81" t="str">
        <f t="shared" si="69"/>
        <v>lending_cashloan_cashloan_BEG_loan_grant_fee</v>
      </c>
      <c r="H151" s="125"/>
      <c r="I151" s="134" t="s">
        <v>187</v>
      </c>
      <c r="J151" s="136">
        <f>SUM(M151:X151)</f>
        <v>0</v>
      </c>
      <c r="K151" s="136"/>
      <c r="L151" s="136"/>
      <c r="M151" s="162"/>
      <c r="N151" s="162"/>
      <c r="O151" s="162"/>
      <c r="P151" s="162"/>
      <c r="Q151" s="162"/>
      <c r="R151" s="136"/>
      <c r="S151" s="164"/>
      <c r="T151" s="136"/>
      <c r="U151" s="136"/>
      <c r="V151" s="136"/>
      <c r="W151" s="136"/>
      <c r="X151" s="136"/>
      <c r="Y151" s="70">
        <f t="shared" si="71"/>
        <v>0</v>
      </c>
    </row>
    <row r="152" spans="2:27" s="54" customFormat="1" hidden="1" x14ac:dyDescent="0.2">
      <c r="B152" s="121" t="s">
        <v>243</v>
      </c>
      <c r="C152" s="81" t="s">
        <v>291</v>
      </c>
      <c r="D152" s="81" t="s">
        <v>291</v>
      </c>
      <c r="E152" s="81" t="s">
        <v>318</v>
      </c>
      <c r="F152" s="80" t="s">
        <v>306</v>
      </c>
      <c r="G152" s="81" t="str">
        <f t="shared" si="69"/>
        <v>lending_cashloan_cashloan_BEG_other_TOI</v>
      </c>
      <c r="H152" s="125"/>
      <c r="I152" s="132" t="s">
        <v>269</v>
      </c>
      <c r="J152" s="139">
        <f>SUM(M152:X152)</f>
        <v>433675909</v>
      </c>
      <c r="K152" s="139"/>
      <c r="L152" s="139"/>
      <c r="M152" s="166"/>
      <c r="N152" s="166"/>
      <c r="O152" s="166">
        <v>18480786</v>
      </c>
      <c r="P152" s="166">
        <v>19452520</v>
      </c>
      <c r="Q152" s="166">
        <v>59325016</v>
      </c>
      <c r="R152" s="166">
        <v>10459161</v>
      </c>
      <c r="S152" s="166">
        <v>21477017</v>
      </c>
      <c r="T152" s="139">
        <v>23067370</v>
      </c>
      <c r="U152" s="178">
        <v>81677496</v>
      </c>
      <c r="V152" s="139">
        <v>71224002</v>
      </c>
      <c r="W152" s="139">
        <v>40023330</v>
      </c>
      <c r="X152" s="139">
        <v>88489211</v>
      </c>
      <c r="Y152" s="70">
        <f t="shared" si="71"/>
        <v>48465881</v>
      </c>
    </row>
    <row r="153" spans="2:27" hidden="1" x14ac:dyDescent="0.2">
      <c r="B153" s="121" t="s">
        <v>243</v>
      </c>
      <c r="C153" s="81" t="s">
        <v>291</v>
      </c>
      <c r="D153" s="81" t="s">
        <v>291</v>
      </c>
      <c r="E153" s="81" t="s">
        <v>318</v>
      </c>
      <c r="F153" s="80" t="s">
        <v>307</v>
      </c>
      <c r="G153" s="81" t="str">
        <f t="shared" si="69"/>
        <v>lending_cashloan_cashloan_BEG_provision</v>
      </c>
      <c r="H153" s="125"/>
      <c r="I153" s="140" t="s">
        <v>270</v>
      </c>
      <c r="J153" s="131">
        <f>SUM(M153:X153)</f>
        <v>8602860879</v>
      </c>
      <c r="K153" s="168">
        <v>470950460</v>
      </c>
      <c r="L153" s="168">
        <f>483240432+166468277</f>
        <v>649708709</v>
      </c>
      <c r="M153" s="168">
        <v>2722300362</v>
      </c>
      <c r="N153" s="184">
        <v>775463976</v>
      </c>
      <c r="O153" s="184">
        <f>776785989+139598373</f>
        <v>916384362</v>
      </c>
      <c r="P153" s="140">
        <v>671454832</v>
      </c>
      <c r="Q153" s="140">
        <v>760906799</v>
      </c>
      <c r="R153" s="140">
        <f>571842697+94749822</f>
        <v>666592519</v>
      </c>
      <c r="S153" s="167">
        <v>513669457</v>
      </c>
      <c r="T153" s="168">
        <v>518326860</v>
      </c>
      <c r="U153" s="168">
        <f>318905544+14992278</f>
        <v>333897822</v>
      </c>
      <c r="V153" s="168">
        <v>342118503</v>
      </c>
      <c r="W153" s="168">
        <v>164510665</v>
      </c>
      <c r="X153" s="168">
        <v>217234722</v>
      </c>
      <c r="Y153" s="70">
        <f t="shared" si="71"/>
        <v>52724057</v>
      </c>
    </row>
    <row r="154" spans="2:27" hidden="1" x14ac:dyDescent="0.2">
      <c r="B154" s="121" t="s">
        <v>243</v>
      </c>
      <c r="C154" s="81" t="s">
        <v>291</v>
      </c>
      <c r="D154" s="81" t="s">
        <v>291</v>
      </c>
      <c r="E154" s="81" t="s">
        <v>318</v>
      </c>
      <c r="F154" s="80" t="s">
        <v>308</v>
      </c>
      <c r="G154" s="81" t="str">
        <f t="shared" si="69"/>
        <v>lending_cashloan_cashloan_BEG_variable_cost</v>
      </c>
      <c r="H154" s="125"/>
      <c r="I154" s="140" t="s">
        <v>271</v>
      </c>
      <c r="J154" s="131">
        <f t="shared" ref="J154:X154" si="81">SUM(J157:J162)</f>
        <v>277942874.65173489</v>
      </c>
      <c r="K154" s="131">
        <f t="shared" si="81"/>
        <v>41881174.589631408</v>
      </c>
      <c r="L154" s="131">
        <f t="shared" si="81"/>
        <v>41016347.758846886</v>
      </c>
      <c r="M154" s="131">
        <f t="shared" si="81"/>
        <v>28472826.665006123</v>
      </c>
      <c r="N154" s="131">
        <f t="shared" si="81"/>
        <v>31383555.227508355</v>
      </c>
      <c r="O154" s="131">
        <f t="shared" si="81"/>
        <v>16619327.354784701</v>
      </c>
      <c r="P154" s="131">
        <f t="shared" si="81"/>
        <v>12278546.033592708</v>
      </c>
      <c r="Q154" s="131">
        <f t="shared" si="81"/>
        <v>11803504.922421899</v>
      </c>
      <c r="R154" s="131">
        <f t="shared" si="81"/>
        <v>5772180.594236061</v>
      </c>
      <c r="S154" s="131">
        <f t="shared" si="81"/>
        <v>6708916.5567616187</v>
      </c>
      <c r="T154" s="131">
        <f t="shared" si="81"/>
        <v>5398617.3902374804</v>
      </c>
      <c r="U154" s="131">
        <f t="shared" si="81"/>
        <v>5203696.1298868889</v>
      </c>
      <c r="V154" s="131">
        <f t="shared" si="81"/>
        <v>16537516.789308401</v>
      </c>
      <c r="W154" s="131">
        <f t="shared" si="81"/>
        <v>35701221.442229897</v>
      </c>
      <c r="X154" s="131">
        <f t="shared" si="81"/>
        <v>102062965.54576075</v>
      </c>
      <c r="Y154" s="70">
        <f t="shared" si="71"/>
        <v>66361744.103530854</v>
      </c>
      <c r="Z154" s="70"/>
    </row>
    <row r="155" spans="2:27" ht="16" hidden="1" x14ac:dyDescent="0.2">
      <c r="B155" s="121" t="s">
        <v>243</v>
      </c>
      <c r="C155" s="81" t="s">
        <v>291</v>
      </c>
      <c r="D155" s="81" t="s">
        <v>291</v>
      </c>
      <c r="E155" s="81" t="s">
        <v>318</v>
      </c>
      <c r="F155" s="80" t="s">
        <v>198</v>
      </c>
      <c r="G155" s="81" t="str">
        <f t="shared" si="69"/>
        <v>lending_cashloan_cashloan_BEG_marketing_acquisition_cost</v>
      </c>
      <c r="H155" s="125"/>
      <c r="I155" s="142" t="s">
        <v>272</v>
      </c>
      <c r="J155" s="125">
        <f t="shared" ref="J155:J160" si="82">SUM(M155:X155)</f>
        <v>0</v>
      </c>
      <c r="K155" s="122"/>
      <c r="L155" s="122"/>
      <c r="M155" s="84"/>
      <c r="N155" s="84"/>
      <c r="O155" s="84"/>
      <c r="P155" s="122"/>
      <c r="Q155" s="84"/>
      <c r="R155" s="122"/>
      <c r="S155" s="122"/>
      <c r="T155" s="125"/>
      <c r="U155" s="125"/>
      <c r="V155" s="122"/>
      <c r="W155" s="122"/>
      <c r="X155" s="122"/>
      <c r="Y155" s="70">
        <f t="shared" si="71"/>
        <v>0</v>
      </c>
      <c r="Z155" s="70"/>
    </row>
    <row r="156" spans="2:27" ht="16" hidden="1" x14ac:dyDescent="0.2">
      <c r="B156" s="121" t="s">
        <v>243</v>
      </c>
      <c r="C156" s="81" t="s">
        <v>291</v>
      </c>
      <c r="D156" s="81" t="s">
        <v>291</v>
      </c>
      <c r="E156" s="81" t="s">
        <v>318</v>
      </c>
      <c r="F156" s="80" t="s">
        <v>309</v>
      </c>
      <c r="G156" s="81" t="str">
        <f t="shared" si="69"/>
        <v>lending_cashloan_cashloan_BEG_partner_acquisition_cost</v>
      </c>
      <c r="H156" s="125"/>
      <c r="I156" s="142" t="s">
        <v>202</v>
      </c>
      <c r="J156" s="131">
        <f t="shared" si="82"/>
        <v>0</v>
      </c>
      <c r="K156" s="185">
        <v>0</v>
      </c>
      <c r="L156" s="140"/>
      <c r="M156" s="168"/>
      <c r="N156" s="184"/>
      <c r="O156" s="184"/>
      <c r="P156" s="140"/>
      <c r="Q156" s="140"/>
      <c r="R156" s="140"/>
      <c r="S156" s="140">
        <v>0</v>
      </c>
      <c r="T156" s="140"/>
      <c r="U156" s="185"/>
      <c r="V156" s="185"/>
      <c r="W156" s="185"/>
      <c r="X156" s="140"/>
      <c r="Y156" s="70">
        <f t="shared" si="71"/>
        <v>0</v>
      </c>
      <c r="Z156" s="70"/>
    </row>
    <row r="157" spans="2:27" ht="16" hidden="1" x14ac:dyDescent="0.2">
      <c r="B157" s="121" t="s">
        <v>243</v>
      </c>
      <c r="C157" s="81" t="s">
        <v>291</v>
      </c>
      <c r="D157" s="81" t="s">
        <v>291</v>
      </c>
      <c r="E157" s="81" t="s">
        <v>318</v>
      </c>
      <c r="F157" s="80" t="s">
        <v>310</v>
      </c>
      <c r="G157" s="81" t="str">
        <f t="shared" si="69"/>
        <v>lending_cashloan_cashloan_BEG_underwritting</v>
      </c>
      <c r="H157" s="125"/>
      <c r="I157" s="142" t="s">
        <v>273</v>
      </c>
      <c r="J157" s="125">
        <f t="shared" si="82"/>
        <v>104147277.21246785</v>
      </c>
      <c r="K157" s="125">
        <v>18488891.687863324</v>
      </c>
      <c r="L157" s="125">
        <v>14731844.316265805</v>
      </c>
      <c r="M157" s="84">
        <v>6813199.3934879489</v>
      </c>
      <c r="N157" s="84">
        <v>4729128.7924198899</v>
      </c>
      <c r="O157" s="84">
        <v>3153679.3797142645</v>
      </c>
      <c r="P157" s="84">
        <v>869153.57778608007</v>
      </c>
      <c r="Q157" s="84">
        <v>1066768.3903966597</v>
      </c>
      <c r="R157" s="125">
        <v>1040612.2108705391</v>
      </c>
      <c r="S157" s="125">
        <v>1034447.2581518372</v>
      </c>
      <c r="T157" s="125">
        <v>993026.3112201785</v>
      </c>
      <c r="U157" s="125">
        <v>918160.77834988944</v>
      </c>
      <c r="V157" s="125">
        <v>7926774.3932603244</v>
      </c>
      <c r="W157" s="125">
        <v>19314502.509398915</v>
      </c>
      <c r="X157" s="125">
        <v>56287824.217411324</v>
      </c>
      <c r="Y157" s="70">
        <f t="shared" si="71"/>
        <v>36973321.70801241</v>
      </c>
    </row>
    <row r="158" spans="2:27" ht="16" hidden="1" x14ac:dyDescent="0.2">
      <c r="B158" s="121" t="s">
        <v>243</v>
      </c>
      <c r="C158" s="81" t="s">
        <v>291</v>
      </c>
      <c r="D158" s="81" t="s">
        <v>291</v>
      </c>
      <c r="E158" s="81" t="s">
        <v>318</v>
      </c>
      <c r="F158" s="80" t="s">
        <v>311</v>
      </c>
      <c r="G158" s="81" t="str">
        <f t="shared" si="69"/>
        <v>lending_cashloan_cashloan_BEG_e_contract</v>
      </c>
      <c r="H158" s="125"/>
      <c r="I158" s="142" t="s">
        <v>274</v>
      </c>
      <c r="J158" s="125">
        <f t="shared" si="82"/>
        <v>742614</v>
      </c>
      <c r="K158" s="125">
        <v>39928</v>
      </c>
      <c r="L158" s="125">
        <v>25772</v>
      </c>
      <c r="M158" s="84">
        <v>13860</v>
      </c>
      <c r="N158" s="153">
        <v>3823</v>
      </c>
      <c r="O158" s="153">
        <v>5898</v>
      </c>
      <c r="P158" s="153">
        <v>3185</v>
      </c>
      <c r="Q158" s="153"/>
      <c r="R158" s="143">
        <v>3765</v>
      </c>
      <c r="S158" s="143">
        <v>9000</v>
      </c>
      <c r="T158" s="125">
        <v>1800</v>
      </c>
      <c r="U158" s="125">
        <v>1996</v>
      </c>
      <c r="V158" s="125">
        <v>43052</v>
      </c>
      <c r="W158" s="125">
        <v>105484</v>
      </c>
      <c r="X158" s="125">
        <v>550751</v>
      </c>
      <c r="Y158" s="70">
        <f t="shared" si="71"/>
        <v>445267</v>
      </c>
    </row>
    <row r="159" spans="2:27" ht="16" hidden="1" x14ac:dyDescent="0.2">
      <c r="B159" s="121" t="s">
        <v>243</v>
      </c>
      <c r="C159" s="81" t="s">
        <v>291</v>
      </c>
      <c r="D159" s="81" t="s">
        <v>291</v>
      </c>
      <c r="E159" s="81" t="s">
        <v>318</v>
      </c>
      <c r="F159" s="80" t="s">
        <v>312</v>
      </c>
      <c r="G159" s="81" t="str">
        <f t="shared" si="69"/>
        <v>lending_cashloan_cashloan_BEG_nfc</v>
      </c>
      <c r="H159" s="125"/>
      <c r="I159" s="142" t="s">
        <v>275</v>
      </c>
      <c r="J159" s="125">
        <f t="shared" si="82"/>
        <v>1702824.6302229392</v>
      </c>
      <c r="K159" s="125"/>
      <c r="L159" s="125"/>
      <c r="M159" s="84">
        <v>65218.859578832657</v>
      </c>
      <c r="N159" s="84">
        <v>16797.818455366098</v>
      </c>
      <c r="O159" s="84">
        <v>23700.428877769835</v>
      </c>
      <c r="P159" s="84">
        <v>4255.2400061737926</v>
      </c>
      <c r="Q159" s="84"/>
      <c r="R159" s="64">
        <v>7920.5873274835758</v>
      </c>
      <c r="S159" s="143">
        <v>8366.4829288358687</v>
      </c>
      <c r="T159" s="125">
        <v>1763.1420212381709</v>
      </c>
      <c r="U159" s="125">
        <v>4487.7296231307937</v>
      </c>
      <c r="V159" s="125">
        <v>91055.785418149841</v>
      </c>
      <c r="W159" s="125">
        <v>205062.99454297408</v>
      </c>
      <c r="X159" s="125">
        <v>1274195.5614429845</v>
      </c>
      <c r="Y159" s="70">
        <f t="shared" si="71"/>
        <v>1069132.5669000105</v>
      </c>
    </row>
    <row r="160" spans="2:27" ht="16" hidden="1" x14ac:dyDescent="0.2">
      <c r="B160" s="121" t="s">
        <v>243</v>
      </c>
      <c r="C160" s="81" t="s">
        <v>291</v>
      </c>
      <c r="D160" s="81" t="s">
        <v>291</v>
      </c>
      <c r="E160" s="81" t="s">
        <v>318</v>
      </c>
      <c r="F160" s="80" t="s">
        <v>313</v>
      </c>
      <c r="G160" s="81" t="str">
        <f t="shared" si="69"/>
        <v>lending_cashloan_cashloan_BEG_collection</v>
      </c>
      <c r="H160" s="125"/>
      <c r="I160" s="142" t="s">
        <v>196</v>
      </c>
      <c r="J160" s="125">
        <f t="shared" si="82"/>
        <v>96629916.182593063</v>
      </c>
      <c r="K160" s="125">
        <v>18998003.40255155</v>
      </c>
      <c r="L160" s="125">
        <v>21869650.804501284</v>
      </c>
      <c r="M160" s="84">
        <v>17940827.358154032</v>
      </c>
      <c r="N160" s="84">
        <v>24630244.133847252</v>
      </c>
      <c r="O160" s="84">
        <v>11510735.798548669</v>
      </c>
      <c r="P160" s="84">
        <v>9960351.004512703</v>
      </c>
      <c r="Q160" s="84">
        <v>9525298.9978872407</v>
      </c>
      <c r="R160" s="125">
        <v>3738993.9708731971</v>
      </c>
      <c r="S160" s="125">
        <v>4596782</v>
      </c>
      <c r="T160" s="125">
        <v>3648056.3625332732</v>
      </c>
      <c r="U160" s="125">
        <v>3459008.8296198291</v>
      </c>
      <c r="V160" s="125">
        <v>2131509.5045637493</v>
      </c>
      <c r="W160" s="125">
        <v>2868515.9027416953</v>
      </c>
      <c r="X160" s="125">
        <v>2619592.3193114246</v>
      </c>
      <c r="Y160" s="70">
        <f t="shared" si="71"/>
        <v>-248923.58343027066</v>
      </c>
    </row>
    <row r="161" spans="2:25" ht="16" hidden="1" x14ac:dyDescent="0.2">
      <c r="B161" s="121" t="s">
        <v>243</v>
      </c>
      <c r="C161" s="81" t="s">
        <v>291</v>
      </c>
      <c r="D161" s="81" t="s">
        <v>291</v>
      </c>
      <c r="E161" s="81" t="s">
        <v>318</v>
      </c>
      <c r="F161" s="80" t="s">
        <v>314</v>
      </c>
      <c r="G161" s="81" t="str">
        <f t="shared" si="69"/>
        <v>lending_cashloan_cashloan_BEG_promotion</v>
      </c>
      <c r="H161" s="125"/>
      <c r="I161" s="142" t="s">
        <v>276</v>
      </c>
      <c r="J161" s="125"/>
      <c r="K161" s="125"/>
      <c r="L161" s="125"/>
      <c r="M161" s="84"/>
      <c r="N161" s="84"/>
      <c r="O161" s="84"/>
      <c r="P161" s="84"/>
      <c r="Q161" s="84"/>
      <c r="R161" s="125"/>
      <c r="S161" s="84"/>
      <c r="T161" s="125"/>
      <c r="U161" s="125"/>
      <c r="V161" s="125"/>
      <c r="W161" s="125"/>
      <c r="X161" s="125"/>
      <c r="Y161" s="70">
        <f t="shared" si="71"/>
        <v>0</v>
      </c>
    </row>
    <row r="162" spans="2:25" hidden="1" x14ac:dyDescent="0.2">
      <c r="B162" s="121" t="s">
        <v>243</v>
      </c>
      <c r="C162" s="81" t="s">
        <v>291</v>
      </c>
      <c r="D162" s="81" t="s">
        <v>291</v>
      </c>
      <c r="E162" s="81" t="s">
        <v>318</v>
      </c>
      <c r="F162" s="80" t="s">
        <v>315</v>
      </c>
      <c r="G162" s="81" t="str">
        <f t="shared" si="69"/>
        <v>lending_cashloan_cashloan_BEG_sms</v>
      </c>
      <c r="H162" s="125"/>
      <c r="I162" s="144" t="s">
        <v>197</v>
      </c>
      <c r="J162" s="125">
        <f>SUM(M162:X162)</f>
        <v>74720242.626451015</v>
      </c>
      <c r="K162" s="143">
        <v>4354351.499216537</v>
      </c>
      <c r="L162" s="143">
        <v>4389080.6380797997</v>
      </c>
      <c r="M162" s="143">
        <v>3639721.0537853111</v>
      </c>
      <c r="N162" s="143">
        <v>2003561.4827858456</v>
      </c>
      <c r="O162" s="143">
        <v>1925313.7476439977</v>
      </c>
      <c r="P162" s="143">
        <v>1441601.2112877511</v>
      </c>
      <c r="Q162" s="143">
        <v>1211437.5341379978</v>
      </c>
      <c r="R162" s="64">
        <v>980888.82516484137</v>
      </c>
      <c r="S162" s="125">
        <v>1060320.8156809453</v>
      </c>
      <c r="T162" s="125">
        <v>753971.57446279004</v>
      </c>
      <c r="U162" s="125">
        <v>820042.79229403916</v>
      </c>
      <c r="V162" s="125">
        <v>6345125.1060661767</v>
      </c>
      <c r="W162" s="125">
        <v>13207656.035546307</v>
      </c>
      <c r="X162" s="125">
        <v>41330602.447595008</v>
      </c>
      <c r="Y162" s="70">
        <f t="shared" si="71"/>
        <v>28122946.412048701</v>
      </c>
    </row>
    <row r="163" spans="2:25" ht="16" hidden="1" thickTop="1" x14ac:dyDescent="0.2">
      <c r="B163" s="121" t="s">
        <v>243</v>
      </c>
      <c r="C163" s="81" t="s">
        <v>291</v>
      </c>
      <c r="D163" s="81" t="s">
        <v>291</v>
      </c>
      <c r="E163" s="81" t="s">
        <v>318</v>
      </c>
      <c r="F163" s="80" t="s">
        <v>316</v>
      </c>
      <c r="G163" s="81" t="str">
        <f t="shared" si="69"/>
        <v>lending_cashloan_cashloan_BEG_profit_before_overhead</v>
      </c>
      <c r="H163" s="125"/>
      <c r="I163" s="145" t="s">
        <v>289</v>
      </c>
      <c r="J163" s="145">
        <f t="shared" ref="J163:X163" si="83">J142-J153-J156-J154</f>
        <v>-4914200751.6952353</v>
      </c>
      <c r="K163" s="145">
        <f t="shared" si="83"/>
        <v>207538025.41036859</v>
      </c>
      <c r="L163" s="145">
        <f t="shared" si="83"/>
        <v>-50031513.758846886</v>
      </c>
      <c r="M163" s="145">
        <f t="shared" si="83"/>
        <v>-2218639785.6650062</v>
      </c>
      <c r="N163" s="145">
        <f t="shared" si="83"/>
        <v>-410320652.22750837</v>
      </c>
      <c r="O163" s="145">
        <f t="shared" si="83"/>
        <v>-519506841.39828467</v>
      </c>
      <c r="P163" s="145">
        <f t="shared" si="83"/>
        <v>-338678633.0335927</v>
      </c>
      <c r="Q163" s="145">
        <f t="shared" si="83"/>
        <v>-440839012.92242187</v>
      </c>
      <c r="R163" s="145">
        <f t="shared" si="83"/>
        <v>-449950615.59423608</v>
      </c>
      <c r="S163" s="145">
        <f t="shared" si="83"/>
        <v>-324457992.55676162</v>
      </c>
      <c r="T163" s="145">
        <f t="shared" si="83"/>
        <v>-353872358.39023745</v>
      </c>
      <c r="U163" s="145">
        <f t="shared" si="83"/>
        <v>-133075867.1298869</v>
      </c>
      <c r="V163" s="145">
        <f t="shared" si="83"/>
        <v>-154703158.7893084</v>
      </c>
      <c r="W163" s="145">
        <f t="shared" si="83"/>
        <v>48743468.557770103</v>
      </c>
      <c r="X163" s="145">
        <f t="shared" si="83"/>
        <v>381100697.45423925</v>
      </c>
      <c r="Y163" s="70">
        <f t="shared" si="71"/>
        <v>332357228.89646912</v>
      </c>
    </row>
    <row r="164" spans="2:25" hidden="1" x14ac:dyDescent="0.2">
      <c r="B164" s="121"/>
      <c r="C164" s="81"/>
      <c r="D164" s="81"/>
      <c r="E164" s="81"/>
      <c r="F164" s="124"/>
      <c r="G164" s="81"/>
      <c r="H164" s="125"/>
      <c r="I164" s="148"/>
      <c r="J164" s="131"/>
      <c r="K164" s="131"/>
      <c r="L164" s="131"/>
      <c r="M164" s="131"/>
      <c r="N164" s="131"/>
      <c r="O164" s="131"/>
      <c r="P164" s="131"/>
      <c r="Q164" s="131"/>
      <c r="R164" s="131"/>
      <c r="S164" s="131"/>
      <c r="T164" s="131"/>
      <c r="U164" s="131"/>
      <c r="V164" s="131"/>
      <c r="W164" s="131"/>
      <c r="X164" s="131"/>
      <c r="Y164" s="70">
        <f t="shared" si="71"/>
        <v>0</v>
      </c>
    </row>
    <row r="165" spans="2:25" hidden="1" x14ac:dyDescent="0.2">
      <c r="B165" s="121" t="s">
        <v>243</v>
      </c>
      <c r="C165" s="81"/>
      <c r="D165" s="81"/>
      <c r="E165" s="81"/>
      <c r="F165" s="81"/>
      <c r="G165" s="81" t="str">
        <f t="shared" ref="G165:G174" si="84">B165&amp;"_"&amp;C165&amp;"_"&amp;D165&amp;"_"&amp;E165&amp;"_"&amp;F165</f>
        <v>lending____</v>
      </c>
      <c r="H165" s="125"/>
      <c r="I165" s="123" t="s">
        <v>320</v>
      </c>
      <c r="J165" s="123"/>
      <c r="K165" s="123"/>
      <c r="L165" s="123"/>
      <c r="M165" s="123"/>
      <c r="N165" s="123"/>
      <c r="O165" s="123"/>
      <c r="P165" s="123"/>
      <c r="Q165" s="123"/>
      <c r="R165" s="123"/>
      <c r="S165" s="123"/>
      <c r="T165" s="123"/>
      <c r="U165" s="123"/>
      <c r="V165" s="123"/>
      <c r="W165" s="123"/>
      <c r="X165" s="123"/>
      <c r="Y165" s="70">
        <f t="shared" si="71"/>
        <v>0</v>
      </c>
    </row>
    <row r="166" spans="2:25" ht="16" hidden="1" x14ac:dyDescent="0.2">
      <c r="B166" s="121" t="s">
        <v>243</v>
      </c>
      <c r="C166" s="81" t="s">
        <v>291</v>
      </c>
      <c r="D166" s="81" t="s">
        <v>291</v>
      </c>
      <c r="E166" s="81" t="s">
        <v>321</v>
      </c>
      <c r="F166" s="80" t="s">
        <v>292</v>
      </c>
      <c r="G166" s="81" t="str">
        <f t="shared" si="84"/>
        <v>lending_cashloan_cashloan_NGS_new_account</v>
      </c>
      <c r="H166" s="125"/>
      <c r="I166" s="126" t="s">
        <v>245</v>
      </c>
      <c r="J166" s="125">
        <f>SUM(M166:X166)</f>
        <v>0</v>
      </c>
      <c r="K166" s="84">
        <v>1</v>
      </c>
      <c r="L166" s="84"/>
      <c r="M166" s="84"/>
      <c r="N166" s="175">
        <v>0</v>
      </c>
      <c r="O166" s="84"/>
      <c r="P166" s="84"/>
      <c r="Q166" s="175"/>
      <c r="R166" s="143"/>
      <c r="S166" s="84"/>
      <c r="T166" s="84"/>
      <c r="U166" s="84"/>
      <c r="V166" s="84"/>
      <c r="W166" s="84"/>
      <c r="X166" s="84"/>
      <c r="Y166" s="70">
        <f t="shared" si="71"/>
        <v>0</v>
      </c>
    </row>
    <row r="167" spans="2:25" ht="16" hidden="1" x14ac:dyDescent="0.2">
      <c r="B167" s="121" t="s">
        <v>243</v>
      </c>
      <c r="C167" s="81" t="s">
        <v>291</v>
      </c>
      <c r="D167" s="81" t="s">
        <v>291</v>
      </c>
      <c r="E167" s="81" t="s">
        <v>321</v>
      </c>
      <c r="F167" s="126" t="s">
        <v>246</v>
      </c>
      <c r="G167" s="81" t="str">
        <f t="shared" si="84"/>
        <v>lending_cashloan_cashloan_NGS_Repeat account</v>
      </c>
      <c r="H167" s="125"/>
      <c r="I167" s="126" t="s">
        <v>246</v>
      </c>
      <c r="J167" s="125"/>
      <c r="K167" s="84"/>
      <c r="L167" s="84"/>
      <c r="M167" s="84"/>
      <c r="N167" s="175"/>
      <c r="O167" s="84"/>
      <c r="P167" s="84"/>
      <c r="Q167" s="175"/>
      <c r="R167" s="143"/>
      <c r="S167" s="84"/>
      <c r="T167" s="84"/>
      <c r="U167" s="84"/>
      <c r="V167" s="84"/>
      <c r="W167" s="84"/>
      <c r="X167" s="84"/>
      <c r="Y167" s="70">
        <f t="shared" si="71"/>
        <v>0</v>
      </c>
    </row>
    <row r="168" spans="2:25" ht="16" hidden="1" x14ac:dyDescent="0.2">
      <c r="B168" s="121" t="s">
        <v>243</v>
      </c>
      <c r="C168" s="81" t="s">
        <v>291</v>
      </c>
      <c r="D168" s="81" t="s">
        <v>291</v>
      </c>
      <c r="E168" s="81" t="s">
        <v>321</v>
      </c>
      <c r="F168" s="80" t="s">
        <v>293</v>
      </c>
      <c r="G168" s="81" t="str">
        <f t="shared" si="84"/>
        <v>lending_cashloan_cashloan_NGS_active_account</v>
      </c>
      <c r="H168" s="125"/>
      <c r="I168" s="126" t="s">
        <v>247</v>
      </c>
      <c r="J168" s="125">
        <f>SUM(M168:X168)</f>
        <v>44391</v>
      </c>
      <c r="K168" s="84">
        <v>7748</v>
      </c>
      <c r="L168" s="84">
        <v>7595</v>
      </c>
      <c r="M168" s="84">
        <f>7381-47</f>
        <v>7334</v>
      </c>
      <c r="N168" s="186">
        <f>7219-504</f>
        <v>6715</v>
      </c>
      <c r="O168" s="186">
        <f>7096-1408</f>
        <v>5688</v>
      </c>
      <c r="P168" s="84">
        <f>6957-2077</f>
        <v>4880</v>
      </c>
      <c r="Q168" s="152">
        <v>4337</v>
      </c>
      <c r="R168" s="152">
        <v>3581</v>
      </c>
      <c r="S168" s="84">
        <v>2876</v>
      </c>
      <c r="T168" s="84">
        <v>2390</v>
      </c>
      <c r="U168" s="84">
        <v>2116</v>
      </c>
      <c r="V168" s="84">
        <v>1822</v>
      </c>
      <c r="W168" s="84">
        <v>1421</v>
      </c>
      <c r="X168" s="84">
        <v>1231</v>
      </c>
      <c r="Y168" s="70">
        <f t="shared" si="71"/>
        <v>-190</v>
      </c>
    </row>
    <row r="169" spans="2:25" ht="16" hidden="1" x14ac:dyDescent="0.2">
      <c r="B169" s="121" t="s">
        <v>243</v>
      </c>
      <c r="C169" s="81" t="s">
        <v>291</v>
      </c>
      <c r="D169" s="81" t="s">
        <v>291</v>
      </c>
      <c r="E169" s="81" t="s">
        <v>321</v>
      </c>
      <c r="F169" s="80" t="s">
        <v>294</v>
      </c>
      <c r="G169" s="81" t="str">
        <f t="shared" si="84"/>
        <v>lending_cashloan_cashloan_NGS_disburse/spend</v>
      </c>
      <c r="H169" s="125"/>
      <c r="I169" s="84" t="s">
        <v>191</v>
      </c>
      <c r="J169" s="125">
        <f>SUM(M169:X169)</f>
        <v>0</v>
      </c>
      <c r="K169" s="125">
        <v>20000000</v>
      </c>
      <c r="L169" s="125"/>
      <c r="M169" s="84"/>
      <c r="N169" s="84">
        <v>0</v>
      </c>
      <c r="O169" s="84"/>
      <c r="P169" s="84"/>
      <c r="Q169" s="143"/>
      <c r="R169" s="143"/>
      <c r="S169" s="84"/>
      <c r="T169" s="84"/>
      <c r="U169" s="84"/>
      <c r="V169" s="84"/>
      <c r="W169" s="125"/>
      <c r="X169" s="125"/>
      <c r="Y169" s="70">
        <f t="shared" si="71"/>
        <v>0</v>
      </c>
    </row>
    <row r="170" spans="2:25" ht="16" hidden="1" x14ac:dyDescent="0.2">
      <c r="B170" s="121" t="s">
        <v>243</v>
      </c>
      <c r="C170" s="81" t="s">
        <v>291</v>
      </c>
      <c r="D170" s="81" t="s">
        <v>291</v>
      </c>
      <c r="E170" s="81" t="s">
        <v>321</v>
      </c>
      <c r="F170" s="124"/>
      <c r="G170" s="81" t="str">
        <f t="shared" si="84"/>
        <v>lending_cashloan_cashloan_NGS_</v>
      </c>
      <c r="H170" s="125"/>
      <c r="I170" s="84" t="s">
        <v>248</v>
      </c>
      <c r="J170" s="125">
        <f>SUM(M170:X170)</f>
        <v>0</v>
      </c>
      <c r="K170" s="125"/>
      <c r="L170" s="125"/>
      <c r="M170" s="84"/>
      <c r="N170" s="84"/>
      <c r="O170" s="84"/>
      <c r="P170" s="84"/>
      <c r="Q170" s="84"/>
      <c r="R170" s="143"/>
      <c r="S170" s="84"/>
      <c r="T170" s="84"/>
      <c r="U170" s="84"/>
      <c r="V170" s="84"/>
      <c r="W170" s="125"/>
      <c r="X170" s="125"/>
      <c r="Y170" s="70">
        <f t="shared" si="71"/>
        <v>0</v>
      </c>
    </row>
    <row r="171" spans="2:25" ht="16" hidden="1" x14ac:dyDescent="0.2">
      <c r="B171" s="121" t="s">
        <v>243</v>
      </c>
      <c r="C171" s="81" t="s">
        <v>291</v>
      </c>
      <c r="D171" s="81" t="s">
        <v>291</v>
      </c>
      <c r="E171" s="81" t="s">
        <v>321</v>
      </c>
      <c r="F171" s="124"/>
      <c r="G171" s="81" t="str">
        <f t="shared" si="84"/>
        <v>lending_cashloan_cashloan_NGS_</v>
      </c>
      <c r="H171" s="125"/>
      <c r="I171" s="84" t="s">
        <v>249</v>
      </c>
      <c r="J171" s="125">
        <f>SUM(M171:X171)</f>
        <v>0</v>
      </c>
      <c r="K171" s="125">
        <f t="shared" ref="K171:X171" si="85">K169-K170</f>
        <v>20000000</v>
      </c>
      <c r="L171" s="125">
        <f t="shared" si="85"/>
        <v>0</v>
      </c>
      <c r="M171" s="125">
        <f t="shared" si="85"/>
        <v>0</v>
      </c>
      <c r="N171" s="125">
        <f t="shared" si="85"/>
        <v>0</v>
      </c>
      <c r="O171" s="125">
        <f t="shared" si="85"/>
        <v>0</v>
      </c>
      <c r="P171" s="125">
        <f t="shared" si="85"/>
        <v>0</v>
      </c>
      <c r="Q171" s="125">
        <f t="shared" si="85"/>
        <v>0</v>
      </c>
      <c r="R171" s="125">
        <f t="shared" si="85"/>
        <v>0</v>
      </c>
      <c r="S171" s="125">
        <f t="shared" si="85"/>
        <v>0</v>
      </c>
      <c r="T171" s="125">
        <f t="shared" si="85"/>
        <v>0</v>
      </c>
      <c r="U171" s="125">
        <f t="shared" si="85"/>
        <v>0</v>
      </c>
      <c r="V171" s="125">
        <f t="shared" si="85"/>
        <v>0</v>
      </c>
      <c r="W171" s="125">
        <f t="shared" si="85"/>
        <v>0</v>
      </c>
      <c r="X171" s="125">
        <f t="shared" si="85"/>
        <v>0</v>
      </c>
      <c r="Y171" s="70">
        <f t="shared" si="71"/>
        <v>0</v>
      </c>
    </row>
    <row r="172" spans="2:25" ht="16" hidden="1" x14ac:dyDescent="0.2">
      <c r="B172" s="121" t="s">
        <v>243</v>
      </c>
      <c r="C172" s="81" t="s">
        <v>291</v>
      </c>
      <c r="D172" s="81" t="s">
        <v>291</v>
      </c>
      <c r="E172" s="81" t="s">
        <v>321</v>
      </c>
      <c r="F172" s="80" t="s">
        <v>295</v>
      </c>
      <c r="G172" s="81" t="str">
        <f t="shared" si="84"/>
        <v>lending_cashloan_cashloan_NGS_ENR</v>
      </c>
      <c r="H172" s="125"/>
      <c r="I172" s="84" t="s">
        <v>250</v>
      </c>
      <c r="J172" s="125">
        <f>W172</f>
        <v>9831658806</v>
      </c>
      <c r="K172" s="84">
        <v>83732555002</v>
      </c>
      <c r="L172" s="125">
        <v>78938488143</v>
      </c>
      <c r="M172" s="84">
        <v>75166556951</v>
      </c>
      <c r="N172" s="181">
        <v>66359905806</v>
      </c>
      <c r="O172" s="84">
        <v>52757166609</v>
      </c>
      <c r="P172" s="84">
        <v>42225315715</v>
      </c>
      <c r="Q172" s="84">
        <v>34737026839</v>
      </c>
      <c r="R172" s="155">
        <v>26861872695</v>
      </c>
      <c r="S172" s="155">
        <v>22136267888</v>
      </c>
      <c r="T172" s="125">
        <v>18283303689</v>
      </c>
      <c r="U172" s="84">
        <v>15090353471</v>
      </c>
      <c r="V172" s="84">
        <v>11978986151</v>
      </c>
      <c r="W172" s="84">
        <v>9831658806</v>
      </c>
      <c r="X172" s="125">
        <v>8206874569</v>
      </c>
      <c r="Y172" s="70">
        <f t="shared" si="71"/>
        <v>-1624784237</v>
      </c>
    </row>
    <row r="173" spans="2:25" hidden="1" x14ac:dyDescent="0.2">
      <c r="B173" s="121" t="s">
        <v>243</v>
      </c>
      <c r="C173" s="81" t="s">
        <v>291</v>
      </c>
      <c r="D173" s="81" t="s">
        <v>291</v>
      </c>
      <c r="E173" s="81" t="s">
        <v>321</v>
      </c>
      <c r="F173" s="124"/>
      <c r="G173" s="81" t="str">
        <f t="shared" si="84"/>
        <v>lending_cashloan_cashloan_NGS_</v>
      </c>
      <c r="H173" s="125"/>
      <c r="I173" s="127" t="s">
        <v>251</v>
      </c>
      <c r="J173" s="125">
        <f>X173</f>
        <v>7528043639</v>
      </c>
      <c r="K173" s="181">
        <f t="shared" ref="K173:X173" si="86">K172-K174</f>
        <v>77479646341</v>
      </c>
      <c r="L173" s="181">
        <f t="shared" si="86"/>
        <v>70421757523</v>
      </c>
      <c r="M173" s="181">
        <f t="shared" si="86"/>
        <v>64869098700</v>
      </c>
      <c r="N173" s="181">
        <f t="shared" si="86"/>
        <v>56039492514</v>
      </c>
      <c r="O173" s="181">
        <f t="shared" si="86"/>
        <v>44360689755</v>
      </c>
      <c r="P173" s="181">
        <f t="shared" si="86"/>
        <v>35736755149</v>
      </c>
      <c r="Q173" s="181">
        <f t="shared" si="86"/>
        <v>29244058396</v>
      </c>
      <c r="R173" s="155">
        <f t="shared" si="86"/>
        <v>22962788810</v>
      </c>
      <c r="S173" s="181">
        <f t="shared" si="86"/>
        <v>18807538936</v>
      </c>
      <c r="T173" s="181">
        <f t="shared" si="86"/>
        <v>15723456830</v>
      </c>
      <c r="U173" s="181">
        <f t="shared" si="86"/>
        <v>13139900276</v>
      </c>
      <c r="V173" s="181">
        <f t="shared" si="86"/>
        <v>10720626146</v>
      </c>
      <c r="W173" s="181">
        <f t="shared" si="86"/>
        <v>8808297379</v>
      </c>
      <c r="X173" s="181">
        <f t="shared" si="86"/>
        <v>7528043639</v>
      </c>
      <c r="Y173" s="70">
        <f t="shared" si="71"/>
        <v>-1280253740</v>
      </c>
    </row>
    <row r="174" spans="2:25" hidden="1" x14ac:dyDescent="0.2">
      <c r="B174" s="121" t="s">
        <v>243</v>
      </c>
      <c r="C174" s="81" t="s">
        <v>291</v>
      </c>
      <c r="D174" s="81" t="s">
        <v>291</v>
      </c>
      <c r="E174" s="81" t="s">
        <v>321</v>
      </c>
      <c r="F174" s="124"/>
      <c r="G174" s="81" t="str">
        <f t="shared" si="84"/>
        <v>lending_cashloan_cashloan_NGS_</v>
      </c>
      <c r="H174" s="125"/>
      <c r="I174" s="127" t="s">
        <v>252</v>
      </c>
      <c r="J174" s="125">
        <f>X174</f>
        <v>678830930</v>
      </c>
      <c r="K174" s="155">
        <v>6252908661</v>
      </c>
      <c r="L174" s="181">
        <v>8516730620</v>
      </c>
      <c r="M174" s="181">
        <v>10297458251</v>
      </c>
      <c r="N174" s="181">
        <v>10320413292</v>
      </c>
      <c r="O174" s="155">
        <v>8396476854</v>
      </c>
      <c r="P174" s="155">
        <v>6488560566</v>
      </c>
      <c r="Q174" s="155">
        <v>5492968443</v>
      </c>
      <c r="R174" s="155">
        <v>3899083885</v>
      </c>
      <c r="S174" s="155">
        <v>3328728952</v>
      </c>
      <c r="T174" s="128">
        <v>2559846859</v>
      </c>
      <c r="U174" s="155">
        <v>1950453195</v>
      </c>
      <c r="V174" s="155">
        <v>1258360005</v>
      </c>
      <c r="W174" s="155">
        <v>1023361427</v>
      </c>
      <c r="X174" s="181">
        <v>678830930</v>
      </c>
      <c r="Y174" s="70">
        <f t="shared" si="71"/>
        <v>-344530497</v>
      </c>
    </row>
    <row r="175" spans="2:25" hidden="1" x14ac:dyDescent="0.2">
      <c r="B175" s="121" t="s">
        <v>243</v>
      </c>
      <c r="C175" s="81" t="s">
        <v>291</v>
      </c>
      <c r="D175" s="81" t="s">
        <v>291</v>
      </c>
      <c r="E175" s="81" t="s">
        <v>321</v>
      </c>
      <c r="F175" s="124"/>
      <c r="G175" s="81"/>
      <c r="H175" s="125"/>
      <c r="I175" s="126" t="s">
        <v>253</v>
      </c>
      <c r="J175" s="125"/>
      <c r="K175" s="155">
        <v>14843033608</v>
      </c>
      <c r="L175" s="155">
        <v>23809160449</v>
      </c>
      <c r="M175" s="155">
        <v>28808231306</v>
      </c>
      <c r="N175" s="155">
        <v>27453337495</v>
      </c>
      <c r="O175" s="155">
        <v>20442256343</v>
      </c>
      <c r="P175" s="155">
        <v>14528638102</v>
      </c>
      <c r="Q175" s="155">
        <v>11433103521</v>
      </c>
      <c r="R175" s="155">
        <v>7326287036</v>
      </c>
      <c r="S175" s="158">
        <v>5958877125</v>
      </c>
      <c r="T175" s="155">
        <v>4550160302</v>
      </c>
      <c r="U175" s="155">
        <v>3435189716</v>
      </c>
      <c r="V175" s="155">
        <v>2146317511</v>
      </c>
      <c r="W175" s="128">
        <v>1694483987</v>
      </c>
      <c r="X175" s="155">
        <v>1310026391</v>
      </c>
      <c r="Y175" s="70">
        <f t="shared" si="71"/>
        <v>-384457596</v>
      </c>
    </row>
    <row r="176" spans="2:25" ht="16" hidden="1" x14ac:dyDescent="0.2">
      <c r="B176" s="121" t="s">
        <v>243</v>
      </c>
      <c r="C176" s="81" t="s">
        <v>291</v>
      </c>
      <c r="D176" s="81" t="s">
        <v>291</v>
      </c>
      <c r="E176" s="81" t="s">
        <v>321</v>
      </c>
      <c r="F176" s="80" t="s">
        <v>298</v>
      </c>
      <c r="G176" s="81" t="str">
        <f t="shared" ref="G176:G202" si="87">B176&amp;"_"&amp;C176&amp;"_"&amp;D176&amp;"_"&amp;E176&amp;"_"&amp;F176</f>
        <v>lending_cashloan_cashloan_NGS_overdue_balance_10d</v>
      </c>
      <c r="H176" s="125"/>
      <c r="I176" s="84" t="s">
        <v>254</v>
      </c>
      <c r="J176" s="125"/>
      <c r="K176" s="155">
        <v>37807560746</v>
      </c>
      <c r="L176" s="181">
        <v>41227020387</v>
      </c>
      <c r="M176" s="181">
        <v>42304330717</v>
      </c>
      <c r="N176" s="181">
        <v>38046772082</v>
      </c>
      <c r="O176" s="181">
        <v>28770344246</v>
      </c>
      <c r="P176" s="181">
        <v>21560773273</v>
      </c>
      <c r="Q176" s="143">
        <v>17202796808</v>
      </c>
      <c r="R176" s="143">
        <v>12365952697</v>
      </c>
      <c r="S176" s="143">
        <v>10761649024</v>
      </c>
      <c r="T176" s="128">
        <v>8700509009</v>
      </c>
      <c r="U176" s="155">
        <v>7120730078</v>
      </c>
      <c r="V176" s="155">
        <v>5287348978</v>
      </c>
      <c r="W176" s="155">
        <v>4185519684</v>
      </c>
      <c r="X176" s="181"/>
      <c r="Y176" s="70">
        <f t="shared" si="71"/>
        <v>-4185519684</v>
      </c>
    </row>
    <row r="177" spans="2:27" ht="16" hidden="1" x14ac:dyDescent="0.2">
      <c r="B177" s="121" t="s">
        <v>243</v>
      </c>
      <c r="C177" s="81" t="s">
        <v>291</v>
      </c>
      <c r="D177" s="81" t="s">
        <v>291</v>
      </c>
      <c r="E177" s="81" t="s">
        <v>321</v>
      </c>
      <c r="F177" s="80" t="s">
        <v>299</v>
      </c>
      <c r="G177" s="81" t="str">
        <f t="shared" si="87"/>
        <v>lending_cashloan_cashloan_NGS_overdue_balance_90d</v>
      </c>
      <c r="H177" s="125"/>
      <c r="I177" s="84" t="s">
        <v>255</v>
      </c>
      <c r="J177" s="125"/>
      <c r="K177" s="84">
        <v>16588586424</v>
      </c>
      <c r="L177" s="84">
        <v>26115203451</v>
      </c>
      <c r="M177" s="84">
        <v>30245479070</v>
      </c>
      <c r="N177" s="84">
        <v>28696582145</v>
      </c>
      <c r="O177" s="84">
        <v>21862907423</v>
      </c>
      <c r="P177" s="84">
        <v>15699816619</v>
      </c>
      <c r="Q177" s="84">
        <v>12467400262</v>
      </c>
      <c r="R177" s="125">
        <v>8502354209</v>
      </c>
      <c r="S177" s="125">
        <v>6928199665</v>
      </c>
      <c r="T177" s="125">
        <v>5477365691</v>
      </c>
      <c r="U177" s="84">
        <v>4397061135</v>
      </c>
      <c r="V177" s="84">
        <v>2977009746</v>
      </c>
      <c r="W177" s="84">
        <v>2372374366</v>
      </c>
      <c r="X177" s="84"/>
      <c r="Y177" s="70">
        <f t="shared" si="71"/>
        <v>-2372374366</v>
      </c>
    </row>
    <row r="178" spans="2:27" ht="16" hidden="1" x14ac:dyDescent="0.2">
      <c r="B178" s="121" t="s">
        <v>243</v>
      </c>
      <c r="C178" s="81" t="s">
        <v>291</v>
      </c>
      <c r="D178" s="81" t="s">
        <v>291</v>
      </c>
      <c r="E178" s="81" t="s">
        <v>321</v>
      </c>
      <c r="F178" s="124"/>
      <c r="G178" s="81" t="str">
        <f t="shared" si="87"/>
        <v>lending_cashloan_cashloan_NGS_</v>
      </c>
      <c r="H178" s="125"/>
      <c r="I178" s="84" t="s">
        <v>256</v>
      </c>
      <c r="J178" s="125"/>
      <c r="K178" s="155">
        <f t="shared" ref="K178:X178" si="88">K176-K177</f>
        <v>21218974322</v>
      </c>
      <c r="L178" s="155">
        <f t="shared" si="88"/>
        <v>15111816936</v>
      </c>
      <c r="M178" s="155">
        <f t="shared" si="88"/>
        <v>12058851647</v>
      </c>
      <c r="N178" s="155">
        <f t="shared" si="88"/>
        <v>9350189937</v>
      </c>
      <c r="O178" s="155">
        <f t="shared" si="88"/>
        <v>6907436823</v>
      </c>
      <c r="P178" s="155">
        <f t="shared" si="88"/>
        <v>5860956654</v>
      </c>
      <c r="Q178" s="155">
        <f t="shared" si="88"/>
        <v>4735396546</v>
      </c>
      <c r="R178" s="155">
        <f t="shared" si="88"/>
        <v>3863598488</v>
      </c>
      <c r="S178" s="155">
        <f t="shared" si="88"/>
        <v>3833449359</v>
      </c>
      <c r="T178" s="155">
        <f t="shared" si="88"/>
        <v>3223143318</v>
      </c>
      <c r="U178" s="155">
        <f t="shared" si="88"/>
        <v>2723668943</v>
      </c>
      <c r="V178" s="155">
        <f t="shared" si="88"/>
        <v>2310339232</v>
      </c>
      <c r="W178" s="155">
        <f t="shared" si="88"/>
        <v>1813145318</v>
      </c>
      <c r="X178" s="155">
        <f t="shared" si="88"/>
        <v>0</v>
      </c>
      <c r="Y178" s="70">
        <f t="shared" si="71"/>
        <v>-1813145318</v>
      </c>
    </row>
    <row r="179" spans="2:27" ht="16" hidden="1" x14ac:dyDescent="0.2">
      <c r="B179" s="121" t="s">
        <v>243</v>
      </c>
      <c r="C179" s="81" t="s">
        <v>291</v>
      </c>
      <c r="D179" s="81" t="s">
        <v>291</v>
      </c>
      <c r="E179" s="81" t="s">
        <v>321</v>
      </c>
      <c r="F179" s="124"/>
      <c r="G179" s="81" t="str">
        <f t="shared" si="87"/>
        <v>lending_cashloan_cashloan_NGS_</v>
      </c>
      <c r="H179" s="125"/>
      <c r="I179" s="84" t="s">
        <v>257</v>
      </c>
      <c r="J179" s="125"/>
      <c r="K179" s="177">
        <f t="shared" ref="K179:X179" si="89">K175/K172</f>
        <v>0.17726717651987886</v>
      </c>
      <c r="L179" s="177">
        <f t="shared" si="89"/>
        <v>0.30161662592104405</v>
      </c>
      <c r="M179" s="177">
        <f t="shared" si="89"/>
        <v>0.38325862557173762</v>
      </c>
      <c r="N179" s="177">
        <f t="shared" si="89"/>
        <v>0.41370368389699819</v>
      </c>
      <c r="O179" s="177">
        <f t="shared" si="89"/>
        <v>0.38747828317817007</v>
      </c>
      <c r="P179" s="177">
        <f t="shared" si="89"/>
        <v>0.34407411421293149</v>
      </c>
      <c r="Q179" s="177">
        <f t="shared" si="89"/>
        <v>0.32913304797184917</v>
      </c>
      <c r="R179" s="177">
        <f t="shared" si="89"/>
        <v>0.27273925087746009</v>
      </c>
      <c r="S179" s="177">
        <f t="shared" si="89"/>
        <v>0.26919068540141261</v>
      </c>
      <c r="T179" s="177">
        <f t="shared" si="89"/>
        <v>0.24886969988567037</v>
      </c>
      <c r="U179" s="177">
        <f t="shared" si="89"/>
        <v>0.22764143481473789</v>
      </c>
      <c r="V179" s="177">
        <f t="shared" si="89"/>
        <v>0.17917355308243899</v>
      </c>
      <c r="W179" s="177">
        <f t="shared" si="89"/>
        <v>0.17234975505515931</v>
      </c>
      <c r="X179" s="177">
        <f t="shared" si="89"/>
        <v>0.15962549201719131</v>
      </c>
      <c r="Y179" s="70">
        <f t="shared" si="71"/>
        <v>-1.2724263037968003E-2</v>
      </c>
    </row>
    <row r="180" spans="2:27" ht="16" hidden="1" x14ac:dyDescent="0.2">
      <c r="B180" s="121" t="s">
        <v>243</v>
      </c>
      <c r="C180" s="81" t="s">
        <v>291</v>
      </c>
      <c r="D180" s="81" t="s">
        <v>291</v>
      </c>
      <c r="E180" s="81" t="s">
        <v>321</v>
      </c>
      <c r="F180" s="80" t="s">
        <v>258</v>
      </c>
      <c r="G180" s="81" t="str">
        <f t="shared" si="87"/>
        <v>lending_cashloan_cashloan_NGS_npl</v>
      </c>
      <c r="H180" s="125"/>
      <c r="I180" s="84" t="s">
        <v>259</v>
      </c>
      <c r="J180" s="125"/>
      <c r="K180" s="177">
        <f t="shared" ref="K180:X180" si="90">K177/K172</f>
        <v>0.1981139405527966</v>
      </c>
      <c r="L180" s="177">
        <f t="shared" si="90"/>
        <v>0.33082978994595563</v>
      </c>
      <c r="M180" s="177">
        <f t="shared" si="90"/>
        <v>0.40237946630596094</v>
      </c>
      <c r="N180" s="177">
        <f t="shared" si="90"/>
        <v>0.43243856055029795</v>
      </c>
      <c r="O180" s="177">
        <f t="shared" si="90"/>
        <v>0.41440639875588658</v>
      </c>
      <c r="P180" s="177">
        <f t="shared" si="90"/>
        <v>0.37181052061199493</v>
      </c>
      <c r="Q180" s="177">
        <f t="shared" si="90"/>
        <v>0.35890809883598285</v>
      </c>
      <c r="R180" s="177">
        <f t="shared" si="90"/>
        <v>0.31652127554690579</v>
      </c>
      <c r="S180" s="177">
        <f t="shared" si="90"/>
        <v>0.31297957271088839</v>
      </c>
      <c r="T180" s="177">
        <f t="shared" si="90"/>
        <v>0.29958293009678616</v>
      </c>
      <c r="U180" s="177">
        <f t="shared" si="90"/>
        <v>0.29138224916004024</v>
      </c>
      <c r="V180" s="177">
        <f t="shared" si="90"/>
        <v>0.24851934115905799</v>
      </c>
      <c r="W180" s="177">
        <f t="shared" si="90"/>
        <v>0.24129950121460714</v>
      </c>
      <c r="X180" s="177">
        <f t="shared" si="90"/>
        <v>0</v>
      </c>
      <c r="Y180" s="70">
        <f t="shared" si="71"/>
        <v>-0.24129950121460714</v>
      </c>
    </row>
    <row r="181" spans="2:27" hidden="1" x14ac:dyDescent="0.2">
      <c r="B181" s="121" t="s">
        <v>243</v>
      </c>
      <c r="C181" s="81" t="s">
        <v>291</v>
      </c>
      <c r="D181" s="81" t="s">
        <v>291</v>
      </c>
      <c r="E181" s="81" t="s">
        <v>321</v>
      </c>
      <c r="F181" s="80" t="s">
        <v>260</v>
      </c>
      <c r="G181" s="81" t="str">
        <f t="shared" si="87"/>
        <v>lending_cashloan_cashloan_NGS_TOI</v>
      </c>
      <c r="H181" s="125"/>
      <c r="I181" s="130" t="s">
        <v>260</v>
      </c>
      <c r="J181" s="131">
        <f t="shared" ref="J181:X181" si="91">J182+J187+J191</f>
        <v>7467673857.7375011</v>
      </c>
      <c r="K181" s="131">
        <f t="shared" si="91"/>
        <v>1615174111</v>
      </c>
      <c r="L181" s="131">
        <f t="shared" si="91"/>
        <v>1366766952</v>
      </c>
      <c r="M181" s="131">
        <f t="shared" si="91"/>
        <v>1156237434</v>
      </c>
      <c r="N181" s="131">
        <f t="shared" si="91"/>
        <v>952237863</v>
      </c>
      <c r="O181" s="131">
        <f t="shared" si="91"/>
        <v>939402819.73750067</v>
      </c>
      <c r="P181" s="131">
        <f t="shared" si="91"/>
        <v>757374247</v>
      </c>
      <c r="Q181" s="131">
        <f t="shared" si="91"/>
        <v>701431890</v>
      </c>
      <c r="R181" s="131">
        <f t="shared" si="91"/>
        <v>626121975</v>
      </c>
      <c r="S181" s="131">
        <f t="shared" si="91"/>
        <v>559930380</v>
      </c>
      <c r="T181" s="131">
        <f t="shared" si="91"/>
        <v>479922588</v>
      </c>
      <c r="U181" s="131">
        <f t="shared" si="91"/>
        <v>367860360</v>
      </c>
      <c r="V181" s="131">
        <f t="shared" si="91"/>
        <v>361490830</v>
      </c>
      <c r="W181" s="131">
        <f t="shared" si="91"/>
        <v>279719436</v>
      </c>
      <c r="X181" s="131">
        <f t="shared" si="91"/>
        <v>285944035</v>
      </c>
      <c r="Y181" s="70">
        <f t="shared" si="71"/>
        <v>6224599</v>
      </c>
    </row>
    <row r="182" spans="2:27" hidden="1" x14ac:dyDescent="0.2">
      <c r="B182" s="121" t="s">
        <v>243</v>
      </c>
      <c r="C182" s="81" t="s">
        <v>291</v>
      </c>
      <c r="D182" s="81" t="s">
        <v>291</v>
      </c>
      <c r="E182" s="81" t="s">
        <v>321</v>
      </c>
      <c r="F182" s="80" t="s">
        <v>300</v>
      </c>
      <c r="G182" s="81" t="str">
        <f t="shared" si="87"/>
        <v>lending_cashloan_cashloan_NGS_NII</v>
      </c>
      <c r="H182" s="125"/>
      <c r="I182" s="132" t="s">
        <v>261</v>
      </c>
      <c r="J182" s="131">
        <f t="shared" ref="J182:X182" si="92">J183-J186</f>
        <v>6840817786.7375011</v>
      </c>
      <c r="K182" s="131">
        <f t="shared" si="92"/>
        <v>1586087340</v>
      </c>
      <c r="L182" s="131">
        <f t="shared" si="92"/>
        <v>1335836522</v>
      </c>
      <c r="M182" s="131">
        <f t="shared" si="92"/>
        <v>1135298822</v>
      </c>
      <c r="N182" s="131">
        <f t="shared" si="92"/>
        <v>939411346</v>
      </c>
      <c r="O182" s="131">
        <f t="shared" si="92"/>
        <v>881547443.73750067</v>
      </c>
      <c r="P182" s="131">
        <f t="shared" si="92"/>
        <v>717352937</v>
      </c>
      <c r="Q182" s="131">
        <f t="shared" si="92"/>
        <v>662562659</v>
      </c>
      <c r="R182" s="131">
        <f t="shared" si="92"/>
        <v>544560634</v>
      </c>
      <c r="S182" s="131">
        <f t="shared" si="92"/>
        <v>475859691</v>
      </c>
      <c r="T182" s="131">
        <f t="shared" si="92"/>
        <v>404303413</v>
      </c>
      <c r="U182" s="131">
        <f t="shared" si="92"/>
        <v>329919780</v>
      </c>
      <c r="V182" s="131">
        <f t="shared" si="92"/>
        <v>292482407</v>
      </c>
      <c r="W182" s="131">
        <f t="shared" si="92"/>
        <v>234741426</v>
      </c>
      <c r="X182" s="131">
        <f t="shared" si="92"/>
        <v>222777228</v>
      </c>
      <c r="Y182" s="70">
        <f t="shared" si="71"/>
        <v>-11964198</v>
      </c>
    </row>
    <row r="183" spans="2:27" ht="16" hidden="1" x14ac:dyDescent="0.2">
      <c r="B183" s="121" t="s">
        <v>243</v>
      </c>
      <c r="C183" s="81" t="s">
        <v>291</v>
      </c>
      <c r="D183" s="81" t="s">
        <v>291</v>
      </c>
      <c r="E183" s="81" t="s">
        <v>321</v>
      </c>
      <c r="F183" s="80" t="s">
        <v>301</v>
      </c>
      <c r="G183" s="81" t="str">
        <f t="shared" si="87"/>
        <v>lending_cashloan_cashloan_NGS_CII</v>
      </c>
      <c r="H183" s="125"/>
      <c r="I183" s="134" t="s">
        <v>262</v>
      </c>
      <c r="J183" s="125">
        <f>SUM(M183:X183)</f>
        <v>9645450386</v>
      </c>
      <c r="K183" s="125">
        <f>K184+1070610104-K185</f>
        <v>2118358953</v>
      </c>
      <c r="L183" s="125">
        <f t="shared" ref="L183:W183" si="93">L184+K185-L185</f>
        <v>1860156240</v>
      </c>
      <c r="M183" s="125">
        <f t="shared" si="93"/>
        <v>1633852611</v>
      </c>
      <c r="N183" s="125">
        <f t="shared" si="93"/>
        <v>1365660036</v>
      </c>
      <c r="O183" s="125">
        <f t="shared" si="93"/>
        <v>1281047602</v>
      </c>
      <c r="P183" s="125">
        <f t="shared" si="93"/>
        <v>1039188923</v>
      </c>
      <c r="Q183" s="125">
        <f t="shared" si="93"/>
        <v>932211979</v>
      </c>
      <c r="R183" s="125">
        <f t="shared" si="93"/>
        <v>759567567</v>
      </c>
      <c r="S183" s="125">
        <f t="shared" si="93"/>
        <v>648627912</v>
      </c>
      <c r="T183" s="125">
        <f t="shared" si="93"/>
        <v>548744753</v>
      </c>
      <c r="U183" s="125">
        <f t="shared" si="93"/>
        <v>446115897</v>
      </c>
      <c r="V183" s="125">
        <f t="shared" si="93"/>
        <v>391432857</v>
      </c>
      <c r="W183" s="125">
        <f t="shared" si="93"/>
        <v>310966390</v>
      </c>
      <c r="X183" s="125">
        <f>X184+W185-X185</f>
        <v>288033859</v>
      </c>
      <c r="Y183" s="70">
        <f t="shared" si="71"/>
        <v>-22932531</v>
      </c>
    </row>
    <row r="184" spans="2:27" ht="16" hidden="1" x14ac:dyDescent="0.2">
      <c r="B184" s="121" t="s">
        <v>243</v>
      </c>
      <c r="C184" s="81" t="s">
        <v>291</v>
      </c>
      <c r="D184" s="81" t="s">
        <v>291</v>
      </c>
      <c r="E184" s="81" t="s">
        <v>321</v>
      </c>
      <c r="F184" s="80"/>
      <c r="G184" s="81" t="str">
        <f t="shared" si="87"/>
        <v>lending_cashloan_cashloan_NGS_</v>
      </c>
      <c r="H184" s="125"/>
      <c r="I184" s="183" t="s">
        <v>263</v>
      </c>
      <c r="J184" s="136">
        <f>SUM(M184:X184)</f>
        <v>8565317359</v>
      </c>
      <c r="K184" s="84">
        <v>2182423210</v>
      </c>
      <c r="L184" s="84">
        <v>1887779845</v>
      </c>
      <c r="M184" s="84">
        <v>1627009104</v>
      </c>
      <c r="N184" s="136">
        <v>1152990479</v>
      </c>
      <c r="O184" s="136">
        <v>1013789036</v>
      </c>
      <c r="P184" s="136">
        <v>897033908</v>
      </c>
      <c r="Q184" s="136">
        <v>803142604</v>
      </c>
      <c r="R184" s="136">
        <v>637600736</v>
      </c>
      <c r="S184" s="136">
        <v>619417378</v>
      </c>
      <c r="T184" s="136">
        <v>493982632</v>
      </c>
      <c r="U184" s="136">
        <v>409380520</v>
      </c>
      <c r="V184" s="136">
        <v>355580203</v>
      </c>
      <c r="W184" s="125">
        <v>285279867</v>
      </c>
      <c r="X184" s="84">
        <v>270110892</v>
      </c>
      <c r="Y184" s="70">
        <f t="shared" si="71"/>
        <v>-15168975</v>
      </c>
    </row>
    <row r="185" spans="2:27" ht="16" hidden="1" x14ac:dyDescent="0.2">
      <c r="B185" s="121" t="s">
        <v>243</v>
      </c>
      <c r="C185" s="81" t="s">
        <v>291</v>
      </c>
      <c r="D185" s="81" t="s">
        <v>291</v>
      </c>
      <c r="E185" s="81" t="s">
        <v>321</v>
      </c>
      <c r="F185" s="124"/>
      <c r="G185" s="81" t="str">
        <f t="shared" si="87"/>
        <v>lending_cashloan_cashloan_NGS_</v>
      </c>
      <c r="H185" s="125"/>
      <c r="I185" s="183" t="s">
        <v>264</v>
      </c>
      <c r="J185" s="136">
        <f>SUM(M185:X185)</f>
        <v>4914915477</v>
      </c>
      <c r="K185" s="136">
        <v>1134674361</v>
      </c>
      <c r="L185" s="136">
        <f>1143368073+ 18929893</f>
        <v>1162297966</v>
      </c>
      <c r="M185" s="136">
        <v>1155454459</v>
      </c>
      <c r="N185" s="136">
        <v>942784902</v>
      </c>
      <c r="O185" s="136">
        <v>675526336</v>
      </c>
      <c r="P185" s="136">
        <v>533371321</v>
      </c>
      <c r="Q185" s="136">
        <v>404301946</v>
      </c>
      <c r="R185" s="136">
        <v>282335115</v>
      </c>
      <c r="S185" s="136">
        <v>253124581</v>
      </c>
      <c r="T185" s="136">
        <v>198362460</v>
      </c>
      <c r="U185" s="136">
        <v>161627083</v>
      </c>
      <c r="V185" s="125">
        <v>125774429</v>
      </c>
      <c r="W185" s="125">
        <v>100087906</v>
      </c>
      <c r="X185" s="136">
        <v>82164939</v>
      </c>
      <c r="Y185" s="70">
        <f t="shared" si="71"/>
        <v>-17922967</v>
      </c>
      <c r="Z185" s="70"/>
      <c r="AA185" s="70"/>
    </row>
    <row r="186" spans="2:27" ht="16" hidden="1" x14ac:dyDescent="0.2">
      <c r="B186" s="121" t="s">
        <v>243</v>
      </c>
      <c r="C186" s="81" t="s">
        <v>291</v>
      </c>
      <c r="D186" s="81" t="s">
        <v>291</v>
      </c>
      <c r="E186" s="81" t="s">
        <v>321</v>
      </c>
      <c r="F186" s="80" t="s">
        <v>62</v>
      </c>
      <c r="G186" s="81" t="str">
        <f t="shared" si="87"/>
        <v>lending_cashloan_cashloan_NGS_COF</v>
      </c>
      <c r="H186" s="125"/>
      <c r="I186" s="134" t="s">
        <v>62</v>
      </c>
      <c r="J186" s="125">
        <f>SUM(M186:X186)</f>
        <v>2804632599.2624993</v>
      </c>
      <c r="K186" s="154">
        <v>532271613</v>
      </c>
      <c r="L186" s="143">
        <v>524319718</v>
      </c>
      <c r="M186" s="84">
        <v>498553789</v>
      </c>
      <c r="N186" s="84">
        <v>426248690</v>
      </c>
      <c r="O186" s="84">
        <v>399500158.26249939</v>
      </c>
      <c r="P186" s="84">
        <v>321835986</v>
      </c>
      <c r="Q186" s="84">
        <v>269649320</v>
      </c>
      <c r="R186" s="84">
        <v>215006933</v>
      </c>
      <c r="S186" s="82">
        <v>172768221</v>
      </c>
      <c r="T186" s="82">
        <v>144441340</v>
      </c>
      <c r="U186" s="82">
        <v>116196117</v>
      </c>
      <c r="V186" s="125">
        <v>98950450</v>
      </c>
      <c r="W186" s="125">
        <v>76224964</v>
      </c>
      <c r="X186" s="143">
        <v>65256631</v>
      </c>
      <c r="Y186" s="70">
        <f t="shared" si="71"/>
        <v>-10968333</v>
      </c>
    </row>
    <row r="187" spans="2:27" hidden="1" x14ac:dyDescent="0.2">
      <c r="B187" s="121" t="s">
        <v>243</v>
      </c>
      <c r="C187" s="81" t="s">
        <v>291</v>
      </c>
      <c r="D187" s="81" t="s">
        <v>291</v>
      </c>
      <c r="E187" s="81" t="s">
        <v>321</v>
      </c>
      <c r="F187" s="80" t="s">
        <v>302</v>
      </c>
      <c r="G187" s="81" t="str">
        <f t="shared" si="87"/>
        <v>lending_cashloan_cashloan_NGS_NFI</v>
      </c>
      <c r="H187" s="125"/>
      <c r="I187" s="132" t="s">
        <v>265</v>
      </c>
      <c r="J187" s="131">
        <f t="shared" ref="J187:X187" si="94">SUM(J188:J190)</f>
        <v>133432333</v>
      </c>
      <c r="K187" s="131">
        <f t="shared" si="94"/>
        <v>29086771</v>
      </c>
      <c r="L187" s="131">
        <f t="shared" si="94"/>
        <v>30930430</v>
      </c>
      <c r="M187" s="131">
        <f t="shared" si="94"/>
        <v>20938612</v>
      </c>
      <c r="N187" s="131">
        <f t="shared" si="94"/>
        <v>12826517</v>
      </c>
      <c r="O187" s="131">
        <f t="shared" si="94"/>
        <v>23621991</v>
      </c>
      <c r="P187" s="131">
        <f t="shared" si="94"/>
        <v>15766021</v>
      </c>
      <c r="Q187" s="131">
        <f t="shared" si="94"/>
        <v>9759969</v>
      </c>
      <c r="R187" s="131">
        <f t="shared" si="94"/>
        <v>11487643</v>
      </c>
      <c r="S187" s="131">
        <f t="shared" si="94"/>
        <v>10225439</v>
      </c>
      <c r="T187" s="131">
        <f t="shared" si="94"/>
        <v>5832434</v>
      </c>
      <c r="U187" s="131">
        <f t="shared" si="94"/>
        <v>8263119</v>
      </c>
      <c r="V187" s="131">
        <f t="shared" si="94"/>
        <v>7348332</v>
      </c>
      <c r="W187" s="131">
        <f t="shared" si="94"/>
        <v>3928242</v>
      </c>
      <c r="X187" s="131">
        <f t="shared" si="94"/>
        <v>3434014</v>
      </c>
      <c r="Y187" s="70">
        <f t="shared" si="71"/>
        <v>-494228</v>
      </c>
    </row>
    <row r="188" spans="2:27" ht="16" hidden="1" x14ac:dyDescent="0.2">
      <c r="B188" s="121" t="s">
        <v>243</v>
      </c>
      <c r="C188" s="81" t="s">
        <v>291</v>
      </c>
      <c r="D188" s="81" t="s">
        <v>291</v>
      </c>
      <c r="E188" s="81" t="s">
        <v>321</v>
      </c>
      <c r="F188" s="80" t="s">
        <v>303</v>
      </c>
      <c r="G188" s="81" t="str">
        <f t="shared" si="87"/>
        <v>lending_cashloan_cashloan_NGS_insurance_fee</v>
      </c>
      <c r="H188" s="125"/>
      <c r="I188" s="134" t="s">
        <v>266</v>
      </c>
      <c r="J188" s="136">
        <f>SUM(M188:X188)</f>
        <v>0</v>
      </c>
      <c r="K188" s="136"/>
      <c r="L188" s="164"/>
      <c r="M188" s="162"/>
      <c r="N188" s="64">
        <v>0</v>
      </c>
      <c r="O188" s="162"/>
      <c r="P188" s="162"/>
      <c r="Q188" s="162"/>
      <c r="R188" s="136"/>
      <c r="S188" s="164"/>
      <c r="T188" s="136"/>
      <c r="U188" s="163"/>
      <c r="V188" s="136"/>
      <c r="W188" s="136"/>
      <c r="X188" s="164"/>
      <c r="Y188" s="70">
        <f t="shared" si="71"/>
        <v>0</v>
      </c>
    </row>
    <row r="189" spans="2:27" ht="16" hidden="1" x14ac:dyDescent="0.2">
      <c r="B189" s="121" t="s">
        <v>243</v>
      </c>
      <c r="C189" s="81" t="s">
        <v>291</v>
      </c>
      <c r="D189" s="81" t="s">
        <v>291</v>
      </c>
      <c r="E189" s="81" t="s">
        <v>321</v>
      </c>
      <c r="F189" s="80" t="s">
        <v>304</v>
      </c>
      <c r="G189" s="81" t="str">
        <f t="shared" si="87"/>
        <v>lending_cashloan_cashloan_NGS_early_terminate_fee</v>
      </c>
      <c r="H189" s="125"/>
      <c r="I189" s="134" t="s">
        <v>267</v>
      </c>
      <c r="J189" s="136">
        <f>SUM(M189:X189)</f>
        <v>133432333</v>
      </c>
      <c r="K189" s="136">
        <v>29086771</v>
      </c>
      <c r="L189" s="136">
        <v>30930430</v>
      </c>
      <c r="M189" s="84">
        <v>20938612</v>
      </c>
      <c r="N189" s="64">
        <v>12826517</v>
      </c>
      <c r="O189" s="162">
        <v>23621991</v>
      </c>
      <c r="P189" s="162">
        <v>15766021</v>
      </c>
      <c r="Q189" s="162">
        <v>9759969</v>
      </c>
      <c r="R189" s="162">
        <v>11487643</v>
      </c>
      <c r="S189" s="162">
        <v>10225439</v>
      </c>
      <c r="T189" s="162">
        <v>5832434</v>
      </c>
      <c r="U189" s="162">
        <v>8263119</v>
      </c>
      <c r="V189" s="162">
        <v>7348332</v>
      </c>
      <c r="W189" s="136">
        <v>3928242</v>
      </c>
      <c r="X189" s="136">
        <v>3434014</v>
      </c>
      <c r="Y189" s="70">
        <f t="shared" si="71"/>
        <v>-494228</v>
      </c>
    </row>
    <row r="190" spans="2:27" ht="16" hidden="1" x14ac:dyDescent="0.2">
      <c r="B190" s="121" t="s">
        <v>243</v>
      </c>
      <c r="C190" s="81" t="s">
        <v>291</v>
      </c>
      <c r="D190" s="81" t="s">
        <v>291</v>
      </c>
      <c r="E190" s="81" t="s">
        <v>321</v>
      </c>
      <c r="F190" s="80" t="s">
        <v>305</v>
      </c>
      <c r="G190" s="81" t="str">
        <f t="shared" si="87"/>
        <v>lending_cashloan_cashloan_NGS_loan_grant_fee</v>
      </c>
      <c r="H190" s="125"/>
      <c r="I190" s="134" t="s">
        <v>187</v>
      </c>
      <c r="J190" s="136">
        <f>SUM(M190:X190)</f>
        <v>0</v>
      </c>
      <c r="K190" s="136"/>
      <c r="L190" s="136"/>
      <c r="M190" s="162"/>
      <c r="N190" s="162"/>
      <c r="O190" s="162"/>
      <c r="P190" s="162"/>
      <c r="Q190" s="162"/>
      <c r="R190" s="136"/>
      <c r="S190" s="164"/>
      <c r="T190" s="136"/>
      <c r="U190" s="136"/>
      <c r="V190" s="136"/>
      <c r="W190" s="136"/>
      <c r="X190" s="136"/>
      <c r="Y190" s="70">
        <f t="shared" si="71"/>
        <v>0</v>
      </c>
    </row>
    <row r="191" spans="2:27" s="54" customFormat="1" hidden="1" x14ac:dyDescent="0.2">
      <c r="B191" s="121" t="s">
        <v>243</v>
      </c>
      <c r="C191" s="81" t="s">
        <v>291</v>
      </c>
      <c r="D191" s="81" t="s">
        <v>291</v>
      </c>
      <c r="E191" s="165" t="s">
        <v>321</v>
      </c>
      <c r="F191" s="80" t="s">
        <v>306</v>
      </c>
      <c r="G191" s="165" t="str">
        <f t="shared" si="87"/>
        <v>lending_cashloan_cashloan_NGS_other_TOI</v>
      </c>
      <c r="H191" s="125"/>
      <c r="I191" s="132" t="s">
        <v>269</v>
      </c>
      <c r="J191" s="139">
        <f>SUM(M191:X191)</f>
        <v>493423738</v>
      </c>
      <c r="K191" s="139"/>
      <c r="L191" s="139"/>
      <c r="M191" s="166"/>
      <c r="N191" s="166"/>
      <c r="O191" s="166">
        <v>34233385</v>
      </c>
      <c r="P191" s="166">
        <v>24255289</v>
      </c>
      <c r="Q191" s="166">
        <v>29109262</v>
      </c>
      <c r="R191" s="166">
        <v>70073698</v>
      </c>
      <c r="S191" s="166">
        <v>73845250</v>
      </c>
      <c r="T191" s="139">
        <v>69786741</v>
      </c>
      <c r="U191" s="139">
        <v>29677461</v>
      </c>
      <c r="V191" s="139">
        <v>61660091</v>
      </c>
      <c r="W191" s="139">
        <v>41049768</v>
      </c>
      <c r="X191" s="139">
        <v>59732793</v>
      </c>
      <c r="Y191" s="70">
        <f t="shared" si="71"/>
        <v>18683025</v>
      </c>
    </row>
    <row r="192" spans="2:27" hidden="1" x14ac:dyDescent="0.2">
      <c r="B192" s="121" t="s">
        <v>243</v>
      </c>
      <c r="C192" s="81" t="s">
        <v>291</v>
      </c>
      <c r="D192" s="81" t="s">
        <v>291</v>
      </c>
      <c r="E192" s="81" t="s">
        <v>321</v>
      </c>
      <c r="F192" s="80" t="s">
        <v>307</v>
      </c>
      <c r="G192" s="81" t="str">
        <f t="shared" si="87"/>
        <v>lending_cashloan_cashloan_NGS_provision</v>
      </c>
      <c r="H192" s="125"/>
      <c r="I192" s="140" t="s">
        <v>270</v>
      </c>
      <c r="J192" s="131">
        <f>SUM(M192:X192)</f>
        <v>36701108517</v>
      </c>
      <c r="K192" s="168">
        <v>1675502913</v>
      </c>
      <c r="L192" s="168">
        <f>1667429581+310971680</f>
        <v>1978401261</v>
      </c>
      <c r="M192" s="168">
        <v>4463613863</v>
      </c>
      <c r="N192" s="184">
        <v>8274164051</v>
      </c>
      <c r="O192" s="184">
        <f>6882028510+347483352</f>
        <v>7229511862</v>
      </c>
      <c r="P192" s="140">
        <v>3637268435</v>
      </c>
      <c r="Q192" s="140">
        <v>3968913595</v>
      </c>
      <c r="R192" s="140">
        <f>2163891037+135426906</f>
        <v>2299317943</v>
      </c>
      <c r="S192" s="167">
        <v>1595177932</v>
      </c>
      <c r="T192" s="168">
        <v>1473555846</v>
      </c>
      <c r="U192" s="168">
        <f>1486413037+80500327</f>
        <v>1566913364</v>
      </c>
      <c r="V192" s="140">
        <v>826035171</v>
      </c>
      <c r="W192" s="140">
        <v>750236450</v>
      </c>
      <c r="X192" s="140">
        <v>616400005</v>
      </c>
      <c r="Y192" s="70">
        <f t="shared" si="71"/>
        <v>-133836445</v>
      </c>
    </row>
    <row r="193" spans="2:25" hidden="1" x14ac:dyDescent="0.2">
      <c r="B193" s="121" t="s">
        <v>243</v>
      </c>
      <c r="C193" s="81" t="s">
        <v>291</v>
      </c>
      <c r="D193" s="81" t="s">
        <v>291</v>
      </c>
      <c r="E193" s="81" t="s">
        <v>321</v>
      </c>
      <c r="F193" s="80" t="s">
        <v>308</v>
      </c>
      <c r="G193" s="81" t="str">
        <f t="shared" si="87"/>
        <v>lending_cashloan_cashloan_NGS_variable_cost</v>
      </c>
      <c r="H193" s="125"/>
      <c r="I193" s="140" t="s">
        <v>271</v>
      </c>
      <c r="J193" s="131">
        <f t="shared" ref="J193:X193" si="95">SUM(J194:J201)</f>
        <v>281034785.16685247</v>
      </c>
      <c r="K193" s="131">
        <f t="shared" si="95"/>
        <v>57481158.771861568</v>
      </c>
      <c r="L193" s="131">
        <f t="shared" si="95"/>
        <v>59449401.449715674</v>
      </c>
      <c r="M193" s="131">
        <f t="shared" si="95"/>
        <v>46167859.864670515</v>
      </c>
      <c r="N193" s="131">
        <f t="shared" si="95"/>
        <v>76364537.504044667</v>
      </c>
      <c r="O193" s="131">
        <f t="shared" si="95"/>
        <v>30819639.829582319</v>
      </c>
      <c r="P193" s="131">
        <f t="shared" si="95"/>
        <v>28505128.781318597</v>
      </c>
      <c r="Q193" s="131">
        <f t="shared" si="95"/>
        <v>27136591.876444098</v>
      </c>
      <c r="R193" s="131">
        <f t="shared" si="95"/>
        <v>12917226.950947205</v>
      </c>
      <c r="S193" s="131">
        <f t="shared" si="95"/>
        <v>15270584.744383667</v>
      </c>
      <c r="T193" s="131">
        <f t="shared" si="95"/>
        <v>11230853.657907503</v>
      </c>
      <c r="U193" s="131">
        <f t="shared" si="95"/>
        <v>10906718.116906669</v>
      </c>
      <c r="V193" s="131">
        <f t="shared" si="95"/>
        <v>7442677.591605573</v>
      </c>
      <c r="W193" s="131">
        <f t="shared" si="95"/>
        <v>8593517.4803198725</v>
      </c>
      <c r="X193" s="131">
        <f t="shared" si="95"/>
        <v>5679448.7687217947</v>
      </c>
      <c r="Y193" s="70">
        <f t="shared" si="71"/>
        <v>-2914068.7115980778</v>
      </c>
    </row>
    <row r="194" spans="2:25" ht="16" hidden="1" x14ac:dyDescent="0.2">
      <c r="B194" s="121" t="s">
        <v>243</v>
      </c>
      <c r="C194" s="81" t="s">
        <v>291</v>
      </c>
      <c r="D194" s="81" t="s">
        <v>291</v>
      </c>
      <c r="E194" s="81" t="s">
        <v>321</v>
      </c>
      <c r="F194" s="80" t="s">
        <v>198</v>
      </c>
      <c r="G194" s="81" t="str">
        <f t="shared" si="87"/>
        <v>lending_cashloan_cashloan_NGS_marketing_acquisition_cost</v>
      </c>
      <c r="H194" s="125"/>
      <c r="I194" s="142" t="s">
        <v>272</v>
      </c>
      <c r="J194" s="125">
        <f t="shared" ref="J194:J199" si="96">SUM(M194:X194)</f>
        <v>0</v>
      </c>
      <c r="K194" s="122"/>
      <c r="L194" s="122"/>
      <c r="M194" s="84"/>
      <c r="N194" s="84"/>
      <c r="O194" s="84"/>
      <c r="P194" s="122"/>
      <c r="Q194" s="84"/>
      <c r="R194" s="122"/>
      <c r="S194" s="122"/>
      <c r="T194" s="125"/>
      <c r="U194" s="125"/>
      <c r="V194" s="122"/>
      <c r="W194" s="122"/>
      <c r="X194" s="122"/>
      <c r="Y194" s="70">
        <f t="shared" si="71"/>
        <v>0</v>
      </c>
    </row>
    <row r="195" spans="2:25" ht="16" hidden="1" x14ac:dyDescent="0.2">
      <c r="B195" s="121" t="s">
        <v>243</v>
      </c>
      <c r="C195" s="81" t="s">
        <v>291</v>
      </c>
      <c r="D195" s="81" t="s">
        <v>291</v>
      </c>
      <c r="E195" s="81" t="s">
        <v>321</v>
      </c>
      <c r="F195" s="80" t="s">
        <v>309</v>
      </c>
      <c r="G195" s="81" t="str">
        <f t="shared" si="87"/>
        <v>lending_cashloan_cashloan_NGS_partner_acquisition_cost</v>
      </c>
      <c r="H195" s="125"/>
      <c r="I195" s="142" t="s">
        <v>202</v>
      </c>
      <c r="J195" s="131">
        <f t="shared" si="96"/>
        <v>0</v>
      </c>
      <c r="K195" s="131"/>
      <c r="L195" s="168"/>
      <c r="M195" s="168"/>
      <c r="N195" s="184"/>
      <c r="O195" s="140"/>
      <c r="P195" s="131"/>
      <c r="Q195" s="140"/>
      <c r="R195" s="140"/>
      <c r="S195" s="140"/>
      <c r="T195" s="140"/>
      <c r="U195" s="185"/>
      <c r="V195" s="187"/>
      <c r="W195" s="187"/>
      <c r="X195" s="140"/>
      <c r="Y195" s="70">
        <f t="shared" si="71"/>
        <v>0</v>
      </c>
    </row>
    <row r="196" spans="2:25" ht="16" hidden="1" x14ac:dyDescent="0.2">
      <c r="B196" s="121" t="s">
        <v>243</v>
      </c>
      <c r="C196" s="81" t="s">
        <v>291</v>
      </c>
      <c r="D196" s="81" t="s">
        <v>291</v>
      </c>
      <c r="E196" s="81" t="s">
        <v>321</v>
      </c>
      <c r="F196" s="80" t="s">
        <v>310</v>
      </c>
      <c r="G196" s="81" t="str">
        <f t="shared" si="87"/>
        <v>lending_cashloan_cashloan_NGS_underwritting</v>
      </c>
      <c r="H196" s="125"/>
      <c r="I196" s="142" t="s">
        <v>273</v>
      </c>
      <c r="J196" s="125">
        <f t="shared" si="96"/>
        <v>0</v>
      </c>
      <c r="K196" s="125">
        <v>568775.33358588733</v>
      </c>
      <c r="L196" s="125">
        <v>0</v>
      </c>
      <c r="M196" s="125"/>
      <c r="N196" s="125"/>
      <c r="O196" s="125"/>
      <c r="P196" s="125"/>
      <c r="Q196" s="125"/>
      <c r="R196" s="125"/>
      <c r="S196" s="125"/>
      <c r="T196" s="125"/>
      <c r="U196" s="125"/>
      <c r="V196" s="125"/>
      <c r="W196" s="125"/>
      <c r="X196" s="125"/>
      <c r="Y196" s="70">
        <f t="shared" ref="Y196:Y259" si="97">X196-W196</f>
        <v>0</v>
      </c>
    </row>
    <row r="197" spans="2:25" ht="16" hidden="1" x14ac:dyDescent="0.2">
      <c r="B197" s="121" t="s">
        <v>243</v>
      </c>
      <c r="C197" s="81" t="s">
        <v>291</v>
      </c>
      <c r="D197" s="81" t="s">
        <v>291</v>
      </c>
      <c r="E197" s="81" t="s">
        <v>321</v>
      </c>
      <c r="F197" s="80" t="s">
        <v>311</v>
      </c>
      <c r="G197" s="81" t="str">
        <f t="shared" si="87"/>
        <v>lending_cashloan_cashloan_NGS_e_contract</v>
      </c>
      <c r="H197" s="125"/>
      <c r="I197" s="142" t="s">
        <v>274</v>
      </c>
      <c r="J197" s="125">
        <f t="shared" si="96"/>
        <v>0</v>
      </c>
      <c r="K197" s="125">
        <v>770</v>
      </c>
      <c r="L197" s="125">
        <f>$H$80*L166</f>
        <v>0</v>
      </c>
      <c r="M197" s="84"/>
      <c r="N197" s="153"/>
      <c r="O197" s="153"/>
      <c r="P197" s="153"/>
      <c r="Q197" s="153"/>
      <c r="R197" s="143"/>
      <c r="S197" s="125"/>
      <c r="T197" s="125"/>
      <c r="U197" s="125"/>
      <c r="V197" s="125"/>
      <c r="W197" s="125"/>
      <c r="X197" s="125"/>
      <c r="Y197" s="70">
        <f t="shared" si="97"/>
        <v>0</v>
      </c>
    </row>
    <row r="198" spans="2:25" ht="16" hidden="1" x14ac:dyDescent="0.2">
      <c r="B198" s="121" t="s">
        <v>243</v>
      </c>
      <c r="C198" s="81" t="s">
        <v>291</v>
      </c>
      <c r="D198" s="81" t="s">
        <v>291</v>
      </c>
      <c r="E198" s="81" t="s">
        <v>321</v>
      </c>
      <c r="F198" s="80" t="s">
        <v>312</v>
      </c>
      <c r="G198" s="81" t="str">
        <f t="shared" si="87"/>
        <v>lending_cashloan_cashloan_NGS_nfc</v>
      </c>
      <c r="H198" s="125"/>
      <c r="I198" s="142" t="s">
        <v>275</v>
      </c>
      <c r="J198" s="125">
        <f t="shared" si="96"/>
        <v>0</v>
      </c>
      <c r="K198" s="125"/>
      <c r="L198" s="125"/>
      <c r="M198" s="84"/>
      <c r="N198" s="84"/>
      <c r="O198" s="84"/>
      <c r="P198" s="122"/>
      <c r="Q198" s="84"/>
      <c r="R198" s="170"/>
      <c r="S198" s="125"/>
      <c r="T198" s="125"/>
      <c r="U198" s="125"/>
      <c r="V198" s="125"/>
      <c r="W198" s="125"/>
      <c r="X198" s="125"/>
      <c r="Y198" s="70">
        <f t="shared" si="97"/>
        <v>0</v>
      </c>
    </row>
    <row r="199" spans="2:25" ht="16" hidden="1" x14ac:dyDescent="0.2">
      <c r="B199" s="121" t="s">
        <v>243</v>
      </c>
      <c r="C199" s="81" t="s">
        <v>291</v>
      </c>
      <c r="D199" s="81" t="s">
        <v>291</v>
      </c>
      <c r="E199" s="81" t="s">
        <v>321</v>
      </c>
      <c r="F199" s="80" t="s">
        <v>313</v>
      </c>
      <c r="G199" s="81" t="str">
        <f t="shared" si="87"/>
        <v>lending_cashloan_cashloan_NGS_collection</v>
      </c>
      <c r="H199" s="125"/>
      <c r="I199" s="142" t="s">
        <v>196</v>
      </c>
      <c r="J199" s="125">
        <f t="shared" si="96"/>
        <v>257630522.21047062</v>
      </c>
      <c r="K199" s="125">
        <v>55180321.956628874</v>
      </c>
      <c r="L199" s="125">
        <v>56007857.734791048</v>
      </c>
      <c r="M199" s="84">
        <v>42048577.65890424</v>
      </c>
      <c r="N199" s="84">
        <v>74217602.193438485</v>
      </c>
      <c r="O199" s="84">
        <v>28135053.867315903</v>
      </c>
      <c r="P199" s="84">
        <v>25092288.868810829</v>
      </c>
      <c r="Q199" s="84">
        <v>24846971.73482031</v>
      </c>
      <c r="R199" s="125">
        <v>11145028.764039215</v>
      </c>
      <c r="S199" s="125">
        <v>13264365</v>
      </c>
      <c r="T199" s="125">
        <v>10137014.588063473</v>
      </c>
      <c r="U199" s="125">
        <v>9650309.8450778574</v>
      </c>
      <c r="V199" s="125">
        <v>6287057.4462342523</v>
      </c>
      <c r="W199" s="125">
        <v>7711796.4625637271</v>
      </c>
      <c r="X199" s="125">
        <v>5094455.7812023293</v>
      </c>
      <c r="Y199" s="70">
        <f t="shared" si="97"/>
        <v>-2617340.6813613977</v>
      </c>
    </row>
    <row r="200" spans="2:25" ht="16" hidden="1" x14ac:dyDescent="0.2">
      <c r="B200" s="121" t="s">
        <v>243</v>
      </c>
      <c r="C200" s="81" t="s">
        <v>291</v>
      </c>
      <c r="D200" s="81" t="s">
        <v>291</v>
      </c>
      <c r="E200" s="81" t="s">
        <v>321</v>
      </c>
      <c r="F200" s="80" t="s">
        <v>314</v>
      </c>
      <c r="G200" s="81" t="str">
        <f t="shared" si="87"/>
        <v>lending_cashloan_cashloan_NGS_promotion</v>
      </c>
      <c r="H200" s="125"/>
      <c r="I200" s="142" t="s">
        <v>276</v>
      </c>
      <c r="J200" s="125"/>
      <c r="K200" s="125"/>
      <c r="L200" s="125"/>
      <c r="M200" s="84"/>
      <c r="N200" s="84"/>
      <c r="O200" s="84"/>
      <c r="P200" s="84"/>
      <c r="Q200" s="84"/>
      <c r="R200" s="125"/>
      <c r="S200" s="84"/>
      <c r="T200" s="125"/>
      <c r="U200" s="125"/>
      <c r="V200" s="125"/>
      <c r="W200" s="125"/>
      <c r="X200" s="125"/>
      <c r="Y200" s="70">
        <f t="shared" si="97"/>
        <v>0</v>
      </c>
    </row>
    <row r="201" spans="2:25" ht="16" hidden="1" x14ac:dyDescent="0.2">
      <c r="B201" s="121" t="s">
        <v>243</v>
      </c>
      <c r="C201" s="81" t="s">
        <v>291</v>
      </c>
      <c r="D201" s="81" t="s">
        <v>291</v>
      </c>
      <c r="E201" s="81" t="s">
        <v>321</v>
      </c>
      <c r="F201" s="80" t="s">
        <v>315</v>
      </c>
      <c r="G201" s="81" t="str">
        <f t="shared" si="87"/>
        <v>lending_cashloan_cashloan_NGS_sms</v>
      </c>
      <c r="H201" s="125"/>
      <c r="I201" s="144" t="s">
        <v>197</v>
      </c>
      <c r="J201" s="125">
        <f>SUM(M201:X201)</f>
        <v>23404262.956381865</v>
      </c>
      <c r="K201" s="143">
        <v>1731291.4816468037</v>
      </c>
      <c r="L201" s="143">
        <v>3441543.7149246223</v>
      </c>
      <c r="M201" s="143">
        <v>4119282.2057662746</v>
      </c>
      <c r="N201" s="143">
        <v>2146935.3106061863</v>
      </c>
      <c r="O201" s="143">
        <v>2684585.9622664172</v>
      </c>
      <c r="P201" s="143">
        <v>3412839.9125077697</v>
      </c>
      <c r="Q201" s="143">
        <v>2289620.1416237867</v>
      </c>
      <c r="R201" s="170">
        <v>1772198.1869079906</v>
      </c>
      <c r="S201" s="125">
        <v>2006219.7443836657</v>
      </c>
      <c r="T201" s="125">
        <v>1093839.0698440303</v>
      </c>
      <c r="U201" s="125">
        <v>1256408.2718288107</v>
      </c>
      <c r="V201" s="125">
        <v>1155620.1453713209</v>
      </c>
      <c r="W201" s="125">
        <v>881721.01775614626</v>
      </c>
      <c r="X201" s="125">
        <v>584992.9875194655</v>
      </c>
      <c r="Y201" s="70">
        <f t="shared" si="97"/>
        <v>-296728.03023668076</v>
      </c>
    </row>
    <row r="202" spans="2:25" ht="16" hidden="1" thickTop="1" x14ac:dyDescent="0.2">
      <c r="B202" s="121" t="s">
        <v>243</v>
      </c>
      <c r="C202" s="81" t="s">
        <v>291</v>
      </c>
      <c r="D202" s="81" t="s">
        <v>291</v>
      </c>
      <c r="E202" s="81" t="s">
        <v>321</v>
      </c>
      <c r="F202" s="80" t="s">
        <v>316</v>
      </c>
      <c r="G202" s="81" t="str">
        <f t="shared" si="87"/>
        <v>lending_cashloan_cashloan_NGS_profit_before_overhead</v>
      </c>
      <c r="H202" s="125"/>
      <c r="I202" s="145" t="s">
        <v>289</v>
      </c>
      <c r="J202" s="145">
        <f t="shared" ref="J202:X202" si="98">J181-J192-J193</f>
        <v>-29514469444.429348</v>
      </c>
      <c r="K202" s="145">
        <f t="shared" si="98"/>
        <v>-117809960.77186157</v>
      </c>
      <c r="L202" s="145">
        <f t="shared" si="98"/>
        <v>-671083710.44971561</v>
      </c>
      <c r="M202" s="145">
        <f t="shared" si="98"/>
        <v>-3353544288.8646708</v>
      </c>
      <c r="N202" s="145">
        <f t="shared" si="98"/>
        <v>-7398290725.5040445</v>
      </c>
      <c r="O202" s="145">
        <f t="shared" si="98"/>
        <v>-6320928682.0920811</v>
      </c>
      <c r="P202" s="145">
        <f t="shared" si="98"/>
        <v>-2908399316.7813187</v>
      </c>
      <c r="Q202" s="145">
        <f t="shared" si="98"/>
        <v>-3294618296.8764439</v>
      </c>
      <c r="R202" s="145">
        <f t="shared" si="98"/>
        <v>-1686113194.9509473</v>
      </c>
      <c r="S202" s="145">
        <f t="shared" si="98"/>
        <v>-1050518136.7443837</v>
      </c>
      <c r="T202" s="145">
        <f t="shared" si="98"/>
        <v>-1004864111.6579075</v>
      </c>
      <c r="U202" s="145">
        <f t="shared" si="98"/>
        <v>-1209959722.1169066</v>
      </c>
      <c r="V202" s="145">
        <f t="shared" si="98"/>
        <v>-471987018.59160554</v>
      </c>
      <c r="W202" s="145">
        <f t="shared" si="98"/>
        <v>-479110531.48031986</v>
      </c>
      <c r="X202" s="145">
        <f t="shared" si="98"/>
        <v>-336135418.76872182</v>
      </c>
      <c r="Y202" s="70">
        <f t="shared" si="97"/>
        <v>142975112.71159804</v>
      </c>
    </row>
    <row r="203" spans="2:25" hidden="1" x14ac:dyDescent="0.2">
      <c r="B203" s="121"/>
      <c r="C203" s="81"/>
      <c r="D203" s="81"/>
      <c r="E203" s="81"/>
      <c r="F203" s="80"/>
      <c r="G203" s="81"/>
      <c r="H203" s="125"/>
      <c r="I203" s="148"/>
      <c r="J203" s="131"/>
      <c r="K203" s="131"/>
      <c r="L203" s="131"/>
      <c r="M203" s="131"/>
      <c r="N203" s="131"/>
      <c r="O203" s="131"/>
      <c r="P203" s="131"/>
      <c r="Q203" s="131"/>
      <c r="R203" s="131"/>
      <c r="S203" s="131"/>
      <c r="T203" s="131"/>
      <c r="U203" s="131"/>
      <c r="V203" s="131"/>
      <c r="W203" s="131"/>
      <c r="X203" s="131"/>
      <c r="Y203" s="70">
        <f t="shared" si="97"/>
        <v>0</v>
      </c>
    </row>
    <row r="204" spans="2:25" hidden="1" x14ac:dyDescent="0.2">
      <c r="B204" s="121" t="s">
        <v>243</v>
      </c>
      <c r="C204" s="81" t="s">
        <v>291</v>
      </c>
      <c r="D204" s="81" t="s">
        <v>291</v>
      </c>
      <c r="E204" s="81" t="s">
        <v>211</v>
      </c>
      <c r="F204" s="81"/>
      <c r="G204" s="81" t="str">
        <f t="shared" ref="G204:G241" si="99">B204&amp;"_"&amp;C204&amp;"_"&amp;D204&amp;"_"&amp;E204&amp;"_"&amp;F204</f>
        <v>lending_cashloan_cashloan_CAKE_</v>
      </c>
      <c r="H204" s="125"/>
      <c r="I204" s="123" t="s">
        <v>322</v>
      </c>
      <c r="J204" s="123"/>
      <c r="K204" s="123"/>
      <c r="L204" s="123"/>
      <c r="M204" s="123"/>
      <c r="N204" s="123"/>
      <c r="O204" s="123"/>
      <c r="P204" s="123"/>
      <c r="Q204" s="123"/>
      <c r="R204" s="123"/>
      <c r="S204" s="123"/>
      <c r="T204" s="123"/>
      <c r="U204" s="123"/>
      <c r="V204" s="123"/>
      <c r="W204" s="123"/>
      <c r="X204" s="123"/>
      <c r="Y204" s="70">
        <f t="shared" si="97"/>
        <v>0</v>
      </c>
    </row>
    <row r="205" spans="2:25" ht="16" hidden="1" x14ac:dyDescent="0.2">
      <c r="B205" s="121" t="s">
        <v>243</v>
      </c>
      <c r="C205" s="81" t="s">
        <v>291</v>
      </c>
      <c r="D205" s="81" t="s">
        <v>291</v>
      </c>
      <c r="E205" s="81" t="s">
        <v>211</v>
      </c>
      <c r="F205" s="80" t="s">
        <v>292</v>
      </c>
      <c r="G205" s="81" t="str">
        <f t="shared" si="99"/>
        <v>lending_cashloan_cashloan_CAKE_new_account</v>
      </c>
      <c r="H205" s="125"/>
      <c r="I205" s="126" t="s">
        <v>245</v>
      </c>
      <c r="J205" s="125">
        <f>SUM(M205:X205)</f>
        <v>256420</v>
      </c>
      <c r="K205" s="84">
        <v>13552</v>
      </c>
      <c r="L205" s="84">
        <v>15624</v>
      </c>
      <c r="M205" s="84">
        <v>13937</v>
      </c>
      <c r="N205" s="180">
        <v>10289</v>
      </c>
      <c r="O205" s="84">
        <v>15916</v>
      </c>
      <c r="P205" s="84">
        <v>15688</v>
      </c>
      <c r="Q205" s="84">
        <v>15500</v>
      </c>
      <c r="R205" s="84">
        <v>18609</v>
      </c>
      <c r="S205" s="82">
        <v>24183</v>
      </c>
      <c r="T205" s="84">
        <v>21277</v>
      </c>
      <c r="U205" s="84">
        <v>25356</v>
      </c>
      <c r="V205" s="84">
        <v>27889</v>
      </c>
      <c r="W205" s="84">
        <v>35244</v>
      </c>
      <c r="X205" s="84">
        <v>32532</v>
      </c>
      <c r="Y205" s="70">
        <f t="shared" si="97"/>
        <v>-2712</v>
      </c>
    </row>
    <row r="206" spans="2:25" ht="16" hidden="1" x14ac:dyDescent="0.2">
      <c r="B206" s="121" t="s">
        <v>243</v>
      </c>
      <c r="C206" s="81" t="s">
        <v>291</v>
      </c>
      <c r="D206" s="81" t="s">
        <v>291</v>
      </c>
      <c r="E206" s="81" t="s">
        <v>211</v>
      </c>
      <c r="F206" s="126" t="s">
        <v>246</v>
      </c>
      <c r="G206" s="81" t="str">
        <f t="shared" si="99"/>
        <v>lending_cashloan_cashloan_CAKE_Repeat account</v>
      </c>
      <c r="H206" s="125"/>
      <c r="I206" s="126" t="s">
        <v>246</v>
      </c>
      <c r="J206" s="125"/>
      <c r="K206" s="84">
        <v>1457</v>
      </c>
      <c r="L206" s="84">
        <v>2068</v>
      </c>
      <c r="M206" s="84">
        <v>2517</v>
      </c>
      <c r="N206" s="84">
        <v>2320</v>
      </c>
      <c r="O206" s="84">
        <v>3807</v>
      </c>
      <c r="P206" s="84">
        <v>4119</v>
      </c>
      <c r="Q206" s="84">
        <v>4003</v>
      </c>
      <c r="R206" s="84">
        <v>5239</v>
      </c>
      <c r="S206" s="84">
        <v>6878</v>
      </c>
      <c r="T206" s="84">
        <v>7172</v>
      </c>
      <c r="U206" s="84">
        <v>11523</v>
      </c>
      <c r="V206" s="82">
        <v>12791</v>
      </c>
      <c r="W206" s="84">
        <v>14095</v>
      </c>
      <c r="X206" s="84">
        <v>13676</v>
      </c>
      <c r="Y206" s="70">
        <f t="shared" si="97"/>
        <v>-419</v>
      </c>
    </row>
    <row r="207" spans="2:25" ht="16" hidden="1" x14ac:dyDescent="0.2">
      <c r="B207" s="121" t="s">
        <v>243</v>
      </c>
      <c r="C207" s="81" t="s">
        <v>291</v>
      </c>
      <c r="D207" s="81" t="s">
        <v>291</v>
      </c>
      <c r="E207" s="81" t="s">
        <v>211</v>
      </c>
      <c r="F207" s="80" t="s">
        <v>293</v>
      </c>
      <c r="G207" s="81" t="str">
        <f t="shared" si="99"/>
        <v>lending_cashloan_cashloan_CAKE_active_account</v>
      </c>
      <c r="H207" s="125"/>
      <c r="I207" s="126" t="s">
        <v>247</v>
      </c>
      <c r="J207" s="125">
        <f>SUM(M207:X207)</f>
        <v>1394685</v>
      </c>
      <c r="K207" s="84">
        <v>46995</v>
      </c>
      <c r="L207" s="84">
        <v>58579</v>
      </c>
      <c r="M207" s="84">
        <f>67803-18</f>
        <v>67785</v>
      </c>
      <c r="N207" s="180">
        <f>73516-441</f>
        <v>73075</v>
      </c>
      <c r="O207" s="180">
        <f>83211-1021</f>
        <v>82190</v>
      </c>
      <c r="P207" s="84">
        <f>92221-1656</f>
        <v>90565</v>
      </c>
      <c r="Q207" s="84">
        <f>101377-2413</f>
        <v>98964</v>
      </c>
      <c r="R207" s="152">
        <v>107363</v>
      </c>
      <c r="S207" s="152">
        <v>119486</v>
      </c>
      <c r="T207" s="84">
        <v>128198</v>
      </c>
      <c r="U207" s="84">
        <v>138424</v>
      </c>
      <c r="V207" s="84">
        <v>148368</v>
      </c>
      <c r="W207" s="84">
        <v>164833</v>
      </c>
      <c r="X207" s="84">
        <v>175434</v>
      </c>
      <c r="Y207" s="70">
        <f t="shared" si="97"/>
        <v>10601</v>
      </c>
    </row>
    <row r="208" spans="2:25" ht="16" hidden="1" x14ac:dyDescent="0.2">
      <c r="B208" s="121" t="s">
        <v>243</v>
      </c>
      <c r="C208" s="81" t="s">
        <v>291</v>
      </c>
      <c r="D208" s="81" t="s">
        <v>291</v>
      </c>
      <c r="E208" s="81" t="s">
        <v>211</v>
      </c>
      <c r="F208" s="80" t="s">
        <v>294</v>
      </c>
      <c r="G208" s="81" t="str">
        <f t="shared" si="99"/>
        <v>lending_cashloan_cashloan_CAKE_disburse/spend</v>
      </c>
      <c r="H208" s="125"/>
      <c r="I208" s="84" t="s">
        <v>191</v>
      </c>
      <c r="J208" s="125">
        <f>SUM(M208:X208)</f>
        <v>3983527400000</v>
      </c>
      <c r="K208" s="125">
        <v>133693790000</v>
      </c>
      <c r="L208" s="125">
        <v>162371980000</v>
      </c>
      <c r="M208" s="125">
        <v>148327830000</v>
      </c>
      <c r="N208" s="84">
        <v>111579440000</v>
      </c>
      <c r="O208" s="84">
        <v>175949310000</v>
      </c>
      <c r="P208" s="84">
        <v>227662410000</v>
      </c>
      <c r="Q208" s="84">
        <v>232669350000</v>
      </c>
      <c r="R208" s="84">
        <v>273801460000</v>
      </c>
      <c r="S208" s="82">
        <v>377695150000</v>
      </c>
      <c r="T208" s="84">
        <v>338629710000</v>
      </c>
      <c r="U208" s="84">
        <v>486195060000</v>
      </c>
      <c r="V208" s="84">
        <v>501046570000</v>
      </c>
      <c r="W208" s="125">
        <v>587879520000</v>
      </c>
      <c r="X208" s="125">
        <v>522091590000</v>
      </c>
      <c r="Y208" s="70">
        <f t="shared" si="97"/>
        <v>-65787930000</v>
      </c>
    </row>
    <row r="209" spans="2:28" ht="16" hidden="1" x14ac:dyDescent="0.2">
      <c r="B209" s="121" t="s">
        <v>243</v>
      </c>
      <c r="C209" s="81" t="s">
        <v>291</v>
      </c>
      <c r="D209" s="81" t="s">
        <v>291</v>
      </c>
      <c r="E209" s="81" t="s">
        <v>211</v>
      </c>
      <c r="F209" s="124"/>
      <c r="G209" s="81" t="str">
        <f t="shared" si="99"/>
        <v>lending_cashloan_cashloan_CAKE_</v>
      </c>
      <c r="H209" s="125"/>
      <c r="I209" s="84" t="s">
        <v>248</v>
      </c>
      <c r="J209" s="125">
        <f>SUM(M209:X209)</f>
        <v>3356181400000</v>
      </c>
      <c r="K209" s="125">
        <v>106560230000</v>
      </c>
      <c r="L209" s="125">
        <v>128500580000</v>
      </c>
      <c r="M209" s="84">
        <v>115740830000</v>
      </c>
      <c r="N209" s="84">
        <v>88373440000</v>
      </c>
      <c r="O209" s="84">
        <v>144699310000</v>
      </c>
      <c r="P209" s="84">
        <v>188333410000</v>
      </c>
      <c r="Q209" s="84">
        <v>193626350000</v>
      </c>
      <c r="R209" s="84">
        <v>230686460000</v>
      </c>
      <c r="S209" s="82">
        <v>316655150000</v>
      </c>
      <c r="T209" s="82">
        <v>282013710000</v>
      </c>
      <c r="U209" s="82">
        <v>415065060000</v>
      </c>
      <c r="V209" s="84">
        <v>425873570000</v>
      </c>
      <c r="W209" s="125">
        <v>508092520000</v>
      </c>
      <c r="X209" s="125">
        <v>447021590000</v>
      </c>
      <c r="Y209" s="70">
        <f t="shared" si="97"/>
        <v>-61070930000</v>
      </c>
      <c r="Z209" s="52">
        <f>N209/N208</f>
        <v>0.79202261635297688</v>
      </c>
      <c r="AA209" s="52">
        <f>O209/O208</f>
        <v>0.82239202870417627</v>
      </c>
      <c r="AB209" s="52">
        <f>P209/P208</f>
        <v>0.82724860024103231</v>
      </c>
    </row>
    <row r="210" spans="2:28" ht="16" hidden="1" x14ac:dyDescent="0.2">
      <c r="B210" s="121" t="s">
        <v>243</v>
      </c>
      <c r="C210" s="81" t="s">
        <v>291</v>
      </c>
      <c r="D210" s="81" t="s">
        <v>291</v>
      </c>
      <c r="E210" s="81" t="s">
        <v>211</v>
      </c>
      <c r="F210" s="124"/>
      <c r="G210" s="81" t="str">
        <f t="shared" si="99"/>
        <v>lending_cashloan_cashloan_CAKE_</v>
      </c>
      <c r="H210" s="125"/>
      <c r="I210" s="84" t="s">
        <v>249</v>
      </c>
      <c r="J210" s="125">
        <f>SUM(M210:X210)</f>
        <v>627346000000</v>
      </c>
      <c r="K210" s="125">
        <f t="shared" ref="K210:X210" si="100">K208-K209</f>
        <v>27133560000</v>
      </c>
      <c r="L210" s="125">
        <f t="shared" si="100"/>
        <v>33871400000</v>
      </c>
      <c r="M210" s="125">
        <f t="shared" si="100"/>
        <v>32587000000</v>
      </c>
      <c r="N210" s="125">
        <f t="shared" si="100"/>
        <v>23206000000</v>
      </c>
      <c r="O210" s="125">
        <f t="shared" si="100"/>
        <v>31250000000</v>
      </c>
      <c r="P210" s="125">
        <f t="shared" si="100"/>
        <v>39329000000</v>
      </c>
      <c r="Q210" s="125">
        <f t="shared" si="100"/>
        <v>39043000000</v>
      </c>
      <c r="R210" s="125">
        <f t="shared" si="100"/>
        <v>43115000000</v>
      </c>
      <c r="S210" s="125">
        <f t="shared" si="100"/>
        <v>61040000000</v>
      </c>
      <c r="T210" s="125">
        <f t="shared" si="100"/>
        <v>56616000000</v>
      </c>
      <c r="U210" s="125">
        <f t="shared" si="100"/>
        <v>71130000000</v>
      </c>
      <c r="V210" s="125">
        <f t="shared" si="100"/>
        <v>75173000000</v>
      </c>
      <c r="W210" s="125">
        <f t="shared" si="100"/>
        <v>79787000000</v>
      </c>
      <c r="X210" s="125">
        <f t="shared" si="100"/>
        <v>75070000000</v>
      </c>
      <c r="Y210" s="70">
        <f t="shared" si="97"/>
        <v>-4717000000</v>
      </c>
    </row>
    <row r="211" spans="2:28" ht="16" hidden="1" x14ac:dyDescent="0.2">
      <c r="B211" s="121" t="s">
        <v>243</v>
      </c>
      <c r="C211" s="81" t="s">
        <v>291</v>
      </c>
      <c r="D211" s="81" t="s">
        <v>291</v>
      </c>
      <c r="E211" s="81" t="s">
        <v>211</v>
      </c>
      <c r="F211" s="80" t="s">
        <v>295</v>
      </c>
      <c r="G211" s="81" t="str">
        <f t="shared" si="99"/>
        <v>lending_cashloan_cashloan_CAKE_ENR</v>
      </c>
      <c r="H211" s="125"/>
      <c r="I211" s="84" t="s">
        <v>250</v>
      </c>
      <c r="J211" s="125">
        <f>W211</f>
        <v>2174765666320</v>
      </c>
      <c r="K211" s="125">
        <v>430917205354</v>
      </c>
      <c r="L211" s="125">
        <v>530960277913</v>
      </c>
      <c r="M211" s="84">
        <v>617388935208</v>
      </c>
      <c r="N211" s="181">
        <v>641355826984</v>
      </c>
      <c r="O211" s="84">
        <v>714122331087</v>
      </c>
      <c r="P211" s="84">
        <v>828149405266</v>
      </c>
      <c r="Q211" s="84">
        <v>942281111056</v>
      </c>
      <c r="R211" s="84">
        <v>1061749655584</v>
      </c>
      <c r="S211" s="84">
        <v>1263411463377</v>
      </c>
      <c r="T211" s="154">
        <v>1408151899248</v>
      </c>
      <c r="U211" s="154">
        <v>1661204287348</v>
      </c>
      <c r="V211" s="84">
        <v>1884077906690</v>
      </c>
      <c r="W211" s="125">
        <v>2174765666320</v>
      </c>
      <c r="X211" s="125">
        <v>2357795195257</v>
      </c>
      <c r="Y211" s="70">
        <f t="shared" si="97"/>
        <v>183029528937</v>
      </c>
    </row>
    <row r="212" spans="2:28" hidden="1" x14ac:dyDescent="0.2">
      <c r="B212" s="121" t="s">
        <v>243</v>
      </c>
      <c r="C212" s="81" t="s">
        <v>291</v>
      </c>
      <c r="D212" s="81" t="s">
        <v>291</v>
      </c>
      <c r="E212" s="81" t="s">
        <v>211</v>
      </c>
      <c r="F212" s="124"/>
      <c r="G212" s="81" t="str">
        <f t="shared" si="99"/>
        <v>lending_cashloan_cashloan_CAKE_</v>
      </c>
      <c r="H212" s="125"/>
      <c r="I212" s="127" t="s">
        <v>251</v>
      </c>
      <c r="J212" s="125">
        <f>X212</f>
        <v>2295047495328</v>
      </c>
      <c r="K212" s="181">
        <f t="shared" ref="K212:X212" si="101">K211-K213</f>
        <v>422100966797</v>
      </c>
      <c r="L212" s="181">
        <f t="shared" si="101"/>
        <v>517835370278</v>
      </c>
      <c r="M212" s="181">
        <f t="shared" si="101"/>
        <v>600692422202</v>
      </c>
      <c r="N212" s="181">
        <f t="shared" si="101"/>
        <v>621155809636</v>
      </c>
      <c r="O212" s="181">
        <f t="shared" si="101"/>
        <v>689403927745</v>
      </c>
      <c r="P212" s="181">
        <f t="shared" si="101"/>
        <v>798923723434</v>
      </c>
      <c r="Q212" s="181">
        <f t="shared" si="101"/>
        <v>908095664284</v>
      </c>
      <c r="R212" s="181">
        <f t="shared" si="101"/>
        <v>1022836920173</v>
      </c>
      <c r="S212" s="181">
        <f t="shared" si="101"/>
        <v>1218104680936</v>
      </c>
      <c r="T212" s="181">
        <f t="shared" si="101"/>
        <v>1358233002030</v>
      </c>
      <c r="U212" s="181">
        <f t="shared" si="101"/>
        <v>1607960792957</v>
      </c>
      <c r="V212" s="181">
        <f t="shared" si="101"/>
        <v>1827894443792</v>
      </c>
      <c r="W212" s="181">
        <f t="shared" si="101"/>
        <v>2114634611309</v>
      </c>
      <c r="X212" s="181">
        <f t="shared" si="101"/>
        <v>2295047495328</v>
      </c>
      <c r="Y212" s="70">
        <f t="shared" si="97"/>
        <v>180412884019</v>
      </c>
    </row>
    <row r="213" spans="2:28" hidden="1" x14ac:dyDescent="0.2">
      <c r="B213" s="121" t="s">
        <v>243</v>
      </c>
      <c r="C213" s="81" t="s">
        <v>291</v>
      </c>
      <c r="D213" s="81" t="s">
        <v>291</v>
      </c>
      <c r="E213" s="81" t="s">
        <v>211</v>
      </c>
      <c r="F213" s="124"/>
      <c r="G213" s="81" t="str">
        <f t="shared" si="99"/>
        <v>lending_cashloan_cashloan_CAKE_</v>
      </c>
      <c r="H213" s="125"/>
      <c r="I213" s="127" t="s">
        <v>252</v>
      </c>
      <c r="J213" s="125">
        <f>X213</f>
        <v>62747699929</v>
      </c>
      <c r="K213" s="155">
        <v>8816238557</v>
      </c>
      <c r="L213" s="181">
        <v>13124907635</v>
      </c>
      <c r="M213" s="181">
        <v>16696513006</v>
      </c>
      <c r="N213" s="181">
        <v>20200017348</v>
      </c>
      <c r="O213" s="155">
        <v>24718403342</v>
      </c>
      <c r="P213" s="155">
        <v>29225681832</v>
      </c>
      <c r="Q213" s="155">
        <v>34185446772</v>
      </c>
      <c r="R213" s="155">
        <v>38912735411</v>
      </c>
      <c r="S213" s="155">
        <v>45306782441</v>
      </c>
      <c r="T213" s="128">
        <v>49918897218</v>
      </c>
      <c r="U213" s="155">
        <v>53243494391</v>
      </c>
      <c r="V213" s="155">
        <v>56183462898</v>
      </c>
      <c r="W213" s="155">
        <v>60131055011</v>
      </c>
      <c r="X213" s="181">
        <v>62747699929</v>
      </c>
      <c r="Y213" s="70">
        <f t="shared" si="97"/>
        <v>2616644918</v>
      </c>
    </row>
    <row r="214" spans="2:28" hidden="1" x14ac:dyDescent="0.2">
      <c r="B214" s="121" t="s">
        <v>243</v>
      </c>
      <c r="C214" s="81" t="s">
        <v>291</v>
      </c>
      <c r="D214" s="81" t="s">
        <v>291</v>
      </c>
      <c r="E214" s="81" t="s">
        <v>211</v>
      </c>
      <c r="F214" s="124"/>
      <c r="G214" s="81" t="str">
        <f t="shared" si="99"/>
        <v>lending_cashloan_cashloan_CAKE_</v>
      </c>
      <c r="H214" s="125"/>
      <c r="I214" s="126" t="s">
        <v>253</v>
      </c>
      <c r="J214" s="125"/>
      <c r="K214" s="128">
        <v>11051087510</v>
      </c>
      <c r="L214" s="128">
        <v>18879146723</v>
      </c>
      <c r="M214" s="128">
        <v>26684634822</v>
      </c>
      <c r="N214" s="128">
        <v>31761696462</v>
      </c>
      <c r="O214" s="128">
        <v>37033778534</v>
      </c>
      <c r="P214" s="128">
        <v>42216868178</v>
      </c>
      <c r="Q214" s="128">
        <v>54344595206</v>
      </c>
      <c r="R214" s="128">
        <v>59834049565</v>
      </c>
      <c r="S214" s="128">
        <v>68502266623</v>
      </c>
      <c r="T214" s="128">
        <v>74505015409</v>
      </c>
      <c r="U214" s="128">
        <v>79771902795</v>
      </c>
      <c r="V214" s="128">
        <v>82472427070</v>
      </c>
      <c r="W214" s="128">
        <v>89689065306</v>
      </c>
      <c r="X214" s="128">
        <v>94565914493</v>
      </c>
      <c r="Y214" s="70">
        <f t="shared" si="97"/>
        <v>4876849187</v>
      </c>
    </row>
    <row r="215" spans="2:28" ht="16" hidden="1" x14ac:dyDescent="0.2">
      <c r="B215" s="121" t="s">
        <v>243</v>
      </c>
      <c r="C215" s="81" t="s">
        <v>291</v>
      </c>
      <c r="D215" s="81" t="s">
        <v>291</v>
      </c>
      <c r="E215" s="81" t="s">
        <v>211</v>
      </c>
      <c r="F215" s="80" t="s">
        <v>298</v>
      </c>
      <c r="G215" s="81" t="str">
        <f t="shared" si="99"/>
        <v>lending_cashloan_cashloan_CAKE_overdue_balance_10d</v>
      </c>
      <c r="H215" s="125"/>
      <c r="I215" s="84" t="s">
        <v>254</v>
      </c>
      <c r="J215" s="125"/>
      <c r="K215" s="155">
        <v>43981181953</v>
      </c>
      <c r="L215" s="181">
        <v>66938507519</v>
      </c>
      <c r="M215" s="181">
        <v>78078756493</v>
      </c>
      <c r="N215" s="181">
        <v>93737286505</v>
      </c>
      <c r="O215" s="181">
        <v>117276523640</v>
      </c>
      <c r="P215" s="181">
        <v>119776011717</v>
      </c>
      <c r="Q215" s="143">
        <v>136612546684</v>
      </c>
      <c r="R215" s="128">
        <v>169752199479</v>
      </c>
      <c r="S215" s="128">
        <v>190100176557</v>
      </c>
      <c r="T215" s="188">
        <v>212166757993</v>
      </c>
      <c r="U215" s="155">
        <v>264506035865</v>
      </c>
      <c r="V215" s="155">
        <v>279118171629</v>
      </c>
      <c r="W215" s="155">
        <v>319168788986</v>
      </c>
      <c r="X215" s="181"/>
      <c r="Y215" s="70">
        <f t="shared" si="97"/>
        <v>-319168788986</v>
      </c>
    </row>
    <row r="216" spans="2:28" ht="16" hidden="1" x14ac:dyDescent="0.2">
      <c r="B216" s="121" t="s">
        <v>243</v>
      </c>
      <c r="C216" s="81" t="s">
        <v>291</v>
      </c>
      <c r="D216" s="81" t="s">
        <v>291</v>
      </c>
      <c r="E216" s="81" t="s">
        <v>211</v>
      </c>
      <c r="F216" s="80" t="s">
        <v>299</v>
      </c>
      <c r="G216" s="81" t="str">
        <f t="shared" si="99"/>
        <v>lending_cashloan_cashloan_CAKE_overdue_balance_90d</v>
      </c>
      <c r="H216" s="125"/>
      <c r="I216" s="84" t="s">
        <v>255</v>
      </c>
      <c r="J216" s="125"/>
      <c r="K216" s="84">
        <v>12150705230</v>
      </c>
      <c r="L216" s="84">
        <v>22523749863</v>
      </c>
      <c r="M216" s="84">
        <v>28983536930</v>
      </c>
      <c r="N216" s="84">
        <v>34845344495</v>
      </c>
      <c r="O216" s="84">
        <v>44861935703</v>
      </c>
      <c r="P216" s="84">
        <v>48369193381</v>
      </c>
      <c r="Q216" s="125">
        <v>60686203867</v>
      </c>
      <c r="R216" s="125">
        <v>74595491017</v>
      </c>
      <c r="S216" s="152">
        <v>77501780125</v>
      </c>
      <c r="T216" s="125">
        <v>84221729544</v>
      </c>
      <c r="U216" s="84">
        <v>100476246499</v>
      </c>
      <c r="V216" s="84">
        <v>93911606397</v>
      </c>
      <c r="W216" s="84">
        <v>104874472691</v>
      </c>
      <c r="X216" s="84"/>
      <c r="Y216" s="70">
        <f t="shared" si="97"/>
        <v>-104874472691</v>
      </c>
    </row>
    <row r="217" spans="2:28" ht="16" hidden="1" x14ac:dyDescent="0.2">
      <c r="B217" s="121" t="s">
        <v>243</v>
      </c>
      <c r="C217" s="81" t="s">
        <v>291</v>
      </c>
      <c r="D217" s="81" t="s">
        <v>291</v>
      </c>
      <c r="E217" s="81" t="s">
        <v>211</v>
      </c>
      <c r="F217" s="124"/>
      <c r="G217" s="81" t="str">
        <f t="shared" si="99"/>
        <v>lending_cashloan_cashloan_CAKE_</v>
      </c>
      <c r="H217" s="125"/>
      <c r="I217" s="84" t="s">
        <v>256</v>
      </c>
      <c r="J217" s="125"/>
      <c r="K217" s="128">
        <f t="shared" ref="K217:X217" si="102">K215-K216</f>
        <v>31830476723</v>
      </c>
      <c r="L217" s="128">
        <f t="shared" si="102"/>
        <v>44414757656</v>
      </c>
      <c r="M217" s="128">
        <f t="shared" si="102"/>
        <v>49095219563</v>
      </c>
      <c r="N217" s="128">
        <f t="shared" si="102"/>
        <v>58891942010</v>
      </c>
      <c r="O217" s="128">
        <f t="shared" si="102"/>
        <v>72414587937</v>
      </c>
      <c r="P217" s="128">
        <f t="shared" si="102"/>
        <v>71406818336</v>
      </c>
      <c r="Q217" s="128">
        <f t="shared" si="102"/>
        <v>75926342817</v>
      </c>
      <c r="R217" s="128">
        <f t="shared" si="102"/>
        <v>95156708462</v>
      </c>
      <c r="S217" s="128">
        <f t="shared" si="102"/>
        <v>112598396432</v>
      </c>
      <c r="T217" s="128">
        <f t="shared" si="102"/>
        <v>127945028449</v>
      </c>
      <c r="U217" s="128">
        <f t="shared" si="102"/>
        <v>164029789366</v>
      </c>
      <c r="V217" s="128">
        <f t="shared" si="102"/>
        <v>185206565232</v>
      </c>
      <c r="W217" s="128">
        <f t="shared" si="102"/>
        <v>214294316295</v>
      </c>
      <c r="X217" s="128">
        <f t="shared" si="102"/>
        <v>0</v>
      </c>
      <c r="Y217" s="70">
        <f t="shared" si="97"/>
        <v>-214294316295</v>
      </c>
    </row>
    <row r="218" spans="2:28" ht="16" hidden="1" x14ac:dyDescent="0.2">
      <c r="B218" s="121" t="s">
        <v>243</v>
      </c>
      <c r="C218" s="81" t="s">
        <v>291</v>
      </c>
      <c r="D218" s="81" t="s">
        <v>291</v>
      </c>
      <c r="E218" s="81" t="s">
        <v>211</v>
      </c>
      <c r="F218" s="124"/>
      <c r="G218" s="81" t="str">
        <f t="shared" si="99"/>
        <v>lending_cashloan_cashloan_CAKE_</v>
      </c>
      <c r="H218" s="125"/>
      <c r="I218" s="84" t="s">
        <v>257</v>
      </c>
      <c r="J218" s="125"/>
      <c r="K218" s="177">
        <f t="shared" ref="K218:X218" si="103">K214/K211</f>
        <v>2.5645500742820172E-2</v>
      </c>
      <c r="L218" s="177">
        <f t="shared" si="103"/>
        <v>3.5556608485302593E-2</v>
      </c>
      <c r="M218" s="177">
        <f t="shared" si="103"/>
        <v>4.3221757469640874E-2</v>
      </c>
      <c r="N218" s="177">
        <f t="shared" si="103"/>
        <v>4.9522737808995326E-2</v>
      </c>
      <c r="O218" s="177">
        <f t="shared" si="103"/>
        <v>5.1859152027397187E-2</v>
      </c>
      <c r="P218" s="177">
        <f t="shared" si="103"/>
        <v>5.0977357357927487E-2</v>
      </c>
      <c r="Q218" s="177">
        <f t="shared" si="103"/>
        <v>5.767344221205585E-2</v>
      </c>
      <c r="R218" s="177">
        <f t="shared" si="103"/>
        <v>5.635419729153493E-2</v>
      </c>
      <c r="S218" s="177">
        <f t="shared" si="103"/>
        <v>5.4220076838545378E-2</v>
      </c>
      <c r="T218" s="177">
        <f t="shared" si="103"/>
        <v>5.290978583261377E-2</v>
      </c>
      <c r="U218" s="177">
        <f t="shared" si="103"/>
        <v>4.802052547212627E-2</v>
      </c>
      <c r="V218" s="177">
        <f t="shared" si="103"/>
        <v>4.3773363499012542E-2</v>
      </c>
      <c r="W218" s="177">
        <f t="shared" si="103"/>
        <v>4.1240795132546915E-2</v>
      </c>
      <c r="X218" s="177">
        <f t="shared" si="103"/>
        <v>4.0107773008966667E-2</v>
      </c>
      <c r="Y218" s="70">
        <f t="shared" si="97"/>
        <v>-1.1330221235802476E-3</v>
      </c>
    </row>
    <row r="219" spans="2:28" ht="16" hidden="1" x14ac:dyDescent="0.2">
      <c r="B219" s="121" t="s">
        <v>243</v>
      </c>
      <c r="C219" s="81" t="s">
        <v>291</v>
      </c>
      <c r="D219" s="81" t="s">
        <v>291</v>
      </c>
      <c r="E219" s="81" t="s">
        <v>211</v>
      </c>
      <c r="F219" s="80" t="s">
        <v>258</v>
      </c>
      <c r="G219" s="81" t="str">
        <f t="shared" si="99"/>
        <v>lending_cashloan_cashloan_CAKE_npl</v>
      </c>
      <c r="H219" s="125"/>
      <c r="I219" s="84" t="s">
        <v>259</v>
      </c>
      <c r="J219" s="125"/>
      <c r="K219" s="177">
        <f t="shared" ref="K219:X219" si="104">K216/K211</f>
        <v>2.8197308158113929E-2</v>
      </c>
      <c r="L219" s="177">
        <f t="shared" si="104"/>
        <v>4.2420781365288138E-2</v>
      </c>
      <c r="M219" s="177">
        <f t="shared" si="104"/>
        <v>4.6945345595212795E-2</v>
      </c>
      <c r="N219" s="177">
        <f t="shared" si="104"/>
        <v>5.4330752179896059E-2</v>
      </c>
      <c r="O219" s="177">
        <f t="shared" si="104"/>
        <v>6.2821079456671647E-2</v>
      </c>
      <c r="P219" s="177">
        <f t="shared" si="104"/>
        <v>5.8406361308034636E-2</v>
      </c>
      <c r="Q219" s="177">
        <f t="shared" si="104"/>
        <v>6.4403502473895397E-2</v>
      </c>
      <c r="R219" s="177">
        <f t="shared" si="104"/>
        <v>7.0257137004645254E-2</v>
      </c>
      <c r="S219" s="177">
        <f t="shared" si="104"/>
        <v>6.1343261773044076E-2</v>
      </c>
      <c r="T219" s="177">
        <f t="shared" si="104"/>
        <v>5.9810116784259716E-2</v>
      </c>
      <c r="U219" s="177">
        <f t="shared" si="104"/>
        <v>6.0483979763502484E-2</v>
      </c>
      <c r="V219" s="177">
        <f t="shared" si="104"/>
        <v>4.9844863667016029E-2</v>
      </c>
      <c r="W219" s="177">
        <f t="shared" si="104"/>
        <v>4.822334392857227E-2</v>
      </c>
      <c r="X219" s="177">
        <f t="shared" si="104"/>
        <v>0</v>
      </c>
      <c r="Y219" s="70">
        <f t="shared" si="97"/>
        <v>-4.822334392857227E-2</v>
      </c>
    </row>
    <row r="220" spans="2:28" hidden="1" x14ac:dyDescent="0.2">
      <c r="B220" s="121" t="s">
        <v>243</v>
      </c>
      <c r="C220" s="81" t="s">
        <v>291</v>
      </c>
      <c r="D220" s="81" t="s">
        <v>291</v>
      </c>
      <c r="E220" s="81" t="s">
        <v>211</v>
      </c>
      <c r="F220" s="80" t="s">
        <v>260</v>
      </c>
      <c r="G220" s="81" t="str">
        <f t="shared" si="99"/>
        <v>lending_cashloan_cashloan_CAKE_TOI</v>
      </c>
      <c r="H220" s="125"/>
      <c r="I220" s="130" t="s">
        <v>260</v>
      </c>
      <c r="J220" s="131">
        <f t="shared" ref="J220:X220" si="105">J221+J226+J230</f>
        <v>670225021704.73047</v>
      </c>
      <c r="K220" s="131">
        <f t="shared" si="105"/>
        <v>18657378492</v>
      </c>
      <c r="L220" s="131">
        <f t="shared" si="105"/>
        <v>23087893809</v>
      </c>
      <c r="M220" s="131">
        <f t="shared" si="105"/>
        <v>25780512031</v>
      </c>
      <c r="N220" s="131">
        <f t="shared" si="105"/>
        <v>23596100313</v>
      </c>
      <c r="O220" s="131">
        <f t="shared" si="105"/>
        <v>30632420430.730392</v>
      </c>
      <c r="P220" s="131">
        <f t="shared" si="105"/>
        <v>36098086141</v>
      </c>
      <c r="Q220" s="131">
        <f t="shared" si="105"/>
        <v>40033936707</v>
      </c>
      <c r="R220" s="131">
        <f t="shared" si="105"/>
        <v>45600588540</v>
      </c>
      <c r="S220" s="131">
        <f t="shared" si="105"/>
        <v>56650372106</v>
      </c>
      <c r="T220" s="131">
        <f t="shared" si="105"/>
        <v>61751209503</v>
      </c>
      <c r="U220" s="131">
        <f t="shared" si="105"/>
        <v>74639914738</v>
      </c>
      <c r="V220" s="131">
        <f t="shared" si="105"/>
        <v>85319482032</v>
      </c>
      <c r="W220" s="131">
        <f t="shared" si="105"/>
        <v>92045780547</v>
      </c>
      <c r="X220" s="131">
        <f t="shared" si="105"/>
        <v>98076618616</v>
      </c>
      <c r="Y220" s="70">
        <f t="shared" si="97"/>
        <v>6030838069</v>
      </c>
    </row>
    <row r="221" spans="2:28" hidden="1" x14ac:dyDescent="0.2">
      <c r="B221" s="121" t="s">
        <v>243</v>
      </c>
      <c r="C221" s="81" t="s">
        <v>291</v>
      </c>
      <c r="D221" s="81" t="s">
        <v>291</v>
      </c>
      <c r="E221" s="81" t="s">
        <v>211</v>
      </c>
      <c r="F221" s="80" t="s">
        <v>300</v>
      </c>
      <c r="G221" s="81" t="str">
        <f t="shared" si="99"/>
        <v>lending_cashloan_cashloan_CAKE_NII</v>
      </c>
      <c r="H221" s="125"/>
      <c r="I221" s="132" t="s">
        <v>261</v>
      </c>
      <c r="J221" s="131">
        <f t="shared" ref="J221:X221" si="106">J222-J225</f>
        <v>426261810341.73041</v>
      </c>
      <c r="K221" s="131">
        <f t="shared" si="106"/>
        <v>12020929344</v>
      </c>
      <c r="L221" s="131">
        <f t="shared" si="106"/>
        <v>15014736154</v>
      </c>
      <c r="M221" s="131">
        <f t="shared" si="106"/>
        <v>18406075272</v>
      </c>
      <c r="N221" s="131">
        <f t="shared" si="106"/>
        <v>17688057492</v>
      </c>
      <c r="O221" s="131">
        <f t="shared" si="106"/>
        <v>20807979926.730392</v>
      </c>
      <c r="P221" s="131">
        <f t="shared" si="106"/>
        <v>23142048234</v>
      </c>
      <c r="Q221" s="131">
        <f t="shared" si="106"/>
        <v>26999818614</v>
      </c>
      <c r="R221" s="131">
        <f t="shared" si="106"/>
        <v>29147383247</v>
      </c>
      <c r="S221" s="131">
        <f t="shared" si="106"/>
        <v>34881702229</v>
      </c>
      <c r="T221" s="131">
        <f t="shared" si="106"/>
        <v>39982090272</v>
      </c>
      <c r="U221" s="131">
        <f t="shared" si="106"/>
        <v>43804324788</v>
      </c>
      <c r="V221" s="131">
        <f t="shared" si="106"/>
        <v>51923510007</v>
      </c>
      <c r="W221" s="131">
        <f t="shared" si="106"/>
        <v>55594494688</v>
      </c>
      <c r="X221" s="131">
        <f t="shared" si="106"/>
        <v>63884325572</v>
      </c>
      <c r="Y221" s="70">
        <f t="shared" si="97"/>
        <v>8289830884</v>
      </c>
    </row>
    <row r="222" spans="2:28" ht="16" hidden="1" x14ac:dyDescent="0.2">
      <c r="B222" s="121" t="s">
        <v>243</v>
      </c>
      <c r="C222" s="81" t="s">
        <v>291</v>
      </c>
      <c r="D222" s="81" t="s">
        <v>291</v>
      </c>
      <c r="E222" s="81" t="s">
        <v>211</v>
      </c>
      <c r="F222" s="80" t="s">
        <v>301</v>
      </c>
      <c r="G222" s="81" t="str">
        <f t="shared" si="99"/>
        <v>lending_cashloan_cashloan_CAKE_CII</v>
      </c>
      <c r="H222" s="125"/>
      <c r="I222" s="134" t="s">
        <v>262</v>
      </c>
      <c r="J222" s="125">
        <f>SUM(M222:X222)</f>
        <v>511211149174</v>
      </c>
      <c r="K222" s="125">
        <f>K223+1029668091-K224</f>
        <v>14078177919</v>
      </c>
      <c r="L222" s="125">
        <f t="shared" ref="L222:W222" si="107">L223+K224-L224</f>
        <v>17588373728</v>
      </c>
      <c r="M222" s="125">
        <f t="shared" si="107"/>
        <v>21517983371</v>
      </c>
      <c r="N222" s="125">
        <f t="shared" si="107"/>
        <v>20778347557</v>
      </c>
      <c r="O222" s="125">
        <f t="shared" si="107"/>
        <v>24489637931</v>
      </c>
      <c r="P222" s="125">
        <f t="shared" si="107"/>
        <v>27229688936</v>
      </c>
      <c r="Q222" s="125">
        <f t="shared" si="107"/>
        <v>31867805954</v>
      </c>
      <c r="R222" s="125">
        <f t="shared" si="107"/>
        <v>34497743678</v>
      </c>
      <c r="S222" s="125">
        <f t="shared" si="107"/>
        <v>41419491234</v>
      </c>
      <c r="T222" s="125">
        <f t="shared" si="107"/>
        <v>47736126542</v>
      </c>
      <c r="U222" s="125">
        <f t="shared" si="107"/>
        <v>52626364878</v>
      </c>
      <c r="V222" s="125">
        <f t="shared" si="107"/>
        <v>62845748331</v>
      </c>
      <c r="W222" s="125">
        <f t="shared" si="107"/>
        <v>67702174898</v>
      </c>
      <c r="X222" s="125">
        <f>X223+W224-X224</f>
        <v>78500035864</v>
      </c>
      <c r="Y222" s="70">
        <f t="shared" si="97"/>
        <v>10797860966</v>
      </c>
    </row>
    <row r="223" spans="2:28" ht="16" hidden="1" x14ac:dyDescent="0.2">
      <c r="B223" s="121" t="s">
        <v>243</v>
      </c>
      <c r="C223" s="81" t="s">
        <v>291</v>
      </c>
      <c r="D223" s="81" t="s">
        <v>291</v>
      </c>
      <c r="E223" s="81" t="s">
        <v>211</v>
      </c>
      <c r="F223" s="80"/>
      <c r="G223" s="81" t="str">
        <f t="shared" si="99"/>
        <v>lending_cashloan_cashloan_CAKE_</v>
      </c>
      <c r="H223" s="125"/>
      <c r="I223" s="183" t="s">
        <v>263</v>
      </c>
      <c r="J223" s="136">
        <f>SUM(M223:X223)</f>
        <v>518974059674</v>
      </c>
      <c r="K223" s="136">
        <v>14344217688</v>
      </c>
      <c r="L223" s="136">
        <v>18164625034</v>
      </c>
      <c r="M223" s="136">
        <v>21826824013</v>
      </c>
      <c r="N223" s="136">
        <v>20958210129</v>
      </c>
      <c r="O223" s="136">
        <v>24862188333</v>
      </c>
      <c r="P223" s="136">
        <v>27576323277</v>
      </c>
      <c r="Q223" s="136">
        <v>32215586978</v>
      </c>
      <c r="R223" s="136">
        <v>35008735215</v>
      </c>
      <c r="S223" s="136">
        <v>42400864409</v>
      </c>
      <c r="T223" s="136">
        <v>48200259590</v>
      </c>
      <c r="U223" s="136">
        <v>53511511977</v>
      </c>
      <c r="V223" s="136">
        <v>63947718299</v>
      </c>
      <c r="W223" s="125">
        <v>68898864795</v>
      </c>
      <c r="X223" s="136">
        <v>79566972659</v>
      </c>
      <c r="Y223" s="70">
        <f t="shared" si="97"/>
        <v>10668107864</v>
      </c>
    </row>
    <row r="224" spans="2:28" ht="16" hidden="1" x14ac:dyDescent="0.2">
      <c r="B224" s="121" t="s">
        <v>243</v>
      </c>
      <c r="C224" s="81" t="s">
        <v>291</v>
      </c>
      <c r="D224" s="81" t="s">
        <v>291</v>
      </c>
      <c r="E224" s="81" t="s">
        <v>211</v>
      </c>
      <c r="F224" s="124"/>
      <c r="G224" s="81" t="str">
        <f t="shared" si="99"/>
        <v>lending_cashloan_cashloan_CAKE_</v>
      </c>
      <c r="H224" s="125"/>
      <c r="I224" s="183" t="s">
        <v>264</v>
      </c>
      <c r="J224" s="136">
        <f>SUM(M224:X224)</f>
        <v>59868207207</v>
      </c>
      <c r="K224" s="136">
        <v>1295707860</v>
      </c>
      <c r="L224" s="136">
        <f>1660193486+ 211765680</f>
        <v>1871959166</v>
      </c>
      <c r="M224" s="136">
        <v>2180799808</v>
      </c>
      <c r="N224" s="136">
        <v>2360662380</v>
      </c>
      <c r="O224" s="136">
        <v>2733212782</v>
      </c>
      <c r="P224" s="136">
        <v>3079847123</v>
      </c>
      <c r="Q224" s="136">
        <v>3427628147</v>
      </c>
      <c r="R224" s="136">
        <v>3938619684</v>
      </c>
      <c r="S224" s="136">
        <v>4919992859</v>
      </c>
      <c r="T224" s="136">
        <v>5384125907</v>
      </c>
      <c r="U224" s="136">
        <v>6269273006</v>
      </c>
      <c r="V224" s="125">
        <v>7371242974</v>
      </c>
      <c r="W224" s="136">
        <v>8567932871</v>
      </c>
      <c r="X224" s="136">
        <v>9634869666</v>
      </c>
      <c r="Y224" s="70">
        <f t="shared" si="97"/>
        <v>1066936795</v>
      </c>
      <c r="Z224" s="70"/>
      <c r="AA224" s="70"/>
    </row>
    <row r="225" spans="2:25" ht="16" hidden="1" x14ac:dyDescent="0.2">
      <c r="B225" s="121" t="s">
        <v>243</v>
      </c>
      <c r="C225" s="81" t="s">
        <v>291</v>
      </c>
      <c r="D225" s="81" t="s">
        <v>291</v>
      </c>
      <c r="E225" s="81" t="s">
        <v>211</v>
      </c>
      <c r="F225" s="80" t="s">
        <v>62</v>
      </c>
      <c r="G225" s="81" t="str">
        <f t="shared" si="99"/>
        <v>lending_cashloan_cashloan_CAKE_COF</v>
      </c>
      <c r="H225" s="125"/>
      <c r="I225" s="134" t="s">
        <v>62</v>
      </c>
      <c r="J225" s="125">
        <f>SUM(M225:X225)</f>
        <v>84949338832.269608</v>
      </c>
      <c r="K225" s="154">
        <v>2057248575</v>
      </c>
      <c r="L225" s="143">
        <v>2573637574</v>
      </c>
      <c r="M225" s="84">
        <v>3111908099</v>
      </c>
      <c r="N225" s="84">
        <v>3090290065</v>
      </c>
      <c r="O225" s="84">
        <v>3681658004.2696085</v>
      </c>
      <c r="P225" s="84">
        <v>4087640702</v>
      </c>
      <c r="Q225" s="84">
        <v>4867987340</v>
      </c>
      <c r="R225" s="84">
        <v>5350360431</v>
      </c>
      <c r="S225" s="82">
        <v>6537789005</v>
      </c>
      <c r="T225" s="82">
        <v>7754036270</v>
      </c>
      <c r="U225" s="82">
        <v>8822040090</v>
      </c>
      <c r="V225" s="125">
        <v>10922238324</v>
      </c>
      <c r="W225" s="154">
        <v>12107680210</v>
      </c>
      <c r="X225" s="143">
        <v>14615710292</v>
      </c>
      <c r="Y225" s="70">
        <f t="shared" si="97"/>
        <v>2508030082</v>
      </c>
    </row>
    <row r="226" spans="2:25" hidden="1" x14ac:dyDescent="0.2">
      <c r="B226" s="121" t="s">
        <v>243</v>
      </c>
      <c r="C226" s="81" t="s">
        <v>291</v>
      </c>
      <c r="D226" s="81" t="s">
        <v>291</v>
      </c>
      <c r="E226" s="81" t="s">
        <v>211</v>
      </c>
      <c r="F226" s="80" t="s">
        <v>302</v>
      </c>
      <c r="G226" s="81" t="str">
        <f t="shared" si="99"/>
        <v>lending_cashloan_cashloan_CAKE_NFI</v>
      </c>
      <c r="H226" s="125"/>
      <c r="I226" s="132" t="s">
        <v>265</v>
      </c>
      <c r="J226" s="131">
        <f t="shared" ref="J226:X226" si="108">SUM(J227:J229)</f>
        <v>240911565860</v>
      </c>
      <c r="K226" s="131">
        <f t="shared" si="108"/>
        <v>6636449148</v>
      </c>
      <c r="L226" s="131">
        <f t="shared" si="108"/>
        <v>8073157655</v>
      </c>
      <c r="M226" s="131">
        <f t="shared" si="108"/>
        <v>7374436759</v>
      </c>
      <c r="N226" s="131">
        <f t="shared" si="108"/>
        <v>5902023071</v>
      </c>
      <c r="O226" s="131">
        <f t="shared" si="108"/>
        <v>9819193428</v>
      </c>
      <c r="P226" s="131">
        <f t="shared" si="108"/>
        <v>12932379976</v>
      </c>
      <c r="Q226" s="131">
        <f t="shared" si="108"/>
        <v>12974659595</v>
      </c>
      <c r="R226" s="131">
        <f t="shared" si="108"/>
        <v>16292763849</v>
      </c>
      <c r="S226" s="131">
        <f t="shared" si="108"/>
        <v>21530051534</v>
      </c>
      <c r="T226" s="131">
        <f t="shared" si="108"/>
        <v>21515772227</v>
      </c>
      <c r="U226" s="131">
        <f t="shared" si="108"/>
        <v>30445347590</v>
      </c>
      <c r="V226" s="131">
        <f t="shared" si="108"/>
        <v>32743188629</v>
      </c>
      <c r="W226" s="131">
        <f t="shared" si="108"/>
        <v>35936245843</v>
      </c>
      <c r="X226" s="131">
        <f t="shared" si="108"/>
        <v>33445503359</v>
      </c>
      <c r="Y226" s="70">
        <f t="shared" si="97"/>
        <v>-2490742484</v>
      </c>
    </row>
    <row r="227" spans="2:25" ht="16" hidden="1" x14ac:dyDescent="0.2">
      <c r="B227" s="121" t="s">
        <v>243</v>
      </c>
      <c r="C227" s="81" t="s">
        <v>291</v>
      </c>
      <c r="D227" s="81" t="s">
        <v>291</v>
      </c>
      <c r="E227" s="81" t="s">
        <v>211</v>
      </c>
      <c r="F227" s="80" t="s">
        <v>303</v>
      </c>
      <c r="G227" s="81" t="str">
        <f t="shared" si="99"/>
        <v>lending_cashloan_cashloan_CAKE_insurance_fee</v>
      </c>
      <c r="H227" s="125"/>
      <c r="I227" s="134" t="s">
        <v>266</v>
      </c>
      <c r="J227" s="136">
        <f>SUM(M227:X227)</f>
        <v>177522618474</v>
      </c>
      <c r="K227" s="136">
        <v>5968968987</v>
      </c>
      <c r="L227" s="164">
        <v>7197957219</v>
      </c>
      <c r="M227" s="164">
        <v>6483220098</v>
      </c>
      <c r="N227" s="64">
        <v>4950236337</v>
      </c>
      <c r="O227" s="162">
        <v>8105328731</v>
      </c>
      <c r="P227" s="162">
        <v>10328184724</v>
      </c>
      <c r="Q227" s="162">
        <v>10650931667</v>
      </c>
      <c r="R227" s="162">
        <v>12676007333</v>
      </c>
      <c r="S227" s="162">
        <f>830643113+16156919169</f>
        <v>16987562282</v>
      </c>
      <c r="T227" s="163">
        <f>14361478139
+761788830</f>
        <v>15123266969</v>
      </c>
      <c r="U227" s="163">
        <f>21068232062
+ 1173422431</f>
        <v>22241654493</v>
      </c>
      <c r="V227" s="136">
        <v>22586978072</v>
      </c>
      <c r="W227" s="136">
        <v>25401146847</v>
      </c>
      <c r="X227" s="164">
        <v>21988100921</v>
      </c>
      <c r="Y227" s="70">
        <f t="shared" si="97"/>
        <v>-3413045926</v>
      </c>
    </row>
    <row r="228" spans="2:25" ht="16" hidden="1" x14ac:dyDescent="0.2">
      <c r="B228" s="121" t="s">
        <v>243</v>
      </c>
      <c r="C228" s="81" t="s">
        <v>291</v>
      </c>
      <c r="D228" s="81" t="s">
        <v>291</v>
      </c>
      <c r="E228" s="81" t="s">
        <v>211</v>
      </c>
      <c r="F228" s="80" t="s">
        <v>304</v>
      </c>
      <c r="G228" s="81" t="str">
        <f t="shared" si="99"/>
        <v>lending_cashloan_cashloan_CAKE_early_terminate_fee</v>
      </c>
      <c r="H228" s="125"/>
      <c r="I228" s="134" t="s">
        <v>267</v>
      </c>
      <c r="J228" s="136">
        <f>SUM(M228:X228)</f>
        <v>63388947386</v>
      </c>
      <c r="K228" s="136">
        <v>667480161</v>
      </c>
      <c r="L228" s="136">
        <v>875200436</v>
      </c>
      <c r="M228" s="136">
        <v>891216661</v>
      </c>
      <c r="N228" s="162">
        <v>951786734</v>
      </c>
      <c r="O228" s="162">
        <v>1713864697</v>
      </c>
      <c r="P228" s="162">
        <v>2604195252</v>
      </c>
      <c r="Q228" s="162">
        <v>2323727928</v>
      </c>
      <c r="R228" s="162">
        <v>3616756516</v>
      </c>
      <c r="S228" s="162">
        <v>4542489252</v>
      </c>
      <c r="T228" s="162">
        <v>6392505258</v>
      </c>
      <c r="U228" s="162">
        <v>8203693097</v>
      </c>
      <c r="V228" s="162">
        <v>10156210557</v>
      </c>
      <c r="W228" s="136">
        <v>10535098996</v>
      </c>
      <c r="X228" s="136">
        <v>11457402438</v>
      </c>
      <c r="Y228" s="70">
        <f t="shared" si="97"/>
        <v>922303442</v>
      </c>
    </row>
    <row r="229" spans="2:25" ht="16" hidden="1" x14ac:dyDescent="0.2">
      <c r="B229" s="121" t="s">
        <v>243</v>
      </c>
      <c r="C229" s="81" t="s">
        <v>291</v>
      </c>
      <c r="D229" s="81" t="s">
        <v>291</v>
      </c>
      <c r="E229" s="81" t="s">
        <v>211</v>
      </c>
      <c r="F229" s="80" t="s">
        <v>305</v>
      </c>
      <c r="G229" s="81" t="str">
        <f t="shared" si="99"/>
        <v>lending_cashloan_cashloan_CAKE_loan_grant_fee</v>
      </c>
      <c r="H229" s="125"/>
      <c r="I229" s="134" t="s">
        <v>187</v>
      </c>
      <c r="J229" s="136">
        <f>SUM(M229:X229)</f>
        <v>0</v>
      </c>
      <c r="K229" s="136"/>
      <c r="L229" s="136"/>
      <c r="M229" s="162"/>
      <c r="N229" s="162"/>
      <c r="O229" s="162"/>
      <c r="P229" s="162"/>
      <c r="Q229" s="162"/>
      <c r="R229" s="136"/>
      <c r="S229" s="164"/>
      <c r="T229" s="189"/>
      <c r="U229" s="136"/>
      <c r="V229" s="136"/>
      <c r="W229" s="136"/>
      <c r="X229" s="136"/>
      <c r="Y229" s="70">
        <f t="shared" si="97"/>
        <v>0</v>
      </c>
    </row>
    <row r="230" spans="2:25" s="54" customFormat="1" hidden="1" x14ac:dyDescent="0.2">
      <c r="B230" s="121" t="s">
        <v>243</v>
      </c>
      <c r="C230" s="81" t="s">
        <v>291</v>
      </c>
      <c r="D230" s="81" t="s">
        <v>291</v>
      </c>
      <c r="E230" s="81" t="s">
        <v>211</v>
      </c>
      <c r="F230" s="80" t="s">
        <v>306</v>
      </c>
      <c r="G230" s="81" t="str">
        <f t="shared" si="99"/>
        <v>lending_cashloan_cashloan_CAKE_other_TOI</v>
      </c>
      <c r="H230" s="125"/>
      <c r="I230" s="132" t="s">
        <v>269</v>
      </c>
      <c r="J230" s="139">
        <f>SUM(M230:X230)</f>
        <v>3051645503</v>
      </c>
      <c r="K230" s="178"/>
      <c r="L230" s="178"/>
      <c r="M230" s="179"/>
      <c r="N230" s="166">
        <v>6019750</v>
      </c>
      <c r="O230" s="166">
        <v>5247076</v>
      </c>
      <c r="P230" s="166">
        <v>23657931</v>
      </c>
      <c r="Q230" s="166">
        <v>59458498</v>
      </c>
      <c r="R230" s="166">
        <v>160441444</v>
      </c>
      <c r="S230" s="166">
        <v>238618343</v>
      </c>
      <c r="T230" s="178">
        <v>253347004</v>
      </c>
      <c r="U230" s="178">
        <v>390242360</v>
      </c>
      <c r="V230" s="139">
        <v>652783396</v>
      </c>
      <c r="W230" s="139">
        <v>515040016</v>
      </c>
      <c r="X230" s="178">
        <v>746789685</v>
      </c>
      <c r="Y230" s="70">
        <f t="shared" si="97"/>
        <v>231749669</v>
      </c>
    </row>
    <row r="231" spans="2:25" hidden="1" x14ac:dyDescent="0.2">
      <c r="B231" s="121" t="s">
        <v>243</v>
      </c>
      <c r="C231" s="81" t="s">
        <v>291</v>
      </c>
      <c r="D231" s="81" t="s">
        <v>291</v>
      </c>
      <c r="E231" s="81" t="s">
        <v>211</v>
      </c>
      <c r="F231" s="80" t="s">
        <v>307</v>
      </c>
      <c r="G231" s="81" t="str">
        <f t="shared" si="99"/>
        <v>lending_cashloan_cashloan_CAKE_provision</v>
      </c>
      <c r="H231" s="125"/>
      <c r="I231" s="140" t="s">
        <v>270</v>
      </c>
      <c r="J231" s="131">
        <f>SUM(M231:X231)</f>
        <v>262180511309</v>
      </c>
      <c r="K231" s="168">
        <v>2334835528</v>
      </c>
      <c r="L231" s="168">
        <f>2824875060+1073754175</f>
        <v>3898629235</v>
      </c>
      <c r="M231" s="168">
        <v>5901595062</v>
      </c>
      <c r="N231" s="184">
        <v>8079410479</v>
      </c>
      <c r="O231" s="184">
        <f>9302280310+2104416113</f>
        <v>11406696423</v>
      </c>
      <c r="P231" s="140">
        <v>7784272687</v>
      </c>
      <c r="Q231" s="140">
        <v>13401491835</v>
      </c>
      <c r="R231" s="140">
        <f>13668980994+3061912954</f>
        <v>16730893948</v>
      </c>
      <c r="S231" s="167">
        <v>15028527669</v>
      </c>
      <c r="T231" s="168">
        <v>23801575843</v>
      </c>
      <c r="U231" s="168">
        <f>28911738951+4200482301</f>
        <v>33112221252</v>
      </c>
      <c r="V231" s="168">
        <v>31593531413</v>
      </c>
      <c r="W231" s="168">
        <v>43627163610</v>
      </c>
      <c r="X231" s="168">
        <v>51713131088</v>
      </c>
      <c r="Y231" s="70">
        <f t="shared" si="97"/>
        <v>8085967478</v>
      </c>
    </row>
    <row r="232" spans="2:25" hidden="1" x14ac:dyDescent="0.2">
      <c r="B232" s="121" t="s">
        <v>243</v>
      </c>
      <c r="C232" s="81" t="s">
        <v>291</v>
      </c>
      <c r="D232" s="81" t="s">
        <v>291</v>
      </c>
      <c r="E232" s="81" t="s">
        <v>211</v>
      </c>
      <c r="F232" s="80" t="s">
        <v>308</v>
      </c>
      <c r="G232" s="81" t="str">
        <f t="shared" si="99"/>
        <v>lending_cashloan_cashloan_CAKE_variable_cost</v>
      </c>
      <c r="H232" s="125"/>
      <c r="I232" s="140" t="s">
        <v>271</v>
      </c>
      <c r="J232" s="131">
        <f t="shared" ref="J232:X232" si="109">SUM(J233:J240)</f>
        <v>65336150496.627197</v>
      </c>
      <c r="K232" s="131">
        <f t="shared" si="109"/>
        <v>2759824598.3645296</v>
      </c>
      <c r="L232" s="131">
        <f t="shared" si="109"/>
        <v>3565268287.742435</v>
      </c>
      <c r="M232" s="131">
        <f t="shared" si="109"/>
        <v>3041555549.6916623</v>
      </c>
      <c r="N232" s="131">
        <f t="shared" si="109"/>
        <v>2387760366.0910106</v>
      </c>
      <c r="O232" s="131">
        <f t="shared" si="109"/>
        <v>3060155577.4536009</v>
      </c>
      <c r="P232" s="131">
        <f t="shared" si="109"/>
        <v>3957129702.1539097</v>
      </c>
      <c r="Q232" s="131">
        <f t="shared" si="109"/>
        <v>3430648768.14817</v>
      </c>
      <c r="R232" s="131">
        <f t="shared" si="109"/>
        <v>4870584119.4283895</v>
      </c>
      <c r="S232" s="131">
        <f t="shared" si="109"/>
        <v>7740625207.5738144</v>
      </c>
      <c r="T232" s="131">
        <f t="shared" si="109"/>
        <v>7090074461.7614794</v>
      </c>
      <c r="U232" s="131">
        <f t="shared" si="109"/>
        <v>6327591441.2872438</v>
      </c>
      <c r="V232" s="131">
        <f t="shared" si="109"/>
        <v>7318443985.3327312</v>
      </c>
      <c r="W232" s="131">
        <f t="shared" si="109"/>
        <v>7574259601.2077513</v>
      </c>
      <c r="X232" s="131">
        <f t="shared" si="109"/>
        <v>8537321716.4974318</v>
      </c>
      <c r="Y232" s="70">
        <f t="shared" si="97"/>
        <v>963062115.28968048</v>
      </c>
    </row>
    <row r="233" spans="2:25" ht="16" hidden="1" x14ac:dyDescent="0.2">
      <c r="B233" s="121" t="s">
        <v>243</v>
      </c>
      <c r="C233" s="81" t="s">
        <v>291</v>
      </c>
      <c r="D233" s="81" t="s">
        <v>291</v>
      </c>
      <c r="E233" s="81" t="s">
        <v>211</v>
      </c>
      <c r="F233" s="80" t="s">
        <v>198</v>
      </c>
      <c r="G233" s="81" t="str">
        <f t="shared" si="99"/>
        <v>lending_cashloan_cashloan_CAKE_marketing_acquisition_cost</v>
      </c>
      <c r="H233" s="125"/>
      <c r="I233" s="142" t="s">
        <v>272</v>
      </c>
      <c r="J233" s="125">
        <f t="shared" ref="J233:J238" si="110">SUM(M233:X233)</f>
        <v>32563431835</v>
      </c>
      <c r="K233" s="84">
        <v>1046521280</v>
      </c>
      <c r="L233" s="84">
        <v>1347275366</v>
      </c>
      <c r="M233" s="82">
        <v>1088743670</v>
      </c>
      <c r="N233" s="82">
        <v>793021619</v>
      </c>
      <c r="O233" s="82">
        <v>1396342294</v>
      </c>
      <c r="P233" s="82">
        <v>1985518842</v>
      </c>
      <c r="Q233" s="82">
        <v>1321461738</v>
      </c>
      <c r="R233" s="82">
        <v>2885772015</v>
      </c>
      <c r="S233" s="82">
        <v>5204446655</v>
      </c>
      <c r="T233" s="82">
        <v>3809809457</v>
      </c>
      <c r="U233" s="82">
        <v>2550319498</v>
      </c>
      <c r="V233" s="82">
        <v>3521268286</v>
      </c>
      <c r="W233" s="84">
        <v>3572659134</v>
      </c>
      <c r="X233" s="84">
        <v>4434068627</v>
      </c>
      <c r="Y233" s="70">
        <f t="shared" si="97"/>
        <v>861409493</v>
      </c>
    </row>
    <row r="234" spans="2:25" ht="16" hidden="1" x14ac:dyDescent="0.2">
      <c r="B234" s="121" t="s">
        <v>243</v>
      </c>
      <c r="C234" s="81" t="s">
        <v>291</v>
      </c>
      <c r="D234" s="81" t="s">
        <v>291</v>
      </c>
      <c r="E234" s="81" t="s">
        <v>211</v>
      </c>
      <c r="F234" s="80" t="s">
        <v>309</v>
      </c>
      <c r="G234" s="81" t="str">
        <f t="shared" si="99"/>
        <v>lending_cashloan_cashloan_CAKE_partner_acquisition_cost</v>
      </c>
      <c r="H234" s="125"/>
      <c r="I234" s="142" t="s">
        <v>202</v>
      </c>
      <c r="J234" s="131">
        <f t="shared" si="110"/>
        <v>0</v>
      </c>
      <c r="K234" s="131"/>
      <c r="L234" s="168"/>
      <c r="M234" s="168"/>
      <c r="N234" s="184"/>
      <c r="O234" s="140"/>
      <c r="P234" s="131"/>
      <c r="Q234" s="140"/>
      <c r="R234" s="140"/>
      <c r="S234" s="140"/>
      <c r="T234" s="140"/>
      <c r="U234" s="185"/>
      <c r="V234" s="187"/>
      <c r="W234" s="187"/>
      <c r="X234" s="140"/>
      <c r="Y234" s="70">
        <f t="shared" si="97"/>
        <v>0</v>
      </c>
    </row>
    <row r="235" spans="2:25" ht="16" hidden="1" x14ac:dyDescent="0.2">
      <c r="B235" s="121" t="s">
        <v>243</v>
      </c>
      <c r="C235" s="81" t="s">
        <v>291</v>
      </c>
      <c r="D235" s="81" t="s">
        <v>291</v>
      </c>
      <c r="E235" s="81" t="s">
        <v>211</v>
      </c>
      <c r="F235" s="80" t="s">
        <v>310</v>
      </c>
      <c r="G235" s="81" t="str">
        <f t="shared" si="99"/>
        <v>lending_cashloan_cashloan_CAKE_underwritting</v>
      </c>
      <c r="H235" s="125"/>
      <c r="I235" s="142" t="s">
        <v>273</v>
      </c>
      <c r="J235" s="125">
        <f t="shared" si="110"/>
        <v>25528767163.492821</v>
      </c>
      <c r="K235" s="125">
        <v>1426032320.4223499</v>
      </c>
      <c r="L235" s="125">
        <v>1768215795.4809804</v>
      </c>
      <c r="M235" s="170">
        <v>1404870665.9115648</v>
      </c>
      <c r="N235" s="170">
        <v>1012540931.6552498</v>
      </c>
      <c r="O235" s="170">
        <v>1100979129.9920747</v>
      </c>
      <c r="P235" s="170">
        <v>1311695860.5415914</v>
      </c>
      <c r="Q235" s="170">
        <v>1380335592.2184114</v>
      </c>
      <c r="R235" s="170">
        <v>1637735437.4679215</v>
      </c>
      <c r="S235" s="170">
        <v>2013313798.9511895</v>
      </c>
      <c r="T235" s="170">
        <v>2714629242.5934043</v>
      </c>
      <c r="U235" s="170">
        <v>3127198496.1652088</v>
      </c>
      <c r="V235" s="125">
        <v>3244594699.5981865</v>
      </c>
      <c r="W235" s="125">
        <v>3222585554.7905436</v>
      </c>
      <c r="X235" s="125">
        <v>3358287753.6074743</v>
      </c>
      <c r="Y235" s="70">
        <f t="shared" si="97"/>
        <v>135702198.81693077</v>
      </c>
    </row>
    <row r="236" spans="2:25" ht="16" hidden="1" x14ac:dyDescent="0.2">
      <c r="B236" s="121" t="s">
        <v>243</v>
      </c>
      <c r="C236" s="81" t="s">
        <v>291</v>
      </c>
      <c r="D236" s="81" t="s">
        <v>291</v>
      </c>
      <c r="E236" s="81" t="s">
        <v>211</v>
      </c>
      <c r="F236" s="80" t="s">
        <v>311</v>
      </c>
      <c r="G236" s="81" t="str">
        <f t="shared" si="99"/>
        <v>lending_cashloan_cashloan_CAKE_e_contract</v>
      </c>
      <c r="H236" s="125"/>
      <c r="I236" s="142" t="s">
        <v>274</v>
      </c>
      <c r="J236" s="125">
        <f t="shared" si="110"/>
        <v>286087493</v>
      </c>
      <c r="K236" s="125">
        <v>9751370</v>
      </c>
      <c r="L236" s="125">
        <v>11389903</v>
      </c>
      <c r="M236" s="84">
        <v>10075846</v>
      </c>
      <c r="N236" s="153">
        <v>7507649</v>
      </c>
      <c r="O236" s="153">
        <v>14238039</v>
      </c>
      <c r="P236" s="153">
        <v>39946443</v>
      </c>
      <c r="Q236" s="153">
        <v>14465488</v>
      </c>
      <c r="R236" s="143">
        <v>16100469</v>
      </c>
      <c r="S236" s="125">
        <v>24245409</v>
      </c>
      <c r="T236" s="125">
        <v>64895171</v>
      </c>
      <c r="U236" s="125">
        <v>23959247</v>
      </c>
      <c r="V236" s="125">
        <v>20273768</v>
      </c>
      <c r="W236" s="125">
        <v>25856419</v>
      </c>
      <c r="X236" s="125">
        <v>24523545</v>
      </c>
      <c r="Y236" s="70">
        <f t="shared" si="97"/>
        <v>-1332874</v>
      </c>
    </row>
    <row r="237" spans="2:25" ht="16" hidden="1" x14ac:dyDescent="0.2">
      <c r="B237" s="121" t="s">
        <v>243</v>
      </c>
      <c r="C237" s="81" t="s">
        <v>291</v>
      </c>
      <c r="D237" s="81" t="s">
        <v>291</v>
      </c>
      <c r="E237" s="81" t="s">
        <v>211</v>
      </c>
      <c r="F237" s="80" t="s">
        <v>312</v>
      </c>
      <c r="G237" s="81" t="str">
        <f t="shared" si="99"/>
        <v>lending_cashloan_cashloan_CAKE_nfc</v>
      </c>
      <c r="H237" s="125"/>
      <c r="I237" s="142" t="s">
        <v>275</v>
      </c>
      <c r="J237" s="125">
        <f t="shared" si="110"/>
        <v>485267491.96728545</v>
      </c>
      <c r="K237" s="125"/>
      <c r="L237" s="125"/>
      <c r="M237" s="84">
        <v>47839749.786852144</v>
      </c>
      <c r="N237" s="84">
        <v>28805459.01454363</v>
      </c>
      <c r="O237" s="84">
        <v>41873391.065046459</v>
      </c>
      <c r="P237" s="84">
        <v>33375974.988424141</v>
      </c>
      <c r="Q237" s="84">
        <v>32842005.955487337</v>
      </c>
      <c r="R237" s="84">
        <v>36848552.394285463</v>
      </c>
      <c r="S237" s="125">
        <v>40465331.333607569</v>
      </c>
      <c r="T237" s="125">
        <v>37514372.785884559</v>
      </c>
      <c r="U237" s="125">
        <v>37930290.774701469</v>
      </c>
      <c r="V237" s="125">
        <v>43041606.771640353</v>
      </c>
      <c r="W237" s="125">
        <v>49164899.181446113</v>
      </c>
      <c r="X237" s="125">
        <v>55565857.915366188</v>
      </c>
      <c r="Y237" s="70">
        <f t="shared" si="97"/>
        <v>6400958.733920075</v>
      </c>
    </row>
    <row r="238" spans="2:25" ht="16" hidden="1" x14ac:dyDescent="0.2">
      <c r="B238" s="121" t="s">
        <v>243</v>
      </c>
      <c r="C238" s="81" t="s">
        <v>291</v>
      </c>
      <c r="D238" s="81" t="s">
        <v>291</v>
      </c>
      <c r="E238" s="81" t="s">
        <v>211</v>
      </c>
      <c r="F238" s="80" t="s">
        <v>313</v>
      </c>
      <c r="G238" s="81" t="str">
        <f t="shared" si="99"/>
        <v>lending_cashloan_cashloan_CAKE_collection</v>
      </c>
      <c r="H238" s="125"/>
      <c r="I238" s="142" t="s">
        <v>196</v>
      </c>
      <c r="J238" s="125">
        <f t="shared" si="110"/>
        <v>5873613601.3496008</v>
      </c>
      <c r="K238" s="125">
        <v>270643437.96294361</v>
      </c>
      <c r="L238" s="125">
        <v>417484214.42873895</v>
      </c>
      <c r="M238" s="84">
        <v>458085089.59733742</v>
      </c>
      <c r="N238" s="84">
        <v>526048504.90341496</v>
      </c>
      <c r="O238" s="84">
        <v>479248242.80684018</v>
      </c>
      <c r="P238" s="84">
        <v>536995863.03155494</v>
      </c>
      <c r="Q238" s="84">
        <v>638788954.42184937</v>
      </c>
      <c r="R238" s="125">
        <v>254313264.14673203</v>
      </c>
      <c r="S238" s="125">
        <v>397682776</v>
      </c>
      <c r="T238" s="125">
        <v>421151364.76681226</v>
      </c>
      <c r="U238" s="125">
        <v>520414374.20753264</v>
      </c>
      <c r="V238" s="125">
        <v>413184460.06813765</v>
      </c>
      <c r="W238" s="125">
        <v>631367159.72674739</v>
      </c>
      <c r="X238" s="125">
        <v>596333547.67264247</v>
      </c>
      <c r="Y238" s="70">
        <f t="shared" si="97"/>
        <v>-35033612.054104924</v>
      </c>
    </row>
    <row r="239" spans="2:25" ht="16" hidden="1" x14ac:dyDescent="0.2">
      <c r="B239" s="121" t="s">
        <v>243</v>
      </c>
      <c r="C239" s="81" t="s">
        <v>291</v>
      </c>
      <c r="D239" s="81" t="s">
        <v>291</v>
      </c>
      <c r="E239" s="81" t="s">
        <v>211</v>
      </c>
      <c r="F239" s="80" t="s">
        <v>314</v>
      </c>
      <c r="G239" s="81" t="str">
        <f t="shared" si="99"/>
        <v>lending_cashloan_cashloan_CAKE_promotion</v>
      </c>
      <c r="H239" s="125"/>
      <c r="I239" s="142" t="s">
        <v>276</v>
      </c>
      <c r="J239" s="125"/>
      <c r="K239" s="125"/>
      <c r="L239" s="125"/>
      <c r="M239" s="84"/>
      <c r="N239" s="153"/>
      <c r="O239" s="153"/>
      <c r="P239" s="153"/>
      <c r="Q239" s="153"/>
      <c r="R239" s="143"/>
      <c r="S239" s="125"/>
      <c r="T239" s="125"/>
      <c r="U239" s="125"/>
      <c r="V239" s="125"/>
      <c r="W239" s="125"/>
      <c r="X239" s="125"/>
      <c r="Y239" s="70">
        <f t="shared" si="97"/>
        <v>0</v>
      </c>
    </row>
    <row r="240" spans="2:25" ht="16" hidden="1" x14ac:dyDescent="0.2">
      <c r="B240" s="121" t="s">
        <v>243</v>
      </c>
      <c r="C240" s="81" t="s">
        <v>291</v>
      </c>
      <c r="D240" s="81" t="s">
        <v>291</v>
      </c>
      <c r="E240" s="81" t="s">
        <v>211</v>
      </c>
      <c r="F240" s="80" t="s">
        <v>315</v>
      </c>
      <c r="G240" s="81" t="str">
        <f t="shared" si="99"/>
        <v>lending_cashloan_cashloan_CAKE_sms</v>
      </c>
      <c r="H240" s="125"/>
      <c r="I240" s="144" t="s">
        <v>197</v>
      </c>
      <c r="J240" s="125">
        <f>SUM(M240:X240)</f>
        <v>598982911.81748593</v>
      </c>
      <c r="K240" s="143">
        <v>6876189.9792360449</v>
      </c>
      <c r="L240" s="143">
        <v>20903008.832715727</v>
      </c>
      <c r="M240" s="143">
        <v>31940528.395907715</v>
      </c>
      <c r="N240" s="143">
        <v>19836202.517802447</v>
      </c>
      <c r="O240" s="143">
        <v>27474480.58963947</v>
      </c>
      <c r="P240" s="143">
        <v>49596718.59233854</v>
      </c>
      <c r="Q240" s="143">
        <v>42754989.552422218</v>
      </c>
      <c r="R240" s="170">
        <v>39814381.419451065</v>
      </c>
      <c r="S240" s="125">
        <v>60471237.289017491</v>
      </c>
      <c r="T240" s="125">
        <v>42074853.615377329</v>
      </c>
      <c r="U240" s="125">
        <v>67769535.139800906</v>
      </c>
      <c r="V240" s="125">
        <v>76081164.894766018</v>
      </c>
      <c r="W240" s="125">
        <v>72626434.509014562</v>
      </c>
      <c r="X240" s="125">
        <v>68542385.301948145</v>
      </c>
      <c r="Y240" s="70">
        <f t="shared" si="97"/>
        <v>-4084049.2070664167</v>
      </c>
    </row>
    <row r="241" spans="2:30" ht="16" hidden="1" thickTop="1" x14ac:dyDescent="0.2">
      <c r="B241" s="121" t="s">
        <v>243</v>
      </c>
      <c r="C241" s="81" t="s">
        <v>291</v>
      </c>
      <c r="D241" s="81" t="s">
        <v>291</v>
      </c>
      <c r="E241" s="81" t="s">
        <v>211</v>
      </c>
      <c r="F241" s="80" t="s">
        <v>316</v>
      </c>
      <c r="G241" s="81" t="str">
        <f t="shared" si="99"/>
        <v>lending_cashloan_cashloan_CAKE_profit_before_overhead</v>
      </c>
      <c r="H241" s="125"/>
      <c r="I241" s="145" t="s">
        <v>289</v>
      </c>
      <c r="J241" s="145">
        <f>J220-J231-J234-J232</f>
        <v>342708359899.10327</v>
      </c>
      <c r="K241" s="145">
        <f>K220-K231-K232</f>
        <v>13562718365.635471</v>
      </c>
      <c r="L241" s="145">
        <f>L220-L231-L232</f>
        <v>15623996286.257565</v>
      </c>
      <c r="M241" s="145">
        <f t="shared" ref="M241:X241" si="111">M220-M231-M234-M232</f>
        <v>16837361419.308338</v>
      </c>
      <c r="N241" s="145">
        <f t="shared" si="111"/>
        <v>13128929467.908989</v>
      </c>
      <c r="O241" s="145">
        <f t="shared" si="111"/>
        <v>16165568430.276791</v>
      </c>
      <c r="P241" s="145">
        <f t="shared" si="111"/>
        <v>24356683751.846092</v>
      </c>
      <c r="Q241" s="145">
        <f t="shared" si="111"/>
        <v>23201796103.85183</v>
      </c>
      <c r="R241" s="145">
        <f t="shared" si="111"/>
        <v>23999110472.571609</v>
      </c>
      <c r="S241" s="145">
        <f t="shared" si="111"/>
        <v>33881219229.426186</v>
      </c>
      <c r="T241" s="145">
        <f t="shared" si="111"/>
        <v>30859559198.238522</v>
      </c>
      <c r="U241" s="145">
        <f t="shared" si="111"/>
        <v>35200102044.712753</v>
      </c>
      <c r="V241" s="145">
        <f t="shared" si="111"/>
        <v>46407506633.667267</v>
      </c>
      <c r="W241" s="145">
        <f t="shared" si="111"/>
        <v>40844357335.792252</v>
      </c>
      <c r="X241" s="145">
        <f t="shared" si="111"/>
        <v>37826165811.502571</v>
      </c>
      <c r="Y241" s="70">
        <f t="shared" si="97"/>
        <v>-3018191524.2896805</v>
      </c>
    </row>
    <row r="242" spans="2:30" hidden="1" x14ac:dyDescent="0.2">
      <c r="B242" s="121"/>
      <c r="C242" s="81"/>
      <c r="D242" s="81"/>
      <c r="E242" s="81"/>
      <c r="F242" s="124"/>
      <c r="G242" s="81"/>
      <c r="H242" s="125"/>
      <c r="I242" s="148"/>
      <c r="J242" s="131"/>
      <c r="K242" s="131"/>
      <c r="L242" s="131"/>
      <c r="M242" s="131"/>
      <c r="N242" s="131"/>
      <c r="O242" s="131"/>
      <c r="P242" s="131"/>
      <c r="Q242" s="131"/>
      <c r="R242" s="131"/>
      <c r="S242" s="131"/>
      <c r="T242" s="131"/>
      <c r="U242" s="131"/>
      <c r="V242" s="131"/>
      <c r="W242" s="131"/>
      <c r="X242" s="131"/>
      <c r="Y242" s="70">
        <f t="shared" si="97"/>
        <v>0</v>
      </c>
    </row>
    <row r="243" spans="2:30" hidden="1" x14ac:dyDescent="0.2">
      <c r="B243" s="121" t="s">
        <v>243</v>
      </c>
      <c r="C243" s="81" t="s">
        <v>291</v>
      </c>
      <c r="D243" s="81" t="s">
        <v>291</v>
      </c>
      <c r="E243" s="81" t="s">
        <v>218</v>
      </c>
      <c r="F243" s="81"/>
      <c r="G243" s="81" t="str">
        <f t="shared" ref="G243:G280" si="112">B243&amp;"_"&amp;C243&amp;"_"&amp;D243&amp;"_"&amp;E243&amp;"_"&amp;F243</f>
        <v>lending_cashloan_cashloan_MWG_</v>
      </c>
      <c r="H243" s="125"/>
      <c r="I243" s="123" t="s">
        <v>323</v>
      </c>
      <c r="J243" s="123"/>
      <c r="K243" s="123"/>
      <c r="L243" s="123"/>
      <c r="M243" s="123"/>
      <c r="N243" s="123"/>
      <c r="O243" s="123"/>
      <c r="P243" s="123"/>
      <c r="Q243" s="123"/>
      <c r="R243" s="123"/>
      <c r="S243" s="123"/>
      <c r="T243" s="123"/>
      <c r="U243" s="123"/>
      <c r="V243" s="123"/>
      <c r="W243" s="123"/>
      <c r="X243" s="123"/>
      <c r="Y243" s="70">
        <f t="shared" si="97"/>
        <v>0</v>
      </c>
    </row>
    <row r="244" spans="2:30" ht="16" hidden="1" x14ac:dyDescent="0.2">
      <c r="B244" s="121" t="s">
        <v>243</v>
      </c>
      <c r="C244" s="81" t="s">
        <v>291</v>
      </c>
      <c r="D244" s="81" t="s">
        <v>291</v>
      </c>
      <c r="E244" s="81" t="s">
        <v>218</v>
      </c>
      <c r="F244" s="80" t="s">
        <v>292</v>
      </c>
      <c r="G244" s="81" t="str">
        <f t="shared" si="112"/>
        <v>lending_cashloan_cashloan_MWG_new_account</v>
      </c>
      <c r="H244" s="125"/>
      <c r="I244" s="126" t="s">
        <v>245</v>
      </c>
      <c r="J244" s="125">
        <f>SUM(M244:X244)</f>
        <v>38424</v>
      </c>
      <c r="K244" s="84">
        <v>713</v>
      </c>
      <c r="L244" s="84">
        <v>847</v>
      </c>
      <c r="M244" s="84">
        <v>1196</v>
      </c>
      <c r="N244" s="180">
        <v>947</v>
      </c>
      <c r="O244" s="84">
        <v>1750</v>
      </c>
      <c r="P244" s="175">
        <v>1952</v>
      </c>
      <c r="Q244" s="175">
        <v>2304</v>
      </c>
      <c r="R244" s="84">
        <v>2611</v>
      </c>
      <c r="S244" s="82">
        <v>3066</v>
      </c>
      <c r="T244" s="82">
        <v>3734</v>
      </c>
      <c r="U244" s="82">
        <v>5548</v>
      </c>
      <c r="V244" s="84">
        <v>4983</v>
      </c>
      <c r="W244" s="84">
        <v>4716</v>
      </c>
      <c r="X244" s="84">
        <v>5617</v>
      </c>
      <c r="Y244" s="70">
        <f t="shared" si="97"/>
        <v>901</v>
      </c>
    </row>
    <row r="245" spans="2:30" ht="16" hidden="1" x14ac:dyDescent="0.2">
      <c r="B245" s="121" t="s">
        <v>243</v>
      </c>
      <c r="C245" s="81" t="s">
        <v>291</v>
      </c>
      <c r="D245" s="81" t="s">
        <v>291</v>
      </c>
      <c r="E245" s="81" t="s">
        <v>218</v>
      </c>
      <c r="F245" s="126" t="s">
        <v>246</v>
      </c>
      <c r="G245" s="81" t="str">
        <f t="shared" si="112"/>
        <v>lending_cashloan_cashloan_MWG_Repeat account</v>
      </c>
      <c r="H245" s="125"/>
      <c r="I245" s="126" t="s">
        <v>246</v>
      </c>
      <c r="J245" s="125"/>
      <c r="K245" s="84"/>
      <c r="L245" s="84">
        <v>3</v>
      </c>
      <c r="M245" s="84">
        <v>1</v>
      </c>
      <c r="N245" s="84">
        <v>6</v>
      </c>
      <c r="O245" s="84">
        <v>10</v>
      </c>
      <c r="P245" s="84">
        <v>16</v>
      </c>
      <c r="Q245" s="176">
        <v>27</v>
      </c>
      <c r="R245" s="176">
        <v>53</v>
      </c>
      <c r="S245" s="84">
        <v>56</v>
      </c>
      <c r="T245" s="84">
        <v>86</v>
      </c>
      <c r="U245" s="84">
        <v>112</v>
      </c>
      <c r="V245" s="84">
        <v>147</v>
      </c>
      <c r="W245" s="84">
        <v>189</v>
      </c>
      <c r="X245" s="84">
        <v>256</v>
      </c>
      <c r="Y245" s="70">
        <f t="shared" si="97"/>
        <v>67</v>
      </c>
    </row>
    <row r="246" spans="2:30" ht="16" hidden="1" x14ac:dyDescent="0.2">
      <c r="B246" s="121" t="s">
        <v>243</v>
      </c>
      <c r="C246" s="81" t="s">
        <v>291</v>
      </c>
      <c r="D246" s="81" t="s">
        <v>291</v>
      </c>
      <c r="E246" s="81" t="s">
        <v>218</v>
      </c>
      <c r="F246" s="80" t="s">
        <v>293</v>
      </c>
      <c r="G246" s="81" t="str">
        <f t="shared" si="112"/>
        <v>lending_cashloan_cashloan_MWG_active_account</v>
      </c>
      <c r="H246" s="125"/>
      <c r="I246" s="126" t="s">
        <v>247</v>
      </c>
      <c r="J246" s="125">
        <f>SUM(M246:X246)</f>
        <v>186798</v>
      </c>
      <c r="K246" s="84">
        <v>839</v>
      </c>
      <c r="L246" s="84">
        <v>1663</v>
      </c>
      <c r="M246" s="84">
        <v>2842</v>
      </c>
      <c r="N246" s="180">
        <v>3745</v>
      </c>
      <c r="O246" s="180">
        <v>5438</v>
      </c>
      <c r="P246" s="84">
        <v>7260</v>
      </c>
      <c r="Q246" s="84">
        <v>9364</v>
      </c>
      <c r="R246" s="152">
        <v>11727</v>
      </c>
      <c r="S246" s="84">
        <v>14390</v>
      </c>
      <c r="T246" s="84">
        <v>17656</v>
      </c>
      <c r="U246" s="84">
        <v>22600</v>
      </c>
      <c r="V246" s="84">
        <v>26775</v>
      </c>
      <c r="W246" s="84">
        <v>30372</v>
      </c>
      <c r="X246" s="84">
        <v>34629</v>
      </c>
      <c r="Y246" s="70">
        <f t="shared" si="97"/>
        <v>4257</v>
      </c>
    </row>
    <row r="247" spans="2:30" ht="16" hidden="1" x14ac:dyDescent="0.2">
      <c r="B247" s="121" t="s">
        <v>243</v>
      </c>
      <c r="C247" s="81" t="s">
        <v>291</v>
      </c>
      <c r="D247" s="81" t="s">
        <v>291</v>
      </c>
      <c r="E247" s="81" t="s">
        <v>218</v>
      </c>
      <c r="F247" s="80" t="s">
        <v>294</v>
      </c>
      <c r="G247" s="81" t="str">
        <f t="shared" si="112"/>
        <v>lending_cashloan_cashloan_MWG_disburse/spend</v>
      </c>
      <c r="H247" s="125"/>
      <c r="I247" s="84" t="s">
        <v>191</v>
      </c>
      <c r="J247" s="125">
        <f>SUM(M247:X247)</f>
        <v>691874860000</v>
      </c>
      <c r="K247" s="125">
        <v>9689640000</v>
      </c>
      <c r="L247" s="125">
        <v>11396390000</v>
      </c>
      <c r="M247" s="125">
        <v>16174220000</v>
      </c>
      <c r="N247" s="84">
        <v>12849790000</v>
      </c>
      <c r="O247" s="84">
        <v>23384840000</v>
      </c>
      <c r="P247" s="84">
        <v>28065690000</v>
      </c>
      <c r="Q247" s="84">
        <v>33835150000</v>
      </c>
      <c r="R247" s="84">
        <v>40487380000</v>
      </c>
      <c r="S247" s="82">
        <v>52339690000</v>
      </c>
      <c r="T247" s="84">
        <v>63562000000</v>
      </c>
      <c r="U247" s="84">
        <v>100769400000</v>
      </c>
      <c r="V247" s="84">
        <v>93235540000</v>
      </c>
      <c r="W247" s="125">
        <v>100217490000</v>
      </c>
      <c r="X247" s="125">
        <v>126953670000</v>
      </c>
      <c r="Y247" s="70">
        <f t="shared" si="97"/>
        <v>26736180000</v>
      </c>
    </row>
    <row r="248" spans="2:30" ht="16" hidden="1" x14ac:dyDescent="0.2">
      <c r="B248" s="121" t="s">
        <v>243</v>
      </c>
      <c r="C248" s="81" t="s">
        <v>291</v>
      </c>
      <c r="D248" s="81" t="s">
        <v>291</v>
      </c>
      <c r="E248" s="81" t="s">
        <v>218</v>
      </c>
      <c r="F248" s="124"/>
      <c r="G248" s="81" t="str">
        <f t="shared" si="112"/>
        <v>lending_cashloan_cashloan_MWG_</v>
      </c>
      <c r="H248" s="125"/>
      <c r="I248" s="84" t="s">
        <v>248</v>
      </c>
      <c r="J248" s="125">
        <f>SUM(M248:X248)</f>
        <v>412803860000</v>
      </c>
      <c r="K248" s="125">
        <v>6261640000</v>
      </c>
      <c r="L248" s="125">
        <v>7358390000</v>
      </c>
      <c r="M248" s="84">
        <v>10963220000</v>
      </c>
      <c r="N248" s="84">
        <v>8235790000</v>
      </c>
      <c r="O248" s="84">
        <v>15099840000</v>
      </c>
      <c r="P248" s="84">
        <v>17191690000</v>
      </c>
      <c r="Q248" s="84">
        <v>20806150000</v>
      </c>
      <c r="R248" s="84">
        <v>24111380000</v>
      </c>
      <c r="S248" s="82">
        <v>31208690000</v>
      </c>
      <c r="T248" s="84">
        <v>39162000000</v>
      </c>
      <c r="U248" s="84">
        <v>60048400000</v>
      </c>
      <c r="V248" s="125">
        <v>54807540000</v>
      </c>
      <c r="W248" s="125">
        <v>58857490000</v>
      </c>
      <c r="X248" s="125">
        <v>72311670000</v>
      </c>
      <c r="Y248" s="70">
        <f t="shared" si="97"/>
        <v>13454180000</v>
      </c>
      <c r="Z248" s="52">
        <f>M248/M247</f>
        <v>0.67782063060846209</v>
      </c>
      <c r="AA248" s="52">
        <f>N248/N247</f>
        <v>0.64092798403709317</v>
      </c>
      <c r="AB248" s="52">
        <f>O248/O247</f>
        <v>0.64571063988464317</v>
      </c>
      <c r="AC248" s="52">
        <f>P248/P247</f>
        <v>0.61255183820529624</v>
      </c>
      <c r="AD248" s="52">
        <f>AVERAGE(Y248:AC248)</f>
        <v>2690836000.5154023</v>
      </c>
    </row>
    <row r="249" spans="2:30" ht="16" hidden="1" x14ac:dyDescent="0.2">
      <c r="B249" s="121" t="s">
        <v>243</v>
      </c>
      <c r="C249" s="81" t="s">
        <v>291</v>
      </c>
      <c r="D249" s="81" t="s">
        <v>291</v>
      </c>
      <c r="E249" s="81" t="s">
        <v>218</v>
      </c>
      <c r="F249" s="124"/>
      <c r="G249" s="81" t="str">
        <f t="shared" si="112"/>
        <v>lending_cashloan_cashloan_MWG_</v>
      </c>
      <c r="H249" s="125"/>
      <c r="I249" s="84" t="s">
        <v>249</v>
      </c>
      <c r="J249" s="125">
        <f>SUM(M249:X249)</f>
        <v>279071000000</v>
      </c>
      <c r="K249" s="125">
        <f t="shared" ref="K249:X249" si="113">K247-K248</f>
        <v>3428000000</v>
      </c>
      <c r="L249" s="125">
        <f t="shared" si="113"/>
        <v>4038000000</v>
      </c>
      <c r="M249" s="125">
        <f t="shared" si="113"/>
        <v>5211000000</v>
      </c>
      <c r="N249" s="125">
        <f t="shared" si="113"/>
        <v>4614000000</v>
      </c>
      <c r="O249" s="125">
        <f t="shared" si="113"/>
        <v>8285000000</v>
      </c>
      <c r="P249" s="125">
        <f t="shared" si="113"/>
        <v>10874000000</v>
      </c>
      <c r="Q249" s="125">
        <f t="shared" si="113"/>
        <v>13029000000</v>
      </c>
      <c r="R249" s="125">
        <f t="shared" si="113"/>
        <v>16376000000</v>
      </c>
      <c r="S249" s="125">
        <f t="shared" si="113"/>
        <v>21131000000</v>
      </c>
      <c r="T249" s="125">
        <f t="shared" si="113"/>
        <v>24400000000</v>
      </c>
      <c r="U249" s="125">
        <f t="shared" si="113"/>
        <v>40721000000</v>
      </c>
      <c r="V249" s="125">
        <f t="shared" si="113"/>
        <v>38428000000</v>
      </c>
      <c r="W249" s="125">
        <f t="shared" si="113"/>
        <v>41360000000</v>
      </c>
      <c r="X249" s="125">
        <f t="shared" si="113"/>
        <v>54642000000</v>
      </c>
      <c r="Y249" s="70">
        <f t="shared" si="97"/>
        <v>13282000000</v>
      </c>
    </row>
    <row r="250" spans="2:30" ht="16" hidden="1" x14ac:dyDescent="0.2">
      <c r="B250" s="121" t="s">
        <v>243</v>
      </c>
      <c r="C250" s="81" t="s">
        <v>291</v>
      </c>
      <c r="D250" s="81" t="s">
        <v>291</v>
      </c>
      <c r="E250" s="81" t="s">
        <v>218</v>
      </c>
      <c r="F250" s="80" t="s">
        <v>295</v>
      </c>
      <c r="G250" s="81" t="str">
        <f t="shared" si="112"/>
        <v>lending_cashloan_cashloan_MWG_ENR</v>
      </c>
      <c r="H250" s="125"/>
      <c r="I250" s="84" t="s">
        <v>250</v>
      </c>
      <c r="J250" s="125">
        <f>W250</f>
        <v>442698671892</v>
      </c>
      <c r="K250" s="84">
        <v>11139801421</v>
      </c>
      <c r="L250" s="125">
        <v>21513978715</v>
      </c>
      <c r="M250" s="84">
        <v>36367269639</v>
      </c>
      <c r="N250" s="181">
        <v>46067112309</v>
      </c>
      <c r="O250" s="84">
        <v>65390137765</v>
      </c>
      <c r="P250" s="84">
        <v>87363644373</v>
      </c>
      <c r="Q250" s="84">
        <v>113146946702</v>
      </c>
      <c r="R250" s="84">
        <v>143342303049</v>
      </c>
      <c r="S250" s="84">
        <v>182312198583</v>
      </c>
      <c r="T250" s="154">
        <v>229400437441</v>
      </c>
      <c r="U250" s="84">
        <v>310005556768</v>
      </c>
      <c r="V250" s="84">
        <v>375444603055</v>
      </c>
      <c r="W250" s="84">
        <v>442698671892</v>
      </c>
      <c r="X250" s="125">
        <v>529319867060</v>
      </c>
      <c r="Y250" s="70">
        <f t="shared" si="97"/>
        <v>86621195168</v>
      </c>
    </row>
    <row r="251" spans="2:30" hidden="1" x14ac:dyDescent="0.2">
      <c r="B251" s="121" t="s">
        <v>243</v>
      </c>
      <c r="C251" s="81" t="s">
        <v>291</v>
      </c>
      <c r="D251" s="81" t="s">
        <v>291</v>
      </c>
      <c r="E251" s="81" t="s">
        <v>218</v>
      </c>
      <c r="F251" s="124"/>
      <c r="G251" s="81" t="str">
        <f t="shared" si="112"/>
        <v>lending_cashloan_cashloan_MWG_</v>
      </c>
      <c r="H251" s="125"/>
      <c r="I251" s="127" t="s">
        <v>251</v>
      </c>
      <c r="J251" s="125">
        <f>X251</f>
        <v>520785767767</v>
      </c>
      <c r="K251" s="181">
        <f t="shared" ref="K251:X251" si="114">K250-K252</f>
        <v>11128957302</v>
      </c>
      <c r="L251" s="181">
        <f t="shared" si="114"/>
        <v>21475200963</v>
      </c>
      <c r="M251" s="181">
        <f t="shared" si="114"/>
        <v>36279597303</v>
      </c>
      <c r="N251" s="181">
        <f t="shared" si="114"/>
        <v>45822706223</v>
      </c>
      <c r="O251" s="181">
        <f t="shared" si="114"/>
        <v>64865700990</v>
      </c>
      <c r="P251" s="181">
        <f t="shared" si="114"/>
        <v>86454360442</v>
      </c>
      <c r="Q251" s="181">
        <f t="shared" si="114"/>
        <v>111759346776</v>
      </c>
      <c r="R251" s="181">
        <f t="shared" si="114"/>
        <v>141255005834</v>
      </c>
      <c r="S251" s="181">
        <f t="shared" si="114"/>
        <v>179442455173</v>
      </c>
      <c r="T251" s="181">
        <f t="shared" si="114"/>
        <v>225603307259</v>
      </c>
      <c r="U251" s="181">
        <f t="shared" si="114"/>
        <v>305039439643</v>
      </c>
      <c r="V251" s="181">
        <f t="shared" si="114"/>
        <v>369472117890</v>
      </c>
      <c r="W251" s="181">
        <f t="shared" si="114"/>
        <v>435375280189</v>
      </c>
      <c r="X251" s="181">
        <f t="shared" si="114"/>
        <v>520785767767</v>
      </c>
      <c r="Y251" s="70">
        <f t="shared" si="97"/>
        <v>85410487578</v>
      </c>
    </row>
    <row r="252" spans="2:30" hidden="1" x14ac:dyDescent="0.2">
      <c r="B252" s="121" t="s">
        <v>243</v>
      </c>
      <c r="C252" s="81" t="s">
        <v>291</v>
      </c>
      <c r="D252" s="81" t="s">
        <v>291</v>
      </c>
      <c r="E252" s="81" t="s">
        <v>218</v>
      </c>
      <c r="F252" s="124"/>
      <c r="G252" s="81" t="str">
        <f t="shared" si="112"/>
        <v>lending_cashloan_cashloan_MWG_</v>
      </c>
      <c r="H252" s="125"/>
      <c r="I252" s="127" t="s">
        <v>252</v>
      </c>
      <c r="J252" s="125">
        <f>X252</f>
        <v>8534099293</v>
      </c>
      <c r="K252" s="155">
        <v>10844119</v>
      </c>
      <c r="L252" s="181">
        <v>38777752</v>
      </c>
      <c r="M252" s="181">
        <v>87672336</v>
      </c>
      <c r="N252" s="181">
        <v>244406086</v>
      </c>
      <c r="O252" s="155">
        <v>524436775</v>
      </c>
      <c r="P252" s="155">
        <v>909283931</v>
      </c>
      <c r="Q252" s="155">
        <v>1387599926</v>
      </c>
      <c r="R252" s="155">
        <v>2087297215</v>
      </c>
      <c r="S252" s="155">
        <v>2869743410</v>
      </c>
      <c r="T252" s="128">
        <v>3797130182</v>
      </c>
      <c r="U252" s="155">
        <v>4966117125</v>
      </c>
      <c r="V252" s="155">
        <v>5972485165</v>
      </c>
      <c r="W252" s="155">
        <v>7323391703</v>
      </c>
      <c r="X252" s="181">
        <v>8534099293</v>
      </c>
      <c r="Y252" s="70">
        <f t="shared" si="97"/>
        <v>1210707590</v>
      </c>
    </row>
    <row r="253" spans="2:30" hidden="1" x14ac:dyDescent="0.2">
      <c r="B253" s="121" t="s">
        <v>243</v>
      </c>
      <c r="C253" s="81" t="s">
        <v>291</v>
      </c>
      <c r="D253" s="81" t="s">
        <v>291</v>
      </c>
      <c r="E253" s="81" t="s">
        <v>218</v>
      </c>
      <c r="F253" s="124"/>
      <c r="G253" s="81" t="str">
        <f t="shared" si="112"/>
        <v>lending_cashloan_cashloan_MWG_</v>
      </c>
      <c r="H253" s="125"/>
      <c r="I253" s="126" t="s">
        <v>253</v>
      </c>
      <c r="J253" s="125"/>
      <c r="K253" s="155"/>
      <c r="L253" s="181"/>
      <c r="M253" s="181"/>
      <c r="N253" s="181">
        <v>82327743</v>
      </c>
      <c r="O253" s="181">
        <v>455344816</v>
      </c>
      <c r="P253" s="181">
        <v>978196449</v>
      </c>
      <c r="Q253" s="181">
        <v>1988277125</v>
      </c>
      <c r="R253" s="181">
        <v>3086927136</v>
      </c>
      <c r="S253" s="182">
        <v>4183288141</v>
      </c>
      <c r="T253" s="181">
        <v>5710524877</v>
      </c>
      <c r="U253" s="181">
        <v>7310629931</v>
      </c>
      <c r="V253" s="181">
        <v>8527011275</v>
      </c>
      <c r="W253" s="181">
        <v>10080174298</v>
      </c>
      <c r="X253" s="181">
        <v>11684932971</v>
      </c>
      <c r="Y253" s="70">
        <f t="shared" si="97"/>
        <v>1604758673</v>
      </c>
    </row>
    <row r="254" spans="2:30" ht="16" hidden="1" x14ac:dyDescent="0.2">
      <c r="B254" s="121" t="s">
        <v>243</v>
      </c>
      <c r="C254" s="81" t="s">
        <v>291</v>
      </c>
      <c r="D254" s="81" t="s">
        <v>291</v>
      </c>
      <c r="E254" s="81" t="s">
        <v>218</v>
      </c>
      <c r="F254" s="80" t="s">
        <v>298</v>
      </c>
      <c r="G254" s="81" t="str">
        <f t="shared" si="112"/>
        <v>lending_cashloan_cashloan_MWG_overdue_balance_10d</v>
      </c>
      <c r="H254" s="125"/>
      <c r="I254" s="84" t="s">
        <v>254</v>
      </c>
      <c r="J254" s="125"/>
      <c r="K254" s="155">
        <v>37558908</v>
      </c>
      <c r="L254" s="181">
        <v>878372150</v>
      </c>
      <c r="M254" s="181">
        <v>1779934096</v>
      </c>
      <c r="N254" s="181">
        <v>3020904659</v>
      </c>
      <c r="O254" s="181">
        <v>5498771167</v>
      </c>
      <c r="P254" s="181">
        <v>6553247477</v>
      </c>
      <c r="Q254" s="143">
        <v>9783564926</v>
      </c>
      <c r="R254" s="128">
        <v>14950590847</v>
      </c>
      <c r="S254" s="128">
        <v>19287373262</v>
      </c>
      <c r="T254" s="188">
        <v>24499546353</v>
      </c>
      <c r="U254" s="155">
        <v>36106877771</v>
      </c>
      <c r="V254" s="155">
        <v>41019030062</v>
      </c>
      <c r="W254" s="155">
        <v>50461983431</v>
      </c>
      <c r="X254" s="181"/>
      <c r="Y254" s="70">
        <f t="shared" si="97"/>
        <v>-50461983431</v>
      </c>
    </row>
    <row r="255" spans="2:30" ht="16" hidden="1" x14ac:dyDescent="0.2">
      <c r="B255" s="121" t="s">
        <v>243</v>
      </c>
      <c r="C255" s="81" t="s">
        <v>291</v>
      </c>
      <c r="D255" s="81" t="s">
        <v>291</v>
      </c>
      <c r="E255" s="81" t="s">
        <v>218</v>
      </c>
      <c r="F255" s="80" t="s">
        <v>299</v>
      </c>
      <c r="G255" s="81" t="str">
        <f t="shared" si="112"/>
        <v>lending_cashloan_cashloan_MWG_overdue_balance_90d</v>
      </c>
      <c r="H255" s="125"/>
      <c r="I255" s="84" t="s">
        <v>255</v>
      </c>
      <c r="J255" s="125"/>
      <c r="K255" s="84">
        <v>0</v>
      </c>
      <c r="L255" s="84">
        <v>26671246</v>
      </c>
      <c r="M255" s="84">
        <v>24972013</v>
      </c>
      <c r="N255" s="84">
        <v>95905024</v>
      </c>
      <c r="O255" s="84">
        <v>662721312</v>
      </c>
      <c r="P255" s="181">
        <v>1122169045</v>
      </c>
      <c r="Q255" s="125">
        <v>2196763514</v>
      </c>
      <c r="R255" s="125">
        <v>3693749448</v>
      </c>
      <c r="S255" s="125">
        <v>4647857406</v>
      </c>
      <c r="T255" s="125">
        <v>6342137503</v>
      </c>
      <c r="U255" s="84">
        <v>9241074624</v>
      </c>
      <c r="V255" s="82">
        <v>9755781168</v>
      </c>
      <c r="W255" s="84">
        <v>11820703331</v>
      </c>
      <c r="X255" s="84"/>
      <c r="Y255" s="70">
        <f t="shared" si="97"/>
        <v>-11820703331</v>
      </c>
    </row>
    <row r="256" spans="2:30" ht="16" hidden="1" x14ac:dyDescent="0.2">
      <c r="B256" s="121" t="s">
        <v>243</v>
      </c>
      <c r="C256" s="81" t="s">
        <v>291</v>
      </c>
      <c r="D256" s="81" t="s">
        <v>291</v>
      </c>
      <c r="E256" s="81" t="s">
        <v>218</v>
      </c>
      <c r="F256" s="124"/>
      <c r="G256" s="81" t="str">
        <f t="shared" si="112"/>
        <v>lending_cashloan_cashloan_MWG_</v>
      </c>
      <c r="H256" s="125"/>
      <c r="I256" s="84" t="s">
        <v>256</v>
      </c>
      <c r="J256" s="125"/>
      <c r="K256" s="155">
        <f>K254-K255</f>
        <v>37558908</v>
      </c>
      <c r="L256" s="181">
        <v>603249498</v>
      </c>
      <c r="M256" s="181">
        <f t="shared" ref="M256:X256" si="115">M254-M255</f>
        <v>1754962083</v>
      </c>
      <c r="N256" s="181">
        <f t="shared" si="115"/>
        <v>2924999635</v>
      </c>
      <c r="O256" s="181">
        <f t="shared" si="115"/>
        <v>4836049855</v>
      </c>
      <c r="P256" s="181">
        <f t="shared" si="115"/>
        <v>5431078432</v>
      </c>
      <c r="Q256" s="181">
        <f t="shared" si="115"/>
        <v>7586801412</v>
      </c>
      <c r="R256" s="181">
        <f t="shared" si="115"/>
        <v>11256841399</v>
      </c>
      <c r="S256" s="181">
        <f t="shared" si="115"/>
        <v>14639515856</v>
      </c>
      <c r="T256" s="181">
        <f t="shared" si="115"/>
        <v>18157408850</v>
      </c>
      <c r="U256" s="181">
        <f t="shared" si="115"/>
        <v>26865803147</v>
      </c>
      <c r="V256" s="181">
        <f t="shared" si="115"/>
        <v>31263248894</v>
      </c>
      <c r="W256" s="181">
        <f t="shared" si="115"/>
        <v>38641280100</v>
      </c>
      <c r="X256" s="181">
        <f t="shared" si="115"/>
        <v>0</v>
      </c>
      <c r="Y256" s="70">
        <f t="shared" si="97"/>
        <v>-38641280100</v>
      </c>
    </row>
    <row r="257" spans="2:28" ht="16" hidden="1" x14ac:dyDescent="0.2">
      <c r="B257" s="121" t="s">
        <v>243</v>
      </c>
      <c r="C257" s="81" t="s">
        <v>291</v>
      </c>
      <c r="D257" s="81" t="s">
        <v>291</v>
      </c>
      <c r="E257" s="81" t="s">
        <v>218</v>
      </c>
      <c r="F257" s="124"/>
      <c r="G257" s="81" t="str">
        <f t="shared" si="112"/>
        <v>lending_cashloan_cashloan_MWG_</v>
      </c>
      <c r="H257" s="125"/>
      <c r="I257" s="84" t="s">
        <v>257</v>
      </c>
      <c r="J257" s="125"/>
      <c r="K257" s="177">
        <f t="shared" ref="K257:X257" si="116">K253/K250</f>
        <v>0</v>
      </c>
      <c r="L257" s="177">
        <f t="shared" si="116"/>
        <v>0</v>
      </c>
      <c r="M257" s="177">
        <f t="shared" si="116"/>
        <v>0</v>
      </c>
      <c r="N257" s="177">
        <f t="shared" si="116"/>
        <v>1.7871261920603576E-3</v>
      </c>
      <c r="O257" s="177">
        <f t="shared" si="116"/>
        <v>6.9635090483587082E-3</v>
      </c>
      <c r="P257" s="177">
        <f t="shared" si="116"/>
        <v>1.1196836579110412E-2</v>
      </c>
      <c r="Q257" s="177">
        <f t="shared" si="116"/>
        <v>1.7572521247405919E-2</v>
      </c>
      <c r="R257" s="177">
        <f t="shared" si="116"/>
        <v>2.1535353279099802E-2</v>
      </c>
      <c r="S257" s="177">
        <f t="shared" si="116"/>
        <v>2.2945739086655266E-2</v>
      </c>
      <c r="T257" s="177">
        <f t="shared" si="116"/>
        <v>2.4893260626273662E-2</v>
      </c>
      <c r="U257" s="177">
        <f t="shared" si="116"/>
        <v>2.3582254483493284E-2</v>
      </c>
      <c r="V257" s="177">
        <f t="shared" si="116"/>
        <v>2.2711769474419247E-2</v>
      </c>
      <c r="W257" s="177">
        <f t="shared" si="116"/>
        <v>2.2769831802113789E-2</v>
      </c>
      <c r="X257" s="177">
        <f t="shared" si="116"/>
        <v>2.2075371997468361E-2</v>
      </c>
      <c r="Y257" s="70">
        <f t="shared" si="97"/>
        <v>-6.9445980464542811E-4</v>
      </c>
    </row>
    <row r="258" spans="2:28" ht="16" hidden="1" x14ac:dyDescent="0.2">
      <c r="B258" s="121" t="s">
        <v>243</v>
      </c>
      <c r="C258" s="81" t="s">
        <v>291</v>
      </c>
      <c r="D258" s="81" t="s">
        <v>291</v>
      </c>
      <c r="E258" s="81" t="s">
        <v>218</v>
      </c>
      <c r="F258" s="80" t="s">
        <v>258</v>
      </c>
      <c r="G258" s="81" t="str">
        <f t="shared" si="112"/>
        <v>lending_cashloan_cashloan_MWG_npl</v>
      </c>
      <c r="H258" s="125"/>
      <c r="I258" s="84" t="s">
        <v>259</v>
      </c>
      <c r="J258" s="125"/>
      <c r="K258" s="177">
        <f t="shared" ref="K258:X258" si="117">K255/K250</f>
        <v>0</v>
      </c>
      <c r="L258" s="177">
        <f t="shared" si="117"/>
        <v>1.2397170394802075E-3</v>
      </c>
      <c r="M258" s="177">
        <f t="shared" si="117"/>
        <v>6.8666174964150163E-4</v>
      </c>
      <c r="N258" s="177">
        <f t="shared" si="117"/>
        <v>2.0818544769358881E-3</v>
      </c>
      <c r="O258" s="177">
        <f t="shared" si="117"/>
        <v>1.0134881721486766E-2</v>
      </c>
      <c r="P258" s="177">
        <f t="shared" si="117"/>
        <v>1.2844805789109339E-2</v>
      </c>
      <c r="Q258" s="177">
        <f t="shared" si="117"/>
        <v>1.9415137376934358E-2</v>
      </c>
      <c r="R258" s="177">
        <f t="shared" si="117"/>
        <v>2.5768732393934901E-2</v>
      </c>
      <c r="S258" s="177">
        <f t="shared" si="117"/>
        <v>2.549394633011352E-2</v>
      </c>
      <c r="T258" s="177">
        <f t="shared" si="117"/>
        <v>2.7646579813655099E-2</v>
      </c>
      <c r="U258" s="177">
        <f t="shared" si="117"/>
        <v>2.9809383806999875E-2</v>
      </c>
      <c r="V258" s="177">
        <f t="shared" si="117"/>
        <v>2.5984608884019159E-2</v>
      </c>
      <c r="W258" s="177">
        <f t="shared" si="117"/>
        <v>2.6701465537451979E-2</v>
      </c>
      <c r="X258" s="177">
        <f t="shared" si="117"/>
        <v>0</v>
      </c>
      <c r="Y258" s="70">
        <f t="shared" si="97"/>
        <v>-2.6701465537451979E-2</v>
      </c>
    </row>
    <row r="259" spans="2:28" hidden="1" x14ac:dyDescent="0.2">
      <c r="B259" s="121" t="s">
        <v>243</v>
      </c>
      <c r="C259" s="81" t="s">
        <v>291</v>
      </c>
      <c r="D259" s="81" t="s">
        <v>291</v>
      </c>
      <c r="E259" s="81" t="s">
        <v>218</v>
      </c>
      <c r="F259" s="80" t="s">
        <v>260</v>
      </c>
      <c r="G259" s="81" t="str">
        <f t="shared" si="112"/>
        <v>lending_cashloan_cashloan_MWG_TOI</v>
      </c>
      <c r="H259" s="125"/>
      <c r="I259" s="130" t="s">
        <v>260</v>
      </c>
      <c r="J259" s="131">
        <f t="shared" ref="J259:X259" si="118">J260+J265+J269</f>
        <v>98237098296.314804</v>
      </c>
      <c r="K259" s="131">
        <f t="shared" si="118"/>
        <v>588485541</v>
      </c>
      <c r="L259" s="131">
        <f t="shared" si="118"/>
        <v>991908256</v>
      </c>
      <c r="M259" s="131">
        <f t="shared" si="118"/>
        <v>1627429469</v>
      </c>
      <c r="N259" s="131">
        <f t="shared" si="118"/>
        <v>1717262163</v>
      </c>
      <c r="O259" s="131">
        <f t="shared" si="118"/>
        <v>2731810318.3148003</v>
      </c>
      <c r="P259" s="131">
        <f t="shared" si="118"/>
        <v>3519174762</v>
      </c>
      <c r="Q259" s="131">
        <f t="shared" si="118"/>
        <v>4525110933</v>
      </c>
      <c r="R259" s="131">
        <f t="shared" si="118"/>
        <v>5537318986</v>
      </c>
      <c r="S259" s="131">
        <f t="shared" si="118"/>
        <v>7086336526</v>
      </c>
      <c r="T259" s="131">
        <f t="shared" si="118"/>
        <v>9104712762</v>
      </c>
      <c r="U259" s="131">
        <f t="shared" si="118"/>
        <v>11870030385</v>
      </c>
      <c r="V259" s="131">
        <f t="shared" si="118"/>
        <v>14480708612</v>
      </c>
      <c r="W259" s="131">
        <f t="shared" si="118"/>
        <v>16173955958</v>
      </c>
      <c r="X259" s="131">
        <f t="shared" si="118"/>
        <v>19863247422</v>
      </c>
      <c r="Y259" s="70">
        <f t="shared" si="97"/>
        <v>3689291464</v>
      </c>
    </row>
    <row r="260" spans="2:28" hidden="1" x14ac:dyDescent="0.2">
      <c r="B260" s="121" t="s">
        <v>243</v>
      </c>
      <c r="C260" s="81" t="s">
        <v>291</v>
      </c>
      <c r="D260" s="81" t="s">
        <v>291</v>
      </c>
      <c r="E260" s="81" t="s">
        <v>218</v>
      </c>
      <c r="F260" s="80" t="s">
        <v>300</v>
      </c>
      <c r="G260" s="81" t="str">
        <f t="shared" si="112"/>
        <v>lending_cashloan_cashloan_MWG_NII</v>
      </c>
      <c r="H260" s="125"/>
      <c r="I260" s="132" t="s">
        <v>261</v>
      </c>
      <c r="J260" s="131">
        <f t="shared" ref="J260:X260" si="119">J261-J264</f>
        <v>73619224839.314804</v>
      </c>
      <c r="K260" s="131">
        <f t="shared" si="119"/>
        <v>234386675</v>
      </c>
      <c r="L260" s="131">
        <f t="shared" si="119"/>
        <v>569380236</v>
      </c>
      <c r="M260" s="131">
        <f t="shared" si="119"/>
        <v>1006806172</v>
      </c>
      <c r="N260" s="131">
        <f t="shared" si="119"/>
        <v>1238153371</v>
      </c>
      <c r="O260" s="131">
        <f t="shared" si="119"/>
        <v>1866711905.3148005</v>
      </c>
      <c r="P260" s="131">
        <f t="shared" si="119"/>
        <v>2512350446</v>
      </c>
      <c r="Q260" s="131">
        <f t="shared" si="119"/>
        <v>3312396239</v>
      </c>
      <c r="R260" s="131">
        <f t="shared" si="119"/>
        <v>4126691653</v>
      </c>
      <c r="S260" s="131">
        <f t="shared" si="119"/>
        <v>5299226264</v>
      </c>
      <c r="T260" s="131">
        <f t="shared" si="119"/>
        <v>6750220162</v>
      </c>
      <c r="U260" s="131">
        <f t="shared" si="119"/>
        <v>8363840103</v>
      </c>
      <c r="V260" s="131">
        <f t="shared" si="119"/>
        <v>11162737883</v>
      </c>
      <c r="W260" s="131">
        <f t="shared" si="119"/>
        <v>12557526809</v>
      </c>
      <c r="X260" s="131">
        <f t="shared" si="119"/>
        <v>15422563832</v>
      </c>
      <c r="Y260" s="70">
        <f t="shared" ref="Y260:Y323" si="120">X260-W260</f>
        <v>2865037023</v>
      </c>
    </row>
    <row r="261" spans="2:28" ht="16" hidden="1" x14ac:dyDescent="0.2">
      <c r="B261" s="121" t="s">
        <v>243</v>
      </c>
      <c r="C261" s="81" t="s">
        <v>291</v>
      </c>
      <c r="D261" s="81" t="s">
        <v>291</v>
      </c>
      <c r="E261" s="81" t="s">
        <v>218</v>
      </c>
      <c r="F261" s="80" t="s">
        <v>301</v>
      </c>
      <c r="G261" s="81" t="str">
        <f t="shared" si="112"/>
        <v>lending_cashloan_cashloan_MWG_CII</v>
      </c>
      <c r="H261" s="125"/>
      <c r="I261" s="134" t="s">
        <v>262</v>
      </c>
      <c r="J261" s="125">
        <f>SUM(M261:X261)</f>
        <v>87124308850</v>
      </c>
      <c r="K261" s="125">
        <f>K262+0-K263</f>
        <v>263122900</v>
      </c>
      <c r="L261" s="125">
        <f t="shared" ref="L261:V261" si="121">L262+K263-L263</f>
        <v>649567480</v>
      </c>
      <c r="M261" s="125">
        <f t="shared" si="121"/>
        <v>1155156483</v>
      </c>
      <c r="N261" s="125">
        <f t="shared" si="121"/>
        <v>1427719051</v>
      </c>
      <c r="O261" s="125">
        <f t="shared" si="121"/>
        <v>2158546163</v>
      </c>
      <c r="P261" s="125">
        <f t="shared" si="121"/>
        <v>2909307016</v>
      </c>
      <c r="Q261" s="125">
        <f t="shared" si="121"/>
        <v>3851939437</v>
      </c>
      <c r="R261" s="125">
        <f t="shared" si="121"/>
        <v>4802306855</v>
      </c>
      <c r="S261" s="125">
        <f t="shared" si="121"/>
        <v>6202227684</v>
      </c>
      <c r="T261" s="125">
        <f t="shared" si="121"/>
        <v>7936859894</v>
      </c>
      <c r="U261" s="125">
        <f t="shared" si="121"/>
        <v>9885023792</v>
      </c>
      <c r="V261" s="125">
        <f t="shared" si="121"/>
        <v>13278137991</v>
      </c>
      <c r="W261" s="125">
        <f>W262+V263-W263</f>
        <v>15015709493</v>
      </c>
      <c r="X261" s="125">
        <f>X262+W263-X263</f>
        <v>18501374991</v>
      </c>
      <c r="Y261" s="70">
        <f t="shared" si="120"/>
        <v>3485665498</v>
      </c>
    </row>
    <row r="262" spans="2:28" ht="16" hidden="1" x14ac:dyDescent="0.2">
      <c r="B262" s="121" t="s">
        <v>243</v>
      </c>
      <c r="C262" s="81" t="s">
        <v>291</v>
      </c>
      <c r="D262" s="81" t="s">
        <v>291</v>
      </c>
      <c r="E262" s="81" t="s">
        <v>218</v>
      </c>
      <c r="F262" s="80"/>
      <c r="G262" s="81" t="str">
        <f t="shared" si="112"/>
        <v>lending_cashloan_cashloan_MWG_</v>
      </c>
      <c r="H262" s="125"/>
      <c r="I262" s="183" t="s">
        <v>263</v>
      </c>
      <c r="J262" s="136">
        <f>SUM(M262:X262)</f>
        <v>88668828508</v>
      </c>
      <c r="K262" s="136">
        <v>263398790</v>
      </c>
      <c r="L262" s="136">
        <v>672148427</v>
      </c>
      <c r="M262" s="136">
        <v>1184094829</v>
      </c>
      <c r="N262" s="136">
        <v>1453050558</v>
      </c>
      <c r="O262" s="136">
        <v>2206855364</v>
      </c>
      <c r="P262" s="136">
        <v>2956724063</v>
      </c>
      <c r="Q262" s="136">
        <v>3943020885</v>
      </c>
      <c r="R262" s="136">
        <v>4887799494</v>
      </c>
      <c r="S262" s="136">
        <v>6378275744</v>
      </c>
      <c r="T262" s="136">
        <v>8067738498</v>
      </c>
      <c r="U262" s="136">
        <v>10087675211</v>
      </c>
      <c r="V262" s="136">
        <v>13507477758</v>
      </c>
      <c r="W262" s="125">
        <v>15280191199</v>
      </c>
      <c r="X262" s="136">
        <v>18715924905</v>
      </c>
      <c r="Y262" s="70">
        <f t="shared" si="120"/>
        <v>3435733706</v>
      </c>
    </row>
    <row r="263" spans="2:28" ht="16" hidden="1" x14ac:dyDescent="0.2">
      <c r="B263" s="121" t="s">
        <v>243</v>
      </c>
      <c r="C263" s="81" t="s">
        <v>291</v>
      </c>
      <c r="D263" s="81" t="s">
        <v>291</v>
      </c>
      <c r="E263" s="81" t="s">
        <v>218</v>
      </c>
      <c r="F263" s="124"/>
      <c r="G263" s="81" t="str">
        <f t="shared" si="112"/>
        <v>lending_cashloan_cashloan_MWG_</v>
      </c>
      <c r="H263" s="125"/>
      <c r="I263" s="183" t="s">
        <v>264</v>
      </c>
      <c r="J263" s="136">
        <f>SUM(M263:X263)</f>
        <v>7089953946</v>
      </c>
      <c r="K263" s="136">
        <v>275890</v>
      </c>
      <c r="L263" s="136">
        <f>17357423+ 5499414</f>
        <v>22856837</v>
      </c>
      <c r="M263" s="136">
        <v>51795183</v>
      </c>
      <c r="N263" s="136">
        <v>77126690</v>
      </c>
      <c r="O263" s="136">
        <v>125435891</v>
      </c>
      <c r="P263" s="136">
        <v>172852938</v>
      </c>
      <c r="Q263" s="136">
        <v>263934386</v>
      </c>
      <c r="R263" s="136">
        <v>349427025</v>
      </c>
      <c r="S263" s="136">
        <v>525475085</v>
      </c>
      <c r="T263" s="136">
        <v>656353689</v>
      </c>
      <c r="U263" s="136">
        <v>859005108</v>
      </c>
      <c r="V263" s="125">
        <v>1088344875</v>
      </c>
      <c r="W263" s="136">
        <v>1352826581</v>
      </c>
      <c r="X263" s="136">
        <v>1567376495</v>
      </c>
      <c r="Y263" s="70">
        <f t="shared" si="120"/>
        <v>214549914</v>
      </c>
      <c r="Z263" s="70"/>
      <c r="AA263" s="70"/>
    </row>
    <row r="264" spans="2:28" ht="16" hidden="1" x14ac:dyDescent="0.2">
      <c r="B264" s="121" t="s">
        <v>243</v>
      </c>
      <c r="C264" s="81" t="s">
        <v>291</v>
      </c>
      <c r="D264" s="81" t="s">
        <v>291</v>
      </c>
      <c r="E264" s="81" t="s">
        <v>218</v>
      </c>
      <c r="F264" s="80" t="s">
        <v>62</v>
      </c>
      <c r="G264" s="81" t="str">
        <f t="shared" si="112"/>
        <v>lending_cashloan_cashloan_MWG_COF</v>
      </c>
      <c r="H264" s="125"/>
      <c r="I264" s="134" t="s">
        <v>62</v>
      </c>
      <c r="J264" s="125">
        <f>SUM(M264:X264)</f>
        <v>13505084010.6852</v>
      </c>
      <c r="K264" s="154">
        <v>28736225</v>
      </c>
      <c r="L264" s="143">
        <v>80187244</v>
      </c>
      <c r="M264" s="84">
        <v>148350311</v>
      </c>
      <c r="N264" s="84">
        <v>189565680</v>
      </c>
      <c r="O264" s="84">
        <v>291834257.6851995</v>
      </c>
      <c r="P264" s="84">
        <v>396956570</v>
      </c>
      <c r="Q264" s="84">
        <v>539543198</v>
      </c>
      <c r="R264" s="84">
        <v>675615202</v>
      </c>
      <c r="S264" s="82">
        <v>903001420</v>
      </c>
      <c r="T264" s="82">
        <v>1186639732</v>
      </c>
      <c r="U264" s="82">
        <v>1521183689</v>
      </c>
      <c r="V264" s="82">
        <v>2115400108</v>
      </c>
      <c r="W264" s="154">
        <v>2458182684</v>
      </c>
      <c r="X264" s="143">
        <v>3078811159</v>
      </c>
      <c r="Y264" s="70">
        <f t="shared" si="120"/>
        <v>620628475</v>
      </c>
    </row>
    <row r="265" spans="2:28" hidden="1" x14ac:dyDescent="0.2">
      <c r="B265" s="121" t="s">
        <v>243</v>
      </c>
      <c r="C265" s="81" t="s">
        <v>291</v>
      </c>
      <c r="D265" s="81" t="s">
        <v>291</v>
      </c>
      <c r="E265" s="81" t="s">
        <v>218</v>
      </c>
      <c r="F265" s="80" t="s">
        <v>302</v>
      </c>
      <c r="G265" s="81" t="str">
        <f t="shared" si="112"/>
        <v>lending_cashloan_cashloan_MWG_NFI</v>
      </c>
      <c r="H265" s="125"/>
      <c r="I265" s="132" t="s">
        <v>265</v>
      </c>
      <c r="J265" s="131">
        <f t="shared" ref="J265:X265" si="122">SUM(J266:J268)</f>
        <v>24589444294</v>
      </c>
      <c r="K265" s="131">
        <f t="shared" si="122"/>
        <v>354098866</v>
      </c>
      <c r="L265" s="131">
        <f t="shared" si="122"/>
        <v>422528020</v>
      </c>
      <c r="M265" s="131">
        <f t="shared" si="122"/>
        <v>620623297</v>
      </c>
      <c r="N265" s="131">
        <f t="shared" si="122"/>
        <v>479108792</v>
      </c>
      <c r="O265" s="131">
        <f t="shared" si="122"/>
        <v>865098413</v>
      </c>
      <c r="P265" s="131">
        <f t="shared" si="122"/>
        <v>1006824316</v>
      </c>
      <c r="Q265" s="131">
        <f t="shared" si="122"/>
        <v>1212714694</v>
      </c>
      <c r="R265" s="131">
        <f t="shared" si="122"/>
        <v>1410627333</v>
      </c>
      <c r="S265" s="131">
        <f t="shared" si="122"/>
        <v>1787110262</v>
      </c>
      <c r="T265" s="131">
        <f t="shared" si="122"/>
        <v>2354492600</v>
      </c>
      <c r="U265" s="131">
        <f t="shared" si="122"/>
        <v>3497856119</v>
      </c>
      <c r="V265" s="131">
        <f t="shared" si="122"/>
        <v>3312970729</v>
      </c>
      <c r="W265" s="131">
        <f t="shared" si="122"/>
        <v>3610561149</v>
      </c>
      <c r="X265" s="131">
        <f t="shared" si="122"/>
        <v>4431456590</v>
      </c>
      <c r="Y265" s="70">
        <f t="shared" si="120"/>
        <v>820895441</v>
      </c>
    </row>
    <row r="266" spans="2:28" ht="16" hidden="1" x14ac:dyDescent="0.2">
      <c r="B266" s="121" t="s">
        <v>243</v>
      </c>
      <c r="C266" s="81" t="s">
        <v>291</v>
      </c>
      <c r="D266" s="81" t="s">
        <v>291</v>
      </c>
      <c r="E266" s="81" t="s">
        <v>218</v>
      </c>
      <c r="F266" s="80" t="s">
        <v>303</v>
      </c>
      <c r="G266" s="81" t="str">
        <f t="shared" si="112"/>
        <v>lending_cashloan_cashloan_MWG_insurance_fee</v>
      </c>
      <c r="H266" s="125"/>
      <c r="I266" s="134" t="s">
        <v>266</v>
      </c>
      <c r="J266" s="136">
        <f>SUM(M266:X266)</f>
        <v>22801515759</v>
      </c>
      <c r="K266" s="136">
        <v>350745630</v>
      </c>
      <c r="L266" s="164">
        <v>412180057</v>
      </c>
      <c r="M266" s="164">
        <v>614104532</v>
      </c>
      <c r="N266" s="64">
        <v>461327599</v>
      </c>
      <c r="O266" s="162">
        <v>845817212</v>
      </c>
      <c r="P266" s="162">
        <v>962992145</v>
      </c>
      <c r="Q266" s="162">
        <v>1165456044</v>
      </c>
      <c r="R266" s="162">
        <v>1350598431</v>
      </c>
      <c r="S266" s="162">
        <v>1705288869</v>
      </c>
      <c r="T266" s="136">
        <v>2139833235</v>
      </c>
      <c r="U266" s="163">
        <v>3280374392</v>
      </c>
      <c r="V266" s="136">
        <v>3004851535</v>
      </c>
      <c r="W266" s="136">
        <v>3262544810</v>
      </c>
      <c r="X266" s="164">
        <v>4008326955</v>
      </c>
      <c r="Y266" s="70">
        <f t="shared" si="120"/>
        <v>745782145</v>
      </c>
    </row>
    <row r="267" spans="2:28" ht="16" hidden="1" x14ac:dyDescent="0.2">
      <c r="B267" s="121" t="s">
        <v>243</v>
      </c>
      <c r="C267" s="81" t="s">
        <v>291</v>
      </c>
      <c r="D267" s="81" t="s">
        <v>291</v>
      </c>
      <c r="E267" s="81" t="s">
        <v>218</v>
      </c>
      <c r="F267" s="80" t="s">
        <v>304</v>
      </c>
      <c r="G267" s="81" t="str">
        <f t="shared" si="112"/>
        <v>lending_cashloan_cashloan_MWG_early_terminate_fee</v>
      </c>
      <c r="H267" s="125"/>
      <c r="I267" s="134" t="s">
        <v>267</v>
      </c>
      <c r="J267" s="136">
        <f>SUM(M267:X267)</f>
        <v>1787928535</v>
      </c>
      <c r="K267" s="136">
        <v>3353236</v>
      </c>
      <c r="L267" s="136">
        <v>10347963</v>
      </c>
      <c r="M267" s="136">
        <v>6518765</v>
      </c>
      <c r="N267" s="162">
        <v>17781193</v>
      </c>
      <c r="O267" s="162">
        <v>19281201</v>
      </c>
      <c r="P267" s="162">
        <v>43832171</v>
      </c>
      <c r="Q267" s="162">
        <v>47258650</v>
      </c>
      <c r="R267" s="162">
        <v>60028902</v>
      </c>
      <c r="S267" s="162">
        <v>81821393</v>
      </c>
      <c r="T267" s="162">
        <v>214659365</v>
      </c>
      <c r="U267" s="162">
        <v>217481727</v>
      </c>
      <c r="V267" s="162">
        <v>308119194</v>
      </c>
      <c r="W267" s="136">
        <v>348016339</v>
      </c>
      <c r="X267" s="136">
        <v>423129635</v>
      </c>
      <c r="Y267" s="70">
        <f t="shared" si="120"/>
        <v>75113296</v>
      </c>
    </row>
    <row r="268" spans="2:28" ht="16" hidden="1" x14ac:dyDescent="0.2">
      <c r="B268" s="121" t="s">
        <v>243</v>
      </c>
      <c r="C268" s="81" t="s">
        <v>291</v>
      </c>
      <c r="D268" s="81" t="s">
        <v>291</v>
      </c>
      <c r="E268" s="81" t="s">
        <v>218</v>
      </c>
      <c r="F268" s="80" t="s">
        <v>305</v>
      </c>
      <c r="G268" s="81" t="str">
        <f t="shared" si="112"/>
        <v>lending_cashloan_cashloan_MWG_loan_grant_fee</v>
      </c>
      <c r="H268" s="125"/>
      <c r="I268" s="134" t="s">
        <v>187</v>
      </c>
      <c r="J268" s="136">
        <f>SUM(M268:X268)</f>
        <v>0</v>
      </c>
      <c r="K268" s="136"/>
      <c r="L268" s="136"/>
      <c r="M268" s="162"/>
      <c r="N268" s="162"/>
      <c r="O268" s="162"/>
      <c r="P268" s="162"/>
      <c r="Q268" s="162"/>
      <c r="R268" s="136"/>
      <c r="S268" s="164"/>
      <c r="T268" s="136"/>
      <c r="U268" s="136"/>
      <c r="V268" s="136"/>
      <c r="W268" s="136"/>
      <c r="X268" s="136"/>
      <c r="Y268" s="70">
        <f t="shared" si="120"/>
        <v>0</v>
      </c>
    </row>
    <row r="269" spans="2:28" hidden="1" x14ac:dyDescent="0.2">
      <c r="B269" s="121" t="s">
        <v>243</v>
      </c>
      <c r="C269" s="81" t="s">
        <v>291</v>
      </c>
      <c r="D269" s="81" t="s">
        <v>291</v>
      </c>
      <c r="E269" s="81" t="s">
        <v>218</v>
      </c>
      <c r="F269" s="80" t="s">
        <v>306</v>
      </c>
      <c r="G269" s="81" t="str">
        <f t="shared" si="112"/>
        <v>lending_cashloan_cashloan_MWG_other_TOI</v>
      </c>
      <c r="H269" s="125"/>
      <c r="I269" s="132" t="s">
        <v>269</v>
      </c>
      <c r="J269" s="178">
        <f>SUM(M269:X269)</f>
        <v>28429163</v>
      </c>
      <c r="K269" s="136"/>
      <c r="L269" s="136"/>
      <c r="M269" s="162"/>
      <c r="N269" s="162"/>
      <c r="O269" s="162"/>
      <c r="P269" s="162"/>
      <c r="Q269" s="162"/>
      <c r="R269" s="136"/>
      <c r="S269" s="164"/>
      <c r="T269" s="136"/>
      <c r="U269" s="178">
        <v>8334163</v>
      </c>
      <c r="V269" s="139">
        <v>5000000</v>
      </c>
      <c r="W269" s="139">
        <v>5868000</v>
      </c>
      <c r="X269" s="139">
        <v>9227000</v>
      </c>
      <c r="Y269" s="70">
        <f t="shared" si="120"/>
        <v>3359000</v>
      </c>
    </row>
    <row r="270" spans="2:28" hidden="1" x14ac:dyDescent="0.2">
      <c r="B270" s="121" t="s">
        <v>243</v>
      </c>
      <c r="C270" s="81" t="s">
        <v>291</v>
      </c>
      <c r="D270" s="81" t="s">
        <v>291</v>
      </c>
      <c r="E270" s="81" t="s">
        <v>218</v>
      </c>
      <c r="F270" s="80" t="s">
        <v>307</v>
      </c>
      <c r="G270" s="81" t="str">
        <f t="shared" si="112"/>
        <v>lending_cashloan_cashloan_MWG_provision</v>
      </c>
      <c r="H270" s="125"/>
      <c r="I270" s="140" t="s">
        <v>270</v>
      </c>
      <c r="J270" s="131">
        <f>SUM(M270:X270)</f>
        <v>24867262608</v>
      </c>
      <c r="K270" s="168">
        <v>72966853</v>
      </c>
      <c r="L270" s="168">
        <f>121942274+23042321</f>
        <v>144984595</v>
      </c>
      <c r="M270" s="168">
        <v>154876285</v>
      </c>
      <c r="N270" s="184">
        <v>136406939</v>
      </c>
      <c r="O270" s="184">
        <f>289952641+65929912</f>
        <v>355882553</v>
      </c>
      <c r="P270" s="140">
        <v>285392787</v>
      </c>
      <c r="Q270" s="140">
        <v>593097768</v>
      </c>
      <c r="R270" s="140">
        <f>854996161+231107292</f>
        <v>1086103453</v>
      </c>
      <c r="S270" s="167">
        <v>1092925797</v>
      </c>
      <c r="T270" s="168">
        <v>1875781429</v>
      </c>
      <c r="U270" s="168">
        <f>3146091943+517677307</f>
        <v>3663769250</v>
      </c>
      <c r="V270" s="168">
        <v>3376823707</v>
      </c>
      <c r="W270" s="168">
        <v>5370578986</v>
      </c>
      <c r="X270" s="168">
        <v>6875623654</v>
      </c>
      <c r="Y270" s="70">
        <f t="shared" si="120"/>
        <v>1505044668</v>
      </c>
      <c r="Z270" s="112"/>
      <c r="AA270" s="112"/>
      <c r="AB270" s="112"/>
    </row>
    <row r="271" spans="2:28" hidden="1" x14ac:dyDescent="0.2">
      <c r="B271" s="121" t="s">
        <v>243</v>
      </c>
      <c r="C271" s="81" t="s">
        <v>291</v>
      </c>
      <c r="D271" s="81" t="s">
        <v>291</v>
      </c>
      <c r="E271" s="81" t="s">
        <v>218</v>
      </c>
      <c r="F271" s="80" t="s">
        <v>308</v>
      </c>
      <c r="G271" s="81" t="str">
        <f t="shared" si="112"/>
        <v>lending_cashloan_cashloan_MWG_variable_cost</v>
      </c>
      <c r="H271" s="125"/>
      <c r="I271" s="140" t="s">
        <v>271</v>
      </c>
      <c r="J271" s="131">
        <f t="shared" ref="J271:X271" si="123">SUM(J272:J279)</f>
        <v>29465183770.746292</v>
      </c>
      <c r="K271" s="131">
        <f t="shared" si="123"/>
        <v>227883911.76291326</v>
      </c>
      <c r="L271" s="131">
        <f t="shared" si="123"/>
        <v>421878801.95789266</v>
      </c>
      <c r="M271" s="131">
        <f t="shared" si="123"/>
        <v>677941395.10520959</v>
      </c>
      <c r="N271" s="131">
        <f t="shared" si="123"/>
        <v>864473566.78116226</v>
      </c>
      <c r="O271" s="131">
        <f t="shared" si="123"/>
        <v>912264934.30868387</v>
      </c>
      <c r="P271" s="131">
        <f t="shared" si="123"/>
        <v>1618178972.5342243</v>
      </c>
      <c r="Q271" s="131">
        <f t="shared" si="123"/>
        <v>1363114389.6644702</v>
      </c>
      <c r="R271" s="131">
        <f t="shared" si="123"/>
        <v>2137075617.1114082</v>
      </c>
      <c r="S271" s="131">
        <f t="shared" si="123"/>
        <v>1999030999.7836568</v>
      </c>
      <c r="T271" s="131">
        <f t="shared" si="123"/>
        <v>3096468604.1660023</v>
      </c>
      <c r="U271" s="131">
        <f t="shared" si="123"/>
        <v>3409784122.3729954</v>
      </c>
      <c r="V271" s="131">
        <f t="shared" si="123"/>
        <v>4224394722.7000508</v>
      </c>
      <c r="W271" s="131">
        <f t="shared" si="123"/>
        <v>4478478378.2489758</v>
      </c>
      <c r="X271" s="131">
        <f t="shared" si="123"/>
        <v>4683978067.96945</v>
      </c>
      <c r="Y271" s="70">
        <f t="shared" si="120"/>
        <v>205499689.72047424</v>
      </c>
    </row>
    <row r="272" spans="2:28" ht="16" hidden="1" x14ac:dyDescent="0.2">
      <c r="B272" s="121" t="s">
        <v>243</v>
      </c>
      <c r="C272" s="81" t="s">
        <v>291</v>
      </c>
      <c r="D272" s="81" t="s">
        <v>291</v>
      </c>
      <c r="E272" s="81" t="s">
        <v>218</v>
      </c>
      <c r="F272" s="80" t="s">
        <v>198</v>
      </c>
      <c r="G272" s="81" t="str">
        <f t="shared" si="112"/>
        <v>lending_cashloan_cashloan_MWG_marketing_acquisition_cost</v>
      </c>
      <c r="H272" s="125"/>
      <c r="I272" s="142" t="s">
        <v>272</v>
      </c>
      <c r="J272" s="125">
        <f t="shared" ref="J272:J277" si="124">SUM(M272:X272)</f>
        <v>556413000</v>
      </c>
      <c r="K272" s="122"/>
      <c r="L272" s="122"/>
      <c r="M272" s="82">
        <v>92735500</v>
      </c>
      <c r="N272" s="82">
        <v>92735500</v>
      </c>
      <c r="O272" s="82">
        <v>92735500</v>
      </c>
      <c r="P272" s="82">
        <v>92735500</v>
      </c>
      <c r="Q272" s="82">
        <v>92735500</v>
      </c>
      <c r="R272" s="82">
        <v>92735500</v>
      </c>
      <c r="S272" s="125">
        <v>0</v>
      </c>
      <c r="T272" s="125"/>
      <c r="U272" s="190"/>
      <c r="V272" s="122"/>
      <c r="W272" s="122"/>
      <c r="X272" s="122"/>
      <c r="Y272" s="70">
        <f t="shared" si="120"/>
        <v>0</v>
      </c>
    </row>
    <row r="273" spans="2:29" ht="16" hidden="1" x14ac:dyDescent="0.2">
      <c r="B273" s="121" t="s">
        <v>243</v>
      </c>
      <c r="C273" s="81" t="s">
        <v>291</v>
      </c>
      <c r="D273" s="81" t="s">
        <v>291</v>
      </c>
      <c r="E273" s="81" t="s">
        <v>218</v>
      </c>
      <c r="F273" s="80" t="s">
        <v>309</v>
      </c>
      <c r="G273" s="81" t="str">
        <f t="shared" si="112"/>
        <v>lending_cashloan_cashloan_MWG_partner_acquisition_cost</v>
      </c>
      <c r="H273" s="125"/>
      <c r="I273" s="142" t="s">
        <v>202</v>
      </c>
      <c r="J273" s="125">
        <f t="shared" si="124"/>
        <v>26424727999</v>
      </c>
      <c r="K273" s="153">
        <v>148517895</v>
      </c>
      <c r="L273" s="84">
        <f>287397533+18287793</f>
        <v>305685326</v>
      </c>
      <c r="M273" s="64">
        <v>436216901</v>
      </c>
      <c r="N273" s="143">
        <v>661679856</v>
      </c>
      <c r="O273" s="84">
        <v>696976888</v>
      </c>
      <c r="P273" s="84">
        <f>990527883+400000000</f>
        <v>1390527883</v>
      </c>
      <c r="Q273" s="84">
        <v>1107383263</v>
      </c>
      <c r="R273" s="84">
        <f>(1474936535+819803326-400000000)</f>
        <v>1894739861</v>
      </c>
      <c r="S273" s="84">
        <v>1818205863</v>
      </c>
      <c r="T273" s="82">
        <f>2254189096+580000000</f>
        <v>2834189096</v>
      </c>
      <c r="U273" s="82">
        <v>3101283167</v>
      </c>
      <c r="V273" s="82">
        <f>3551850639+400000000</f>
        <v>3951850639</v>
      </c>
      <c r="W273" s="82">
        <v>4171430432</v>
      </c>
      <c r="X273" s="82">
        <v>4360244150</v>
      </c>
      <c r="Y273" s="70">
        <f t="shared" si="120"/>
        <v>188813718</v>
      </c>
    </row>
    <row r="274" spans="2:29" ht="16" hidden="1" x14ac:dyDescent="0.2">
      <c r="B274" s="121" t="s">
        <v>243</v>
      </c>
      <c r="C274" s="81" t="s">
        <v>291</v>
      </c>
      <c r="D274" s="81" t="s">
        <v>291</v>
      </c>
      <c r="E274" s="81" t="s">
        <v>218</v>
      </c>
      <c r="F274" s="80" t="s">
        <v>310</v>
      </c>
      <c r="G274" s="81" t="str">
        <f t="shared" si="112"/>
        <v>lending_cashloan_cashloan_MWG_underwritting</v>
      </c>
      <c r="H274" s="125"/>
      <c r="I274" s="142" t="s">
        <v>273</v>
      </c>
      <c r="J274" s="125">
        <f t="shared" si="124"/>
        <v>1620408605.3579783</v>
      </c>
      <c r="K274" s="125">
        <v>76505333.712678313</v>
      </c>
      <c r="L274" s="125">
        <v>106307091.51031846</v>
      </c>
      <c r="M274" s="170">
        <v>128147390.53984046</v>
      </c>
      <c r="N274" s="170">
        <v>85948361.766753227</v>
      </c>
      <c r="O274" s="170">
        <v>86634625.628179967</v>
      </c>
      <c r="P274" s="170">
        <v>82754055.232079148</v>
      </c>
      <c r="Q274" s="170">
        <v>95532284.399305388</v>
      </c>
      <c r="R274" s="170">
        <v>110539377.09542018</v>
      </c>
      <c r="S274" s="125">
        <v>118529297.16715671</v>
      </c>
      <c r="T274" s="125">
        <v>189584541.4758026</v>
      </c>
      <c r="U274" s="125">
        <v>206934807.5009793</v>
      </c>
      <c r="V274" s="125">
        <v>173946715.91509354</v>
      </c>
      <c r="W274" s="125">
        <v>162959122.21132296</v>
      </c>
      <c r="X274" s="125">
        <v>178898026.42604467</v>
      </c>
      <c r="Y274" s="70">
        <f t="shared" si="120"/>
        <v>15938904.214721709</v>
      </c>
    </row>
    <row r="275" spans="2:29" ht="16" hidden="1" x14ac:dyDescent="0.2">
      <c r="B275" s="121" t="s">
        <v>243</v>
      </c>
      <c r="C275" s="81" t="s">
        <v>291</v>
      </c>
      <c r="D275" s="81" t="s">
        <v>291</v>
      </c>
      <c r="E275" s="81" t="s">
        <v>218</v>
      </c>
      <c r="F275" s="80" t="s">
        <v>311</v>
      </c>
      <c r="G275" s="81" t="str">
        <f t="shared" si="112"/>
        <v>lending_cashloan_cashloan_MWG_e_contract</v>
      </c>
      <c r="H275" s="125"/>
      <c r="I275" s="142" t="s">
        <v>274</v>
      </c>
      <c r="J275" s="125">
        <f t="shared" si="124"/>
        <v>31652030</v>
      </c>
      <c r="K275" s="125">
        <v>501680</v>
      </c>
      <c r="L275" s="125">
        <v>594830</v>
      </c>
      <c r="M275" s="84">
        <v>853178</v>
      </c>
      <c r="N275" s="153">
        <v>688693</v>
      </c>
      <c r="O275" s="153">
        <v>1253410</v>
      </c>
      <c r="P275" s="153">
        <v>4089612</v>
      </c>
      <c r="Q275" s="153">
        <v>1626493</v>
      </c>
      <c r="R275" s="143">
        <v>1862711</v>
      </c>
      <c r="S275" s="125">
        <v>2374459</v>
      </c>
      <c r="T275" s="125">
        <v>4063472</v>
      </c>
      <c r="U275" s="125">
        <v>3916578</v>
      </c>
      <c r="V275" s="125">
        <v>3488006</v>
      </c>
      <c r="W275" s="125">
        <v>3347021</v>
      </c>
      <c r="X275" s="125">
        <v>4088397</v>
      </c>
      <c r="Y275" s="70">
        <f t="shared" si="120"/>
        <v>741376</v>
      </c>
    </row>
    <row r="276" spans="2:29" ht="16" hidden="1" x14ac:dyDescent="0.2">
      <c r="B276" s="121" t="s">
        <v>243</v>
      </c>
      <c r="C276" s="81" t="s">
        <v>291</v>
      </c>
      <c r="D276" s="81" t="s">
        <v>291</v>
      </c>
      <c r="E276" s="81" t="s">
        <v>218</v>
      </c>
      <c r="F276" s="80" t="s">
        <v>312</v>
      </c>
      <c r="G276" s="81" t="str">
        <f t="shared" si="112"/>
        <v>lending_cashloan_cashloan_MWG_nfc</v>
      </c>
      <c r="H276" s="125"/>
      <c r="I276" s="142" t="s">
        <v>275</v>
      </c>
      <c r="J276" s="125">
        <f t="shared" si="124"/>
        <v>69472525.234429806</v>
      </c>
      <c r="K276" s="125"/>
      <c r="L276" s="125"/>
      <c r="M276" s="84">
        <v>4105355.5819096765</v>
      </c>
      <c r="N276" s="84">
        <v>2651255.679538616</v>
      </c>
      <c r="O276" s="84">
        <v>4626850.3931379551</v>
      </c>
      <c r="P276" s="84">
        <v>4153114.246025621</v>
      </c>
      <c r="Q276" s="84">
        <v>4889423.5763622411</v>
      </c>
      <c r="R276" s="170">
        <v>5170163.3780149035</v>
      </c>
      <c r="S276" s="125">
        <v>5130327.3319621552</v>
      </c>
      <c r="T276" s="125">
        <v>6583572.3073033299</v>
      </c>
      <c r="U276" s="125">
        <v>8299307.9830432152</v>
      </c>
      <c r="V276" s="125">
        <v>7690355.5718413675</v>
      </c>
      <c r="W276" s="125">
        <v>6578755.6616643928</v>
      </c>
      <c r="X276" s="125">
        <v>9594043.523626335</v>
      </c>
      <c r="Y276" s="70">
        <f t="shared" si="120"/>
        <v>3015287.8619619422</v>
      </c>
    </row>
    <row r="277" spans="2:29" ht="16" hidden="1" x14ac:dyDescent="0.2">
      <c r="B277" s="121" t="s">
        <v>243</v>
      </c>
      <c r="C277" s="81" t="s">
        <v>291</v>
      </c>
      <c r="D277" s="81" t="s">
        <v>291</v>
      </c>
      <c r="E277" s="81" t="s">
        <v>218</v>
      </c>
      <c r="F277" s="80" t="s">
        <v>313</v>
      </c>
      <c r="G277" s="81" t="str">
        <f t="shared" si="112"/>
        <v>lending_cashloan_cashloan_MWG_collection</v>
      </c>
      <c r="H277" s="125"/>
      <c r="I277" s="142" t="s">
        <v>196</v>
      </c>
      <c r="J277" s="125">
        <f t="shared" si="124"/>
        <v>629410984.73356628</v>
      </c>
      <c r="K277" s="125">
        <v>1021152.2085607332</v>
      </c>
      <c r="L277" s="125">
        <v>7445927.1519364221</v>
      </c>
      <c r="M277" s="84">
        <v>12871087.024976807</v>
      </c>
      <c r="N277" s="84">
        <v>18256283.19186122</v>
      </c>
      <c r="O277" s="84">
        <v>25788740.814853944</v>
      </c>
      <c r="P277" s="84">
        <v>37467903.184690349</v>
      </c>
      <c r="Q277" s="84">
        <v>53888984.385837212</v>
      </c>
      <c r="R277" s="84">
        <v>24063188.689523447</v>
      </c>
      <c r="S277" s="84">
        <v>43437925</v>
      </c>
      <c r="T277" s="125">
        <v>50720319.8616945</v>
      </c>
      <c r="U277" s="125">
        <v>71676996.346171454</v>
      </c>
      <c r="V277" s="125">
        <v>67456006.673841015</v>
      </c>
      <c r="W277" s="125">
        <v>113923492.11363457</v>
      </c>
      <c r="X277" s="125">
        <v>109860057.44648175</v>
      </c>
      <c r="Y277" s="70">
        <f t="shared" si="120"/>
        <v>-4063434.667152822</v>
      </c>
    </row>
    <row r="278" spans="2:29" ht="16" hidden="1" x14ac:dyDescent="0.2">
      <c r="B278" s="121" t="s">
        <v>243</v>
      </c>
      <c r="C278" s="81" t="s">
        <v>291</v>
      </c>
      <c r="D278" s="81" t="s">
        <v>291</v>
      </c>
      <c r="E278" s="81" t="s">
        <v>218</v>
      </c>
      <c r="F278" s="80" t="s">
        <v>314</v>
      </c>
      <c r="G278" s="81" t="str">
        <f t="shared" si="112"/>
        <v>lending_cashloan_cashloan_MWG_promotion</v>
      </c>
      <c r="H278" s="125"/>
      <c r="I278" s="142" t="s">
        <v>276</v>
      </c>
      <c r="J278" s="125"/>
      <c r="K278" s="125"/>
      <c r="L278" s="125"/>
      <c r="M278" s="84"/>
      <c r="N278" s="84"/>
      <c r="O278" s="84"/>
      <c r="P278" s="84"/>
      <c r="Q278" s="84"/>
      <c r="R278" s="122"/>
      <c r="S278" s="84"/>
      <c r="T278" s="125"/>
      <c r="U278" s="125"/>
      <c r="V278" s="125"/>
      <c r="W278" s="125"/>
      <c r="X278" s="125"/>
      <c r="Y278" s="70">
        <f t="shared" si="120"/>
        <v>0</v>
      </c>
    </row>
    <row r="279" spans="2:29" ht="16" hidden="1" x14ac:dyDescent="0.2">
      <c r="B279" s="121" t="s">
        <v>243</v>
      </c>
      <c r="C279" s="81" t="s">
        <v>291</v>
      </c>
      <c r="D279" s="81" t="s">
        <v>291</v>
      </c>
      <c r="E279" s="81" t="s">
        <v>218</v>
      </c>
      <c r="F279" s="80" t="s">
        <v>315</v>
      </c>
      <c r="G279" s="81" t="str">
        <f t="shared" si="112"/>
        <v>lending_cashloan_cashloan_MWG_sms</v>
      </c>
      <c r="H279" s="125"/>
      <c r="I279" s="144" t="s">
        <v>197</v>
      </c>
      <c r="J279" s="125">
        <f>SUM(M279:X279)</f>
        <v>133098626.42031762</v>
      </c>
      <c r="K279" s="143">
        <v>1337850.8416742119</v>
      </c>
      <c r="L279" s="143">
        <v>1845627.2956377841</v>
      </c>
      <c r="M279" s="143">
        <v>3011982.9584825668</v>
      </c>
      <c r="N279" s="143">
        <v>2513617.1430091532</v>
      </c>
      <c r="O279" s="143">
        <v>4248919.4725119788</v>
      </c>
      <c r="P279" s="143">
        <v>6450904.8714294583</v>
      </c>
      <c r="Q279" s="143">
        <v>7058441.3029654277</v>
      </c>
      <c r="R279" s="170">
        <v>7964815.9484497514</v>
      </c>
      <c r="S279" s="125">
        <v>11353128.284538098</v>
      </c>
      <c r="T279" s="125">
        <v>11327602.521202262</v>
      </c>
      <c r="U279" s="125">
        <v>17673265.542801615</v>
      </c>
      <c r="V279" s="125">
        <v>19962999.539275035</v>
      </c>
      <c r="W279" s="125">
        <v>20239555.262354765</v>
      </c>
      <c r="X279" s="125">
        <v>21293393.573297512</v>
      </c>
      <c r="Y279" s="70">
        <f t="shared" si="120"/>
        <v>1053838.3109427467</v>
      </c>
    </row>
    <row r="280" spans="2:29" ht="16" hidden="1" thickTop="1" x14ac:dyDescent="0.2">
      <c r="B280" s="121" t="s">
        <v>243</v>
      </c>
      <c r="C280" s="81" t="s">
        <v>291</v>
      </c>
      <c r="D280" s="81" t="s">
        <v>291</v>
      </c>
      <c r="E280" s="81" t="s">
        <v>218</v>
      </c>
      <c r="F280" s="80" t="s">
        <v>316</v>
      </c>
      <c r="G280" s="81" t="str">
        <f t="shared" si="112"/>
        <v>lending_cashloan_cashloan_MWG_profit_before_overhead</v>
      </c>
      <c r="H280" s="125"/>
      <c r="I280" s="145" t="s">
        <v>289</v>
      </c>
      <c r="J280" s="145">
        <f t="shared" ref="J280:X280" si="125">J259-J270-J271</f>
        <v>43904651917.568512</v>
      </c>
      <c r="K280" s="145">
        <f t="shared" si="125"/>
        <v>287634776.23708677</v>
      </c>
      <c r="L280" s="145">
        <f t="shared" si="125"/>
        <v>425044859.04210734</v>
      </c>
      <c r="M280" s="145">
        <f t="shared" si="125"/>
        <v>794611788.89479041</v>
      </c>
      <c r="N280" s="145">
        <f t="shared" si="125"/>
        <v>716381657.21883774</v>
      </c>
      <c r="O280" s="145">
        <f t="shared" si="125"/>
        <v>1463662831.0061164</v>
      </c>
      <c r="P280" s="145">
        <f t="shared" si="125"/>
        <v>1615603002.4657757</v>
      </c>
      <c r="Q280" s="145">
        <f t="shared" si="125"/>
        <v>2568898775.3355298</v>
      </c>
      <c r="R280" s="145">
        <f t="shared" si="125"/>
        <v>2314139915.8885918</v>
      </c>
      <c r="S280" s="145">
        <f t="shared" si="125"/>
        <v>3994379729.2163429</v>
      </c>
      <c r="T280" s="145">
        <f t="shared" si="125"/>
        <v>4132462728.8339977</v>
      </c>
      <c r="U280" s="145">
        <f t="shared" si="125"/>
        <v>4796477012.6270046</v>
      </c>
      <c r="V280" s="145">
        <f t="shared" si="125"/>
        <v>6879490182.2999496</v>
      </c>
      <c r="W280" s="145">
        <f t="shared" si="125"/>
        <v>6324898593.7510242</v>
      </c>
      <c r="X280" s="145">
        <f t="shared" si="125"/>
        <v>8303645700.03055</v>
      </c>
      <c r="Y280" s="70">
        <f t="shared" si="120"/>
        <v>1978747106.2795258</v>
      </c>
    </row>
    <row r="281" spans="2:29" hidden="1" x14ac:dyDescent="0.2">
      <c r="B281" s="121"/>
      <c r="C281" s="81"/>
      <c r="D281" s="81"/>
      <c r="E281" s="81"/>
      <c r="F281" s="124"/>
      <c r="G281" s="81"/>
      <c r="H281" s="125"/>
      <c r="I281" s="148"/>
      <c r="J281" s="131"/>
      <c r="K281" s="131"/>
      <c r="L281" s="131"/>
      <c r="M281" s="131"/>
      <c r="N281" s="131"/>
      <c r="O281" s="131"/>
      <c r="P281" s="131"/>
      <c r="Q281" s="131"/>
      <c r="R281" s="131"/>
      <c r="S281" s="131"/>
      <c r="T281" s="131"/>
      <c r="U281" s="131"/>
      <c r="V281" s="131"/>
      <c r="W281" s="131"/>
      <c r="X281" s="131"/>
      <c r="Y281" s="70">
        <f t="shared" si="120"/>
        <v>0</v>
      </c>
    </row>
    <row r="282" spans="2:29" hidden="1" x14ac:dyDescent="0.2">
      <c r="B282" s="121" t="s">
        <v>243</v>
      </c>
      <c r="C282" s="81" t="s">
        <v>291</v>
      </c>
      <c r="D282" s="81" t="s">
        <v>291</v>
      </c>
      <c r="E282" s="81" t="s">
        <v>212</v>
      </c>
      <c r="F282" s="80"/>
      <c r="G282" s="81" t="str">
        <f t="shared" ref="G282:G319" si="126">B282&amp;"_"&amp;C282&amp;"_"&amp;D282&amp;"_"&amp;E282&amp;"_"&amp;F282</f>
        <v>lending_cashloan_cashloan_VNPAY_</v>
      </c>
      <c r="H282" s="125"/>
      <c r="I282" s="123" t="s">
        <v>324</v>
      </c>
      <c r="J282" s="123"/>
      <c r="K282" s="123"/>
      <c r="L282" s="123"/>
      <c r="M282" s="123"/>
      <c r="N282" s="123"/>
      <c r="O282" s="123"/>
      <c r="P282" s="123"/>
      <c r="Q282" s="123"/>
      <c r="R282" s="123"/>
      <c r="S282" s="123"/>
      <c r="T282" s="123"/>
      <c r="U282" s="123"/>
      <c r="V282" s="123"/>
      <c r="W282" s="123"/>
      <c r="X282" s="123"/>
      <c r="Y282" s="70">
        <f t="shared" si="120"/>
        <v>0</v>
      </c>
    </row>
    <row r="283" spans="2:29" ht="16" hidden="1" x14ac:dyDescent="0.2">
      <c r="B283" s="121" t="s">
        <v>243</v>
      </c>
      <c r="C283" s="81" t="s">
        <v>291</v>
      </c>
      <c r="D283" s="81" t="s">
        <v>291</v>
      </c>
      <c r="E283" s="81" t="s">
        <v>212</v>
      </c>
      <c r="F283" s="80" t="s">
        <v>292</v>
      </c>
      <c r="G283" s="81" t="str">
        <f t="shared" si="126"/>
        <v>lending_cashloan_cashloan_VNPAY_new_account</v>
      </c>
      <c r="H283" s="125"/>
      <c r="I283" s="126" t="s">
        <v>245</v>
      </c>
      <c r="J283" s="125">
        <f>SUM(M283:X283)</f>
        <v>15122</v>
      </c>
      <c r="K283" s="84">
        <v>3</v>
      </c>
      <c r="L283" s="84">
        <v>338</v>
      </c>
      <c r="M283" s="84">
        <v>940</v>
      </c>
      <c r="N283" s="175">
        <v>796</v>
      </c>
      <c r="O283" s="84">
        <v>1127</v>
      </c>
      <c r="P283" s="84">
        <v>1227</v>
      </c>
      <c r="Q283" s="175">
        <v>1588</v>
      </c>
      <c r="R283" s="176">
        <v>1354</v>
      </c>
      <c r="S283" s="152">
        <v>1192</v>
      </c>
      <c r="T283" s="84">
        <v>1135</v>
      </c>
      <c r="U283" s="84">
        <v>1479</v>
      </c>
      <c r="V283" s="84">
        <v>1476</v>
      </c>
      <c r="W283" s="84">
        <v>1413</v>
      </c>
      <c r="X283" s="84">
        <v>1395</v>
      </c>
      <c r="Y283" s="70">
        <f t="shared" si="120"/>
        <v>-18</v>
      </c>
    </row>
    <row r="284" spans="2:29" ht="16" hidden="1" x14ac:dyDescent="0.2">
      <c r="B284" s="121" t="s">
        <v>243</v>
      </c>
      <c r="C284" s="81" t="s">
        <v>291</v>
      </c>
      <c r="D284" s="81" t="s">
        <v>291</v>
      </c>
      <c r="E284" s="81" t="s">
        <v>212</v>
      </c>
      <c r="F284" s="126" t="s">
        <v>246</v>
      </c>
      <c r="G284" s="81" t="str">
        <f t="shared" si="126"/>
        <v>lending_cashloan_cashloan_VNPAY_Repeat account</v>
      </c>
      <c r="H284" s="125"/>
      <c r="I284" s="126" t="s">
        <v>246</v>
      </c>
      <c r="J284" s="125"/>
      <c r="K284" s="84"/>
      <c r="L284" s="84"/>
      <c r="M284" s="84"/>
      <c r="N284" s="175"/>
      <c r="O284" s="84">
        <v>1</v>
      </c>
      <c r="P284" s="84">
        <v>6</v>
      </c>
      <c r="Q284" s="84">
        <v>19</v>
      </c>
      <c r="R284" s="84">
        <v>25</v>
      </c>
      <c r="S284" s="84">
        <v>67</v>
      </c>
      <c r="T284" s="84">
        <v>156</v>
      </c>
      <c r="U284" s="84">
        <v>483</v>
      </c>
      <c r="V284" s="84">
        <v>482</v>
      </c>
      <c r="W284" s="84">
        <v>581</v>
      </c>
      <c r="X284" s="84">
        <v>524</v>
      </c>
      <c r="Y284" s="70">
        <f t="shared" si="120"/>
        <v>-57</v>
      </c>
    </row>
    <row r="285" spans="2:29" ht="16" hidden="1" x14ac:dyDescent="0.2">
      <c r="B285" s="121" t="s">
        <v>243</v>
      </c>
      <c r="C285" s="81" t="s">
        <v>291</v>
      </c>
      <c r="D285" s="81" t="s">
        <v>291</v>
      </c>
      <c r="E285" s="81" t="s">
        <v>212</v>
      </c>
      <c r="F285" s="80" t="s">
        <v>293</v>
      </c>
      <c r="G285" s="81" t="str">
        <f t="shared" si="126"/>
        <v>lending_cashloan_cashloan_VNPAY_active_account</v>
      </c>
      <c r="H285" s="125"/>
      <c r="I285" s="126" t="s">
        <v>247</v>
      </c>
      <c r="J285" s="125">
        <f>SUM(M285:X285)</f>
        <v>82332</v>
      </c>
      <c r="K285" s="84">
        <v>3</v>
      </c>
      <c r="L285" s="84">
        <v>342</v>
      </c>
      <c r="M285" s="84">
        <v>1282</v>
      </c>
      <c r="N285" s="175">
        <v>2133</v>
      </c>
      <c r="O285" s="180">
        <v>3252</v>
      </c>
      <c r="P285" s="84">
        <v>4433</v>
      </c>
      <c r="Q285" s="84">
        <v>5936</v>
      </c>
      <c r="R285" s="84">
        <v>7123</v>
      </c>
      <c r="S285" s="84">
        <v>8013</v>
      </c>
      <c r="T285" s="82">
        <v>8674</v>
      </c>
      <c r="U285" s="82">
        <v>9522</v>
      </c>
      <c r="V285" s="84">
        <v>10204</v>
      </c>
      <c r="W285" s="84">
        <v>10704</v>
      </c>
      <c r="X285" s="84">
        <v>11056</v>
      </c>
      <c r="Y285" s="70">
        <f t="shared" si="120"/>
        <v>352</v>
      </c>
    </row>
    <row r="286" spans="2:29" ht="16" hidden="1" x14ac:dyDescent="0.2">
      <c r="B286" s="121" t="s">
        <v>243</v>
      </c>
      <c r="C286" s="81" t="s">
        <v>291</v>
      </c>
      <c r="D286" s="81" t="s">
        <v>291</v>
      </c>
      <c r="E286" s="81" t="s">
        <v>212</v>
      </c>
      <c r="F286" s="80" t="s">
        <v>294</v>
      </c>
      <c r="G286" s="81" t="str">
        <f t="shared" si="126"/>
        <v>lending_cashloan_cashloan_VNPAY_disburse/spend</v>
      </c>
      <c r="H286" s="125"/>
      <c r="I286" s="84" t="s">
        <v>191</v>
      </c>
      <c r="J286" s="125">
        <f>SUM(M286:X286)</f>
        <v>191538510000</v>
      </c>
      <c r="K286" s="125">
        <v>15000000</v>
      </c>
      <c r="L286" s="125">
        <v>3369840000</v>
      </c>
      <c r="M286" s="125">
        <v>10232660000</v>
      </c>
      <c r="N286" s="84">
        <v>9282580000</v>
      </c>
      <c r="O286" s="84">
        <v>11876180000</v>
      </c>
      <c r="P286" s="84">
        <v>13534020000</v>
      </c>
      <c r="Q286" s="84">
        <v>18967580000</v>
      </c>
      <c r="R286" s="84">
        <v>16257930000</v>
      </c>
      <c r="S286" s="82">
        <v>13288530000</v>
      </c>
      <c r="T286" s="84">
        <v>13484550000</v>
      </c>
      <c r="U286" s="84">
        <v>21050400000</v>
      </c>
      <c r="V286" s="84">
        <v>22246180000</v>
      </c>
      <c r="W286" s="125">
        <v>19620350000</v>
      </c>
      <c r="X286" s="125">
        <v>21697550000</v>
      </c>
      <c r="Y286" s="70">
        <f t="shared" si="120"/>
        <v>2077200000</v>
      </c>
    </row>
    <row r="287" spans="2:29" ht="16" hidden="1" x14ac:dyDescent="0.2">
      <c r="B287" s="121" t="s">
        <v>243</v>
      </c>
      <c r="C287" s="81" t="s">
        <v>291</v>
      </c>
      <c r="D287" s="81" t="s">
        <v>291</v>
      </c>
      <c r="E287" s="81" t="s">
        <v>212</v>
      </c>
      <c r="F287" s="124"/>
      <c r="G287" s="81" t="str">
        <f t="shared" si="126"/>
        <v>lending_cashloan_cashloan_VNPAY_</v>
      </c>
      <c r="H287" s="125"/>
      <c r="I287" s="84" t="s">
        <v>248</v>
      </c>
      <c r="J287" s="125">
        <f>SUM(M287:X287)</f>
        <v>146047510000</v>
      </c>
      <c r="K287" s="125"/>
      <c r="L287" s="125">
        <v>2580840000</v>
      </c>
      <c r="M287" s="84">
        <v>7958660000</v>
      </c>
      <c r="N287" s="84">
        <v>7483580000</v>
      </c>
      <c r="O287" s="84">
        <v>9388180000</v>
      </c>
      <c r="P287" s="84">
        <v>10578020000</v>
      </c>
      <c r="Q287" s="84">
        <v>14438580000</v>
      </c>
      <c r="R287" s="84">
        <v>12624930000</v>
      </c>
      <c r="S287" s="82">
        <v>10035530000</v>
      </c>
      <c r="T287" s="84">
        <v>9913550000</v>
      </c>
      <c r="U287" s="84">
        <v>15857400000</v>
      </c>
      <c r="V287" s="125">
        <v>16771180000</v>
      </c>
      <c r="W287" s="125">
        <v>14878350000</v>
      </c>
      <c r="X287" s="125">
        <v>16119550000</v>
      </c>
      <c r="Y287" s="70">
        <f t="shared" si="120"/>
        <v>1241200000</v>
      </c>
      <c r="Z287" s="52">
        <f>N287/N286</f>
        <v>0.80619612219878523</v>
      </c>
      <c r="AA287" s="52">
        <f>O287/O286</f>
        <v>0.79050502771093067</v>
      </c>
      <c r="AB287" s="52">
        <f>P287/P286</f>
        <v>0.78158743669656172</v>
      </c>
      <c r="AC287" s="52">
        <f>Q287/Q286</f>
        <v>0.76122415194769177</v>
      </c>
    </row>
    <row r="288" spans="2:29" ht="16" hidden="1" x14ac:dyDescent="0.2">
      <c r="B288" s="121" t="s">
        <v>243</v>
      </c>
      <c r="C288" s="81" t="s">
        <v>291</v>
      </c>
      <c r="D288" s="81" t="s">
        <v>291</v>
      </c>
      <c r="E288" s="81" t="s">
        <v>212</v>
      </c>
      <c r="F288" s="124"/>
      <c r="G288" s="81" t="str">
        <f t="shared" si="126"/>
        <v>lending_cashloan_cashloan_VNPAY_</v>
      </c>
      <c r="H288" s="125"/>
      <c r="I288" s="84" t="s">
        <v>249</v>
      </c>
      <c r="J288" s="125">
        <f>SUM(M288:X288)</f>
        <v>45491000000</v>
      </c>
      <c r="K288" s="125">
        <f t="shared" ref="K288:X288" si="127">K286-K287</f>
        <v>15000000</v>
      </c>
      <c r="L288" s="125">
        <f t="shared" si="127"/>
        <v>789000000</v>
      </c>
      <c r="M288" s="125">
        <f t="shared" si="127"/>
        <v>2274000000</v>
      </c>
      <c r="N288" s="125">
        <f t="shared" si="127"/>
        <v>1799000000</v>
      </c>
      <c r="O288" s="125">
        <f t="shared" si="127"/>
        <v>2488000000</v>
      </c>
      <c r="P288" s="125">
        <f t="shared" si="127"/>
        <v>2956000000</v>
      </c>
      <c r="Q288" s="125">
        <f t="shared" si="127"/>
        <v>4529000000</v>
      </c>
      <c r="R288" s="125">
        <f t="shared" si="127"/>
        <v>3633000000</v>
      </c>
      <c r="S288" s="125">
        <f t="shared" si="127"/>
        <v>3253000000</v>
      </c>
      <c r="T288" s="125">
        <f t="shared" si="127"/>
        <v>3571000000</v>
      </c>
      <c r="U288" s="125">
        <f t="shared" si="127"/>
        <v>5193000000</v>
      </c>
      <c r="V288" s="125">
        <f t="shared" si="127"/>
        <v>5475000000</v>
      </c>
      <c r="W288" s="125">
        <f t="shared" si="127"/>
        <v>4742000000</v>
      </c>
      <c r="X288" s="125">
        <f t="shared" si="127"/>
        <v>5578000000</v>
      </c>
      <c r="Y288" s="70">
        <f t="shared" si="120"/>
        <v>836000000</v>
      </c>
    </row>
    <row r="289" spans="2:27" ht="16" hidden="1" x14ac:dyDescent="0.2">
      <c r="B289" s="121" t="s">
        <v>243</v>
      </c>
      <c r="C289" s="81" t="s">
        <v>291</v>
      </c>
      <c r="D289" s="81" t="s">
        <v>291</v>
      </c>
      <c r="E289" s="81" t="s">
        <v>212</v>
      </c>
      <c r="F289" s="80" t="s">
        <v>295</v>
      </c>
      <c r="G289" s="81" t="str">
        <f t="shared" si="126"/>
        <v>lending_cashloan_cashloan_VNPAY_ENR</v>
      </c>
      <c r="H289" s="125"/>
      <c r="I289" s="84" t="s">
        <v>250</v>
      </c>
      <c r="J289" s="125">
        <f>W289</f>
        <v>107157807951</v>
      </c>
      <c r="K289" s="84">
        <v>15000000</v>
      </c>
      <c r="L289" s="125">
        <v>3382579464</v>
      </c>
      <c r="M289" s="84">
        <v>13469430921</v>
      </c>
      <c r="N289" s="181">
        <v>21779092016</v>
      </c>
      <c r="O289" s="84">
        <v>31958511524</v>
      </c>
      <c r="P289" s="84">
        <v>42799955655</v>
      </c>
      <c r="Q289" s="84">
        <v>57933433924</v>
      </c>
      <c r="R289" s="84">
        <v>69056405609</v>
      </c>
      <c r="S289" s="84">
        <v>76005949782</v>
      </c>
      <c r="T289" s="154">
        <v>80667491327</v>
      </c>
      <c r="U289" s="84">
        <v>91494491443</v>
      </c>
      <c r="V289" s="84">
        <v>101068876374</v>
      </c>
      <c r="W289" s="84">
        <v>107157807951</v>
      </c>
      <c r="X289" s="125">
        <v>114324863034</v>
      </c>
      <c r="Y289" s="70">
        <f t="shared" si="120"/>
        <v>7167055083</v>
      </c>
    </row>
    <row r="290" spans="2:27" hidden="1" x14ac:dyDescent="0.2">
      <c r="B290" s="121" t="s">
        <v>243</v>
      </c>
      <c r="C290" s="81" t="s">
        <v>291</v>
      </c>
      <c r="D290" s="81" t="s">
        <v>291</v>
      </c>
      <c r="E290" s="81" t="s">
        <v>212</v>
      </c>
      <c r="F290" s="124"/>
      <c r="G290" s="81" t="str">
        <f t="shared" si="126"/>
        <v>lending_cashloan_cashloan_VNPAY_</v>
      </c>
      <c r="H290" s="125"/>
      <c r="I290" s="127" t="s">
        <v>251</v>
      </c>
      <c r="J290" s="125">
        <f>X290</f>
        <v>111072839530</v>
      </c>
      <c r="K290" s="181">
        <f t="shared" ref="K290:X290" si="128">K289-K291</f>
        <v>15000000</v>
      </c>
      <c r="L290" s="181">
        <f t="shared" si="128"/>
        <v>3382579464</v>
      </c>
      <c r="M290" s="181">
        <f t="shared" si="128"/>
        <v>13461319182</v>
      </c>
      <c r="N290" s="181">
        <f t="shared" si="128"/>
        <v>21726607801</v>
      </c>
      <c r="O290" s="181">
        <f t="shared" si="128"/>
        <v>31810464339</v>
      </c>
      <c r="P290" s="181">
        <f t="shared" si="128"/>
        <v>42489314297</v>
      </c>
      <c r="Q290" s="181">
        <f t="shared" si="128"/>
        <v>57358891388</v>
      </c>
      <c r="R290" s="181">
        <f t="shared" si="128"/>
        <v>68078951313</v>
      </c>
      <c r="S290" s="181">
        <f t="shared" si="128"/>
        <v>74526167716</v>
      </c>
      <c r="T290" s="181">
        <f t="shared" si="128"/>
        <v>78592827505</v>
      </c>
      <c r="U290" s="181">
        <f t="shared" si="128"/>
        <v>88807436898</v>
      </c>
      <c r="V290" s="181">
        <f t="shared" si="128"/>
        <v>98093386372</v>
      </c>
      <c r="W290" s="181">
        <f t="shared" si="128"/>
        <v>104007047934</v>
      </c>
      <c r="X290" s="181">
        <f t="shared" si="128"/>
        <v>111072839530</v>
      </c>
      <c r="Y290" s="70">
        <f t="shared" si="120"/>
        <v>7065791596</v>
      </c>
    </row>
    <row r="291" spans="2:27" hidden="1" x14ac:dyDescent="0.2">
      <c r="B291" s="121" t="s">
        <v>243</v>
      </c>
      <c r="C291" s="81" t="s">
        <v>291</v>
      </c>
      <c r="D291" s="81" t="s">
        <v>291</v>
      </c>
      <c r="E291" s="81" t="s">
        <v>212</v>
      </c>
      <c r="F291" s="124"/>
      <c r="G291" s="81" t="str">
        <f t="shared" si="126"/>
        <v>lending_cashloan_cashloan_VNPAY_</v>
      </c>
      <c r="H291" s="125"/>
      <c r="I291" s="127" t="s">
        <v>252</v>
      </c>
      <c r="J291" s="125">
        <f>X291</f>
        <v>3252023504</v>
      </c>
      <c r="K291" s="155">
        <v>0</v>
      </c>
      <c r="L291" s="181"/>
      <c r="M291" s="181">
        <v>8111739</v>
      </c>
      <c r="N291" s="181">
        <v>52484215</v>
      </c>
      <c r="O291" s="155">
        <v>148047185</v>
      </c>
      <c r="P291" s="155">
        <v>310641358</v>
      </c>
      <c r="Q291" s="155">
        <v>574542536</v>
      </c>
      <c r="R291" s="155">
        <v>977454296</v>
      </c>
      <c r="S291" s="155">
        <v>1479782066</v>
      </c>
      <c r="T291" s="128">
        <v>2074663822</v>
      </c>
      <c r="U291" s="155">
        <v>2687054545</v>
      </c>
      <c r="V291" s="155">
        <v>2975490002</v>
      </c>
      <c r="W291" s="155">
        <v>3150760017</v>
      </c>
      <c r="X291" s="181">
        <v>3252023504</v>
      </c>
      <c r="Y291" s="70">
        <f t="shared" si="120"/>
        <v>101263487</v>
      </c>
    </row>
    <row r="292" spans="2:27" hidden="1" x14ac:dyDescent="0.2">
      <c r="B292" s="121" t="s">
        <v>243</v>
      </c>
      <c r="C292" s="81" t="s">
        <v>291</v>
      </c>
      <c r="D292" s="81" t="s">
        <v>291</v>
      </c>
      <c r="E292" s="81" t="s">
        <v>212</v>
      </c>
      <c r="F292" s="124"/>
      <c r="G292" s="81" t="str">
        <f t="shared" si="126"/>
        <v>lending_cashloan_cashloan_VNPAY_</v>
      </c>
      <c r="H292" s="125"/>
      <c r="I292" s="126" t="s">
        <v>253</v>
      </c>
      <c r="J292" s="125"/>
      <c r="K292" s="155">
        <v>0</v>
      </c>
      <c r="L292" s="181">
        <v>0</v>
      </c>
      <c r="M292" s="181">
        <v>0</v>
      </c>
      <c r="N292" s="181">
        <v>0</v>
      </c>
      <c r="O292" s="181"/>
      <c r="P292" s="181">
        <v>84996305</v>
      </c>
      <c r="Q292" s="181">
        <v>458566684</v>
      </c>
      <c r="R292" s="181">
        <v>935261055</v>
      </c>
      <c r="S292" s="182">
        <v>1815273647</v>
      </c>
      <c r="T292" s="181">
        <v>2791834202</v>
      </c>
      <c r="U292" s="181">
        <v>3867084593</v>
      </c>
      <c r="V292" s="181">
        <v>4331128660</v>
      </c>
      <c r="W292" s="181">
        <v>4510670443</v>
      </c>
      <c r="X292" s="181">
        <v>4549534012</v>
      </c>
      <c r="Y292" s="70">
        <f t="shared" si="120"/>
        <v>38863569</v>
      </c>
    </row>
    <row r="293" spans="2:27" ht="16" hidden="1" x14ac:dyDescent="0.2">
      <c r="B293" s="121" t="s">
        <v>243</v>
      </c>
      <c r="C293" s="81" t="s">
        <v>291</v>
      </c>
      <c r="D293" s="81" t="s">
        <v>291</v>
      </c>
      <c r="E293" s="81" t="s">
        <v>212</v>
      </c>
      <c r="F293" s="80" t="s">
        <v>298</v>
      </c>
      <c r="G293" s="81" t="str">
        <f t="shared" si="126"/>
        <v>lending_cashloan_cashloan_VNPAY_overdue_balance_10d</v>
      </c>
      <c r="H293" s="125"/>
      <c r="I293" s="84" t="s">
        <v>254</v>
      </c>
      <c r="J293" s="125"/>
      <c r="K293" s="155"/>
      <c r="L293" s="181">
        <v>37450000</v>
      </c>
      <c r="M293" s="181">
        <v>144628748</v>
      </c>
      <c r="N293" s="181">
        <v>635576193</v>
      </c>
      <c r="O293" s="175">
        <v>1798378406</v>
      </c>
      <c r="P293" s="181">
        <v>2473643700</v>
      </c>
      <c r="Q293" s="143">
        <v>4035846677</v>
      </c>
      <c r="R293" s="128">
        <v>6997717919</v>
      </c>
      <c r="S293" s="128">
        <v>8825466738</v>
      </c>
      <c r="T293" s="188">
        <v>10836027547</v>
      </c>
      <c r="U293" s="155">
        <v>14156602709</v>
      </c>
      <c r="V293" s="155">
        <v>14910238328</v>
      </c>
      <c r="W293" s="155">
        <v>16390607983</v>
      </c>
      <c r="X293" s="181"/>
      <c r="Y293" s="70">
        <f t="shared" si="120"/>
        <v>-16390607983</v>
      </c>
    </row>
    <row r="294" spans="2:27" ht="16" hidden="1" x14ac:dyDescent="0.2">
      <c r="B294" s="121" t="s">
        <v>243</v>
      </c>
      <c r="C294" s="81" t="s">
        <v>291</v>
      </c>
      <c r="D294" s="81" t="s">
        <v>291</v>
      </c>
      <c r="E294" s="81" t="s">
        <v>212</v>
      </c>
      <c r="F294" s="80" t="s">
        <v>299</v>
      </c>
      <c r="G294" s="81" t="str">
        <f t="shared" si="126"/>
        <v>lending_cashloan_cashloan_VNPAY_overdue_balance_90d</v>
      </c>
      <c r="H294" s="125"/>
      <c r="I294" s="84" t="s">
        <v>255</v>
      </c>
      <c r="J294" s="125"/>
      <c r="K294" s="84">
        <v>0</v>
      </c>
      <c r="L294" s="84">
        <v>0</v>
      </c>
      <c r="M294" s="84">
        <v>0</v>
      </c>
      <c r="N294" s="84">
        <v>20943875</v>
      </c>
      <c r="O294" s="84">
        <v>42132046</v>
      </c>
      <c r="P294" s="181">
        <v>139672352</v>
      </c>
      <c r="Q294" s="125">
        <v>546025379</v>
      </c>
      <c r="R294" s="125">
        <v>1426684662</v>
      </c>
      <c r="S294" s="125">
        <v>2133360858</v>
      </c>
      <c r="T294" s="125">
        <v>3324762111</v>
      </c>
      <c r="U294" s="84">
        <v>5264007111</v>
      </c>
      <c r="V294" s="82">
        <v>5098964787</v>
      </c>
      <c r="W294" s="84">
        <v>5510960353</v>
      </c>
      <c r="X294" s="84"/>
      <c r="Y294" s="70">
        <f t="shared" si="120"/>
        <v>-5510960353</v>
      </c>
    </row>
    <row r="295" spans="2:27" ht="16" hidden="1" x14ac:dyDescent="0.2">
      <c r="B295" s="121" t="s">
        <v>243</v>
      </c>
      <c r="C295" s="81" t="s">
        <v>291</v>
      </c>
      <c r="D295" s="81" t="s">
        <v>291</v>
      </c>
      <c r="E295" s="81" t="s">
        <v>212</v>
      </c>
      <c r="F295" s="124"/>
      <c r="G295" s="81" t="str">
        <f t="shared" si="126"/>
        <v>lending_cashloan_cashloan_VNPAY_</v>
      </c>
      <c r="H295" s="125"/>
      <c r="I295" s="84" t="s">
        <v>256</v>
      </c>
      <c r="J295" s="125"/>
      <c r="K295" s="155"/>
      <c r="L295" s="181">
        <f t="shared" ref="L295:X295" si="129">L293-L294</f>
        <v>37450000</v>
      </c>
      <c r="M295" s="181">
        <f t="shared" si="129"/>
        <v>144628748</v>
      </c>
      <c r="N295" s="181">
        <f t="shared" si="129"/>
        <v>614632318</v>
      </c>
      <c r="O295" s="181">
        <f t="shared" si="129"/>
        <v>1756246360</v>
      </c>
      <c r="P295" s="181">
        <f t="shared" si="129"/>
        <v>2333971348</v>
      </c>
      <c r="Q295" s="181">
        <f t="shared" si="129"/>
        <v>3489821298</v>
      </c>
      <c r="R295" s="181">
        <f t="shared" si="129"/>
        <v>5571033257</v>
      </c>
      <c r="S295" s="181">
        <f t="shared" si="129"/>
        <v>6692105880</v>
      </c>
      <c r="T295" s="181">
        <f t="shared" si="129"/>
        <v>7511265436</v>
      </c>
      <c r="U295" s="181">
        <f t="shared" si="129"/>
        <v>8892595598</v>
      </c>
      <c r="V295" s="181">
        <f t="shared" si="129"/>
        <v>9811273541</v>
      </c>
      <c r="W295" s="181">
        <f t="shared" si="129"/>
        <v>10879647630</v>
      </c>
      <c r="X295" s="181">
        <f t="shared" si="129"/>
        <v>0</v>
      </c>
      <c r="Y295" s="70">
        <f t="shared" si="120"/>
        <v>-10879647630</v>
      </c>
    </row>
    <row r="296" spans="2:27" ht="16" hidden="1" x14ac:dyDescent="0.2">
      <c r="B296" s="121" t="s">
        <v>243</v>
      </c>
      <c r="C296" s="81" t="s">
        <v>291</v>
      </c>
      <c r="D296" s="81" t="s">
        <v>291</v>
      </c>
      <c r="E296" s="81" t="s">
        <v>212</v>
      </c>
      <c r="F296" s="124"/>
      <c r="G296" s="81" t="str">
        <f t="shared" si="126"/>
        <v>lending_cashloan_cashloan_VNPAY_</v>
      </c>
      <c r="H296" s="125"/>
      <c r="I296" s="84" t="s">
        <v>257</v>
      </c>
      <c r="J296" s="125"/>
      <c r="K296" s="177">
        <f t="shared" ref="K296:X296" si="130">K292/K289</f>
        <v>0</v>
      </c>
      <c r="L296" s="177">
        <f t="shared" si="130"/>
        <v>0</v>
      </c>
      <c r="M296" s="177">
        <f t="shared" si="130"/>
        <v>0</v>
      </c>
      <c r="N296" s="177">
        <f t="shared" si="130"/>
        <v>0</v>
      </c>
      <c r="O296" s="177">
        <f t="shared" si="130"/>
        <v>0</v>
      </c>
      <c r="P296" s="177">
        <f t="shared" si="130"/>
        <v>1.9858970342197194E-3</v>
      </c>
      <c r="Q296" s="177">
        <f t="shared" si="130"/>
        <v>7.9154065785496316E-3</v>
      </c>
      <c r="R296" s="177">
        <f t="shared" si="130"/>
        <v>1.3543436655181327E-2</v>
      </c>
      <c r="S296" s="177">
        <f t="shared" si="130"/>
        <v>2.388330982254102E-2</v>
      </c>
      <c r="T296" s="177">
        <f t="shared" si="130"/>
        <v>3.4609161089227437E-2</v>
      </c>
      <c r="U296" s="177">
        <f t="shared" si="130"/>
        <v>4.2265764113341715E-2</v>
      </c>
      <c r="V296" s="177">
        <f t="shared" si="130"/>
        <v>4.2853238458621906E-2</v>
      </c>
      <c r="W296" s="177">
        <f t="shared" si="130"/>
        <v>4.2093717007188051E-2</v>
      </c>
      <c r="X296" s="177">
        <f t="shared" si="130"/>
        <v>3.979479083781607E-2</v>
      </c>
      <c r="Y296" s="70">
        <f t="shared" si="120"/>
        <v>-2.2989261693719815E-3</v>
      </c>
    </row>
    <row r="297" spans="2:27" ht="16" hidden="1" x14ac:dyDescent="0.2">
      <c r="B297" s="121" t="s">
        <v>243</v>
      </c>
      <c r="C297" s="81" t="s">
        <v>291</v>
      </c>
      <c r="D297" s="81" t="s">
        <v>291</v>
      </c>
      <c r="E297" s="81" t="s">
        <v>212</v>
      </c>
      <c r="F297" s="80" t="s">
        <v>258</v>
      </c>
      <c r="G297" s="81" t="str">
        <f t="shared" si="126"/>
        <v>lending_cashloan_cashloan_VNPAY_npl</v>
      </c>
      <c r="H297" s="125"/>
      <c r="I297" s="84" t="s">
        <v>259</v>
      </c>
      <c r="J297" s="125"/>
      <c r="K297" s="177">
        <f t="shared" ref="K297:X297" si="131">K294/K289</f>
        <v>0</v>
      </c>
      <c r="L297" s="177">
        <f t="shared" si="131"/>
        <v>0</v>
      </c>
      <c r="M297" s="177">
        <f t="shared" si="131"/>
        <v>0</v>
      </c>
      <c r="N297" s="177">
        <f t="shared" si="131"/>
        <v>9.6165051254724443E-4</v>
      </c>
      <c r="O297" s="177">
        <f t="shared" si="131"/>
        <v>1.3183356793184796E-3</v>
      </c>
      <c r="P297" s="177">
        <f t="shared" si="131"/>
        <v>3.2633760914582426E-3</v>
      </c>
      <c r="Q297" s="177">
        <f t="shared" si="131"/>
        <v>9.4250477145253232E-3</v>
      </c>
      <c r="R297" s="177">
        <f t="shared" si="131"/>
        <v>2.0659700565331229E-2</v>
      </c>
      <c r="S297" s="177">
        <f t="shared" si="131"/>
        <v>2.8068340230191165E-2</v>
      </c>
      <c r="T297" s="177">
        <f t="shared" si="131"/>
        <v>4.121563787725202E-2</v>
      </c>
      <c r="U297" s="177">
        <f t="shared" si="131"/>
        <v>5.7533596044734722E-2</v>
      </c>
      <c r="V297" s="177">
        <f t="shared" si="131"/>
        <v>5.0450395511784971E-2</v>
      </c>
      <c r="W297" s="177">
        <f t="shared" si="131"/>
        <v>5.1428453589868077E-2</v>
      </c>
      <c r="X297" s="177">
        <f t="shared" si="131"/>
        <v>0</v>
      </c>
      <c r="Y297" s="70">
        <f t="shared" si="120"/>
        <v>-5.1428453589868077E-2</v>
      </c>
    </row>
    <row r="298" spans="2:27" hidden="1" x14ac:dyDescent="0.2">
      <c r="B298" s="121" t="s">
        <v>243</v>
      </c>
      <c r="C298" s="81" t="s">
        <v>291</v>
      </c>
      <c r="D298" s="81" t="s">
        <v>291</v>
      </c>
      <c r="E298" s="81" t="s">
        <v>212</v>
      </c>
      <c r="F298" s="80" t="s">
        <v>260</v>
      </c>
      <c r="G298" s="81" t="str">
        <f t="shared" si="126"/>
        <v>lending_cashloan_cashloan_VNPAY_TOI</v>
      </c>
      <c r="H298" s="125"/>
      <c r="I298" s="130" t="s">
        <v>260</v>
      </c>
      <c r="J298" s="131">
        <f t="shared" ref="J298:X298" si="132">J299+J304+J308</f>
        <v>31212438521.806</v>
      </c>
      <c r="K298" s="131">
        <f t="shared" si="132"/>
        <v>191781</v>
      </c>
      <c r="L298" s="131">
        <f t="shared" si="132"/>
        <v>185076800</v>
      </c>
      <c r="M298" s="131">
        <f t="shared" si="132"/>
        <v>723076575</v>
      </c>
      <c r="N298" s="131">
        <f t="shared" si="132"/>
        <v>912210074</v>
      </c>
      <c r="O298" s="131">
        <f t="shared" si="132"/>
        <v>1386694497.806</v>
      </c>
      <c r="P298" s="131">
        <f t="shared" si="132"/>
        <v>1749641681</v>
      </c>
      <c r="Q298" s="131">
        <f t="shared" si="132"/>
        <v>2390402817</v>
      </c>
      <c r="R298" s="131">
        <f t="shared" si="132"/>
        <v>2613567391</v>
      </c>
      <c r="S298" s="131">
        <f t="shared" si="132"/>
        <v>2747680984</v>
      </c>
      <c r="T298" s="131">
        <f t="shared" si="132"/>
        <v>3028669529</v>
      </c>
      <c r="U298" s="131">
        <f t="shared" si="132"/>
        <v>3481557042</v>
      </c>
      <c r="V298" s="131">
        <f t="shared" si="132"/>
        <v>3920672262</v>
      </c>
      <c r="W298" s="131">
        <f t="shared" si="132"/>
        <v>4015860298</v>
      </c>
      <c r="X298" s="131">
        <f t="shared" si="132"/>
        <v>4242405371</v>
      </c>
      <c r="Y298" s="70">
        <f t="shared" si="120"/>
        <v>226545073</v>
      </c>
    </row>
    <row r="299" spans="2:27" hidden="1" x14ac:dyDescent="0.2">
      <c r="B299" s="121" t="s">
        <v>243</v>
      </c>
      <c r="C299" s="81" t="s">
        <v>291</v>
      </c>
      <c r="D299" s="81" t="s">
        <v>291</v>
      </c>
      <c r="E299" s="81" t="s">
        <v>212</v>
      </c>
      <c r="F299" s="80" t="s">
        <v>300</v>
      </c>
      <c r="G299" s="81" t="str">
        <f t="shared" si="126"/>
        <v>lending_cashloan_cashloan_VNPAY_NII</v>
      </c>
      <c r="H299" s="125"/>
      <c r="I299" s="132" t="s">
        <v>261</v>
      </c>
      <c r="J299" s="131">
        <f>SUM(M299:X299)</f>
        <v>21581074153.806</v>
      </c>
      <c r="K299" s="131">
        <f t="shared" ref="K299:X299" si="133">K300-K303</f>
        <v>191781</v>
      </c>
      <c r="L299" s="131">
        <f t="shared" si="133"/>
        <v>40511103</v>
      </c>
      <c r="M299" s="131">
        <f t="shared" si="133"/>
        <v>277272407</v>
      </c>
      <c r="N299" s="131">
        <f t="shared" si="133"/>
        <v>492858097</v>
      </c>
      <c r="O299" s="131">
        <f t="shared" si="133"/>
        <v>859155168.80599999</v>
      </c>
      <c r="P299" s="131">
        <f t="shared" si="133"/>
        <v>1146116312</v>
      </c>
      <c r="Q299" s="131">
        <f t="shared" si="133"/>
        <v>1563124860</v>
      </c>
      <c r="R299" s="131">
        <f t="shared" si="133"/>
        <v>1881824721</v>
      </c>
      <c r="S299" s="131">
        <f t="shared" si="133"/>
        <v>2167305932</v>
      </c>
      <c r="T299" s="131">
        <f t="shared" si="133"/>
        <v>2296117490</v>
      </c>
      <c r="U299" s="131">
        <f t="shared" si="133"/>
        <v>2370246054</v>
      </c>
      <c r="V299" s="131">
        <f t="shared" si="133"/>
        <v>2680300747</v>
      </c>
      <c r="W299" s="131">
        <f t="shared" si="133"/>
        <v>2827004256</v>
      </c>
      <c r="X299" s="131">
        <f t="shared" si="133"/>
        <v>3019748109</v>
      </c>
      <c r="Y299" s="70">
        <f t="shared" si="120"/>
        <v>192743853</v>
      </c>
    </row>
    <row r="300" spans="2:27" ht="16" hidden="1" x14ac:dyDescent="0.2">
      <c r="B300" s="121" t="s">
        <v>243</v>
      </c>
      <c r="C300" s="81" t="s">
        <v>291</v>
      </c>
      <c r="D300" s="81" t="s">
        <v>291</v>
      </c>
      <c r="E300" s="81" t="s">
        <v>212</v>
      </c>
      <c r="F300" s="80" t="s">
        <v>301</v>
      </c>
      <c r="G300" s="81" t="str">
        <f t="shared" si="126"/>
        <v>lending_cashloan_cashloan_VNPAY_CII</v>
      </c>
      <c r="H300" s="125"/>
      <c r="I300" s="134" t="s">
        <v>262</v>
      </c>
      <c r="J300" s="136">
        <f>SUM(M300:X300)</f>
        <v>25763609693</v>
      </c>
      <c r="K300" s="136">
        <f>K301+0-K302</f>
        <v>191781</v>
      </c>
      <c r="L300" s="136">
        <f t="shared" ref="L300:W300" si="134">L301+K302-L302</f>
        <v>45422307</v>
      </c>
      <c r="M300" s="136">
        <f t="shared" si="134"/>
        <v>317884767</v>
      </c>
      <c r="N300" s="136">
        <f t="shared" si="134"/>
        <v>572791332</v>
      </c>
      <c r="O300" s="136">
        <f t="shared" si="134"/>
        <v>992810149</v>
      </c>
      <c r="P300" s="136">
        <f t="shared" si="134"/>
        <v>1328466250</v>
      </c>
      <c r="Q300" s="136">
        <f t="shared" si="134"/>
        <v>1824129419</v>
      </c>
      <c r="R300" s="136">
        <f t="shared" si="134"/>
        <v>2207494099</v>
      </c>
      <c r="S300" s="136">
        <f t="shared" si="134"/>
        <v>2559459022</v>
      </c>
      <c r="T300" s="136">
        <f t="shared" si="134"/>
        <v>2733885901</v>
      </c>
      <c r="U300" s="136">
        <f t="shared" si="134"/>
        <v>2839275443</v>
      </c>
      <c r="V300" s="136">
        <f t="shared" si="134"/>
        <v>3243316280</v>
      </c>
      <c r="W300" s="136">
        <f t="shared" si="134"/>
        <v>3443552486</v>
      </c>
      <c r="X300" s="136">
        <f>X301+W302-X302</f>
        <v>3700544545</v>
      </c>
      <c r="Y300" s="70">
        <f t="shared" si="120"/>
        <v>256992059</v>
      </c>
    </row>
    <row r="301" spans="2:27" ht="16" hidden="1" x14ac:dyDescent="0.2">
      <c r="B301" s="121" t="s">
        <v>243</v>
      </c>
      <c r="C301" s="81" t="s">
        <v>291</v>
      </c>
      <c r="D301" s="81" t="s">
        <v>291</v>
      </c>
      <c r="E301" s="81" t="s">
        <v>212</v>
      </c>
      <c r="F301" s="80"/>
      <c r="G301" s="81" t="str">
        <f t="shared" si="126"/>
        <v>lending_cashloan_cashloan_VNPAY_</v>
      </c>
      <c r="H301" s="125"/>
      <c r="I301" s="183" t="s">
        <v>263</v>
      </c>
      <c r="J301" s="136">
        <f>SUM(M301:X301)</f>
        <v>26195261327</v>
      </c>
      <c r="K301" s="136">
        <v>191781</v>
      </c>
      <c r="L301" s="136">
        <v>45422307</v>
      </c>
      <c r="M301" s="136">
        <v>321426308</v>
      </c>
      <c r="N301" s="136">
        <v>584444405</v>
      </c>
      <c r="O301" s="136">
        <v>1011320886</v>
      </c>
      <c r="P301" s="136">
        <v>1355813593</v>
      </c>
      <c r="Q301" s="136">
        <v>1868925893</v>
      </c>
      <c r="R301" s="136">
        <v>2260405401</v>
      </c>
      <c r="S301" s="136">
        <v>2629288891</v>
      </c>
      <c r="T301" s="136">
        <v>2780395647</v>
      </c>
      <c r="U301" s="136">
        <v>2886582366</v>
      </c>
      <c r="V301" s="136">
        <v>3293167691</v>
      </c>
      <c r="W301" s="136">
        <v>3487480127</v>
      </c>
      <c r="X301" s="136">
        <v>3716010119</v>
      </c>
      <c r="Y301" s="70">
        <f t="shared" si="120"/>
        <v>228529992</v>
      </c>
    </row>
    <row r="302" spans="2:27" ht="16" hidden="1" x14ac:dyDescent="0.2">
      <c r="B302" s="121" t="s">
        <v>243</v>
      </c>
      <c r="C302" s="81" t="s">
        <v>291</v>
      </c>
      <c r="D302" s="81" t="s">
        <v>291</v>
      </c>
      <c r="E302" s="81" t="s">
        <v>212</v>
      </c>
      <c r="F302" s="124"/>
      <c r="G302" s="81" t="str">
        <f t="shared" si="126"/>
        <v>lending_cashloan_cashloan_VNPAY_</v>
      </c>
      <c r="H302" s="125"/>
      <c r="I302" s="183" t="s">
        <v>264</v>
      </c>
      <c r="J302" s="125">
        <f>SUM(M302:X302)</f>
        <v>2424297383</v>
      </c>
      <c r="K302" s="136"/>
      <c r="L302" s="136"/>
      <c r="M302" s="136">
        <v>3541541</v>
      </c>
      <c r="N302" s="136">
        <v>15194614</v>
      </c>
      <c r="O302" s="136">
        <v>33705351</v>
      </c>
      <c r="P302" s="136">
        <v>61052694</v>
      </c>
      <c r="Q302" s="136">
        <v>105849168</v>
      </c>
      <c r="R302" s="136">
        <v>158760470</v>
      </c>
      <c r="S302" s="125">
        <v>228590339</v>
      </c>
      <c r="T302" s="125">
        <v>275100085</v>
      </c>
      <c r="U302" s="125">
        <v>322407008</v>
      </c>
      <c r="V302" s="125">
        <v>372258419</v>
      </c>
      <c r="W302" s="125">
        <v>416186060</v>
      </c>
      <c r="X302" s="125">
        <v>431651634</v>
      </c>
      <c r="Y302" s="70">
        <f t="shared" si="120"/>
        <v>15465574</v>
      </c>
      <c r="Z302" s="70"/>
      <c r="AA302" s="70"/>
    </row>
    <row r="303" spans="2:27" ht="16" hidden="1" x14ac:dyDescent="0.2">
      <c r="B303" s="121" t="s">
        <v>243</v>
      </c>
      <c r="C303" s="81" t="s">
        <v>291</v>
      </c>
      <c r="D303" s="81" t="s">
        <v>291</v>
      </c>
      <c r="E303" s="81" t="s">
        <v>212</v>
      </c>
      <c r="F303" s="80" t="s">
        <v>62</v>
      </c>
      <c r="G303" s="81" t="str">
        <f t="shared" si="126"/>
        <v>lending_cashloan_cashloan_VNPAY_COF</v>
      </c>
      <c r="H303" s="125"/>
      <c r="I303" s="134" t="s">
        <v>62</v>
      </c>
      <c r="J303" s="125">
        <f>SUM(M303:X303)</f>
        <v>4182535539.1940002</v>
      </c>
      <c r="K303" s="154"/>
      <c r="L303" s="143">
        <v>4911204</v>
      </c>
      <c r="M303" s="170">
        <v>40612360</v>
      </c>
      <c r="N303" s="170">
        <v>79933235</v>
      </c>
      <c r="O303" s="170">
        <v>133654980.19399996</v>
      </c>
      <c r="P303" s="170">
        <v>182349938</v>
      </c>
      <c r="Q303" s="170">
        <v>261004559</v>
      </c>
      <c r="R303" s="170">
        <v>325669378</v>
      </c>
      <c r="S303" s="191">
        <v>392153090</v>
      </c>
      <c r="T303" s="191">
        <v>437768411</v>
      </c>
      <c r="U303" s="82">
        <v>469029389</v>
      </c>
      <c r="V303" s="82">
        <v>563015533</v>
      </c>
      <c r="W303" s="154">
        <v>616548230</v>
      </c>
      <c r="X303" s="143">
        <v>680796436</v>
      </c>
      <c r="Y303" s="70">
        <f t="shared" si="120"/>
        <v>64248206</v>
      </c>
    </row>
    <row r="304" spans="2:27" hidden="1" x14ac:dyDescent="0.2">
      <c r="B304" s="121" t="s">
        <v>243</v>
      </c>
      <c r="C304" s="81" t="s">
        <v>291</v>
      </c>
      <c r="D304" s="81" t="s">
        <v>291</v>
      </c>
      <c r="E304" s="81" t="s">
        <v>212</v>
      </c>
      <c r="F304" s="80" t="s">
        <v>302</v>
      </c>
      <c r="G304" s="81" t="str">
        <f t="shared" si="126"/>
        <v>lending_cashloan_cashloan_VNPAY_NFI</v>
      </c>
      <c r="H304" s="125"/>
      <c r="I304" s="132" t="s">
        <v>265</v>
      </c>
      <c r="J304" s="131">
        <f t="shared" ref="J304:X304" si="135">SUM(J305:J307)</f>
        <v>9549666541</v>
      </c>
      <c r="K304" s="131">
        <f t="shared" si="135"/>
        <v>0</v>
      </c>
      <c r="L304" s="131">
        <f t="shared" si="135"/>
        <v>144565697</v>
      </c>
      <c r="M304" s="131">
        <f t="shared" si="135"/>
        <v>445804168</v>
      </c>
      <c r="N304" s="131">
        <f t="shared" si="135"/>
        <v>419351977</v>
      </c>
      <c r="O304" s="131">
        <f t="shared" si="135"/>
        <v>527539329</v>
      </c>
      <c r="P304" s="131">
        <f t="shared" si="135"/>
        <v>603525369</v>
      </c>
      <c r="Q304" s="131">
        <f t="shared" si="135"/>
        <v>827277957</v>
      </c>
      <c r="R304" s="131">
        <f t="shared" si="135"/>
        <v>731742670</v>
      </c>
      <c r="S304" s="131">
        <f t="shared" si="135"/>
        <v>580375052</v>
      </c>
      <c r="T304" s="131">
        <f t="shared" si="135"/>
        <v>732552039</v>
      </c>
      <c r="U304" s="131">
        <f t="shared" si="135"/>
        <v>1111310988</v>
      </c>
      <c r="V304" s="131">
        <f t="shared" si="135"/>
        <v>1228763173</v>
      </c>
      <c r="W304" s="131">
        <f t="shared" si="135"/>
        <v>1137604433</v>
      </c>
      <c r="X304" s="131">
        <f t="shared" si="135"/>
        <v>1203819386</v>
      </c>
      <c r="Y304" s="70">
        <f t="shared" si="120"/>
        <v>66214953</v>
      </c>
    </row>
    <row r="305" spans="2:25" ht="16" hidden="1" x14ac:dyDescent="0.2">
      <c r="B305" s="121" t="s">
        <v>243</v>
      </c>
      <c r="C305" s="81" t="s">
        <v>291</v>
      </c>
      <c r="D305" s="81" t="s">
        <v>291</v>
      </c>
      <c r="E305" s="81" t="s">
        <v>212</v>
      </c>
      <c r="F305" s="192" t="s">
        <v>303</v>
      </c>
      <c r="G305" s="81" t="str">
        <f t="shared" si="126"/>
        <v>lending_cashloan_cashloan_VNPAY_insurance_fee</v>
      </c>
      <c r="H305" s="125"/>
      <c r="I305" s="134" t="s">
        <v>266</v>
      </c>
      <c r="J305" s="136">
        <f>SUM(M305:X305)</f>
        <v>8094120753</v>
      </c>
      <c r="K305" s="136"/>
      <c r="L305" s="164">
        <v>144565697</v>
      </c>
      <c r="M305" s="164">
        <v>445804168</v>
      </c>
      <c r="N305" s="64">
        <v>419192572</v>
      </c>
      <c r="O305" s="162">
        <v>525878700</v>
      </c>
      <c r="P305" s="162">
        <v>592527562</v>
      </c>
      <c r="Q305" s="162">
        <v>808776747</v>
      </c>
      <c r="R305" s="162">
        <v>707185182</v>
      </c>
      <c r="S305" s="162">
        <v>548448618</v>
      </c>
      <c r="T305" s="136">
        <v>541792168</v>
      </c>
      <c r="U305" s="163">
        <v>866773834</v>
      </c>
      <c r="V305" s="136">
        <v>919488559</v>
      </c>
      <c r="W305" s="136">
        <v>824725682</v>
      </c>
      <c r="X305" s="164">
        <v>893526961</v>
      </c>
      <c r="Y305" s="70">
        <f t="shared" si="120"/>
        <v>68801279</v>
      </c>
    </row>
    <row r="306" spans="2:25" ht="16" hidden="1" x14ac:dyDescent="0.2">
      <c r="B306" s="121" t="s">
        <v>243</v>
      </c>
      <c r="C306" s="81" t="s">
        <v>291</v>
      </c>
      <c r="D306" s="81" t="s">
        <v>291</v>
      </c>
      <c r="E306" s="81" t="s">
        <v>212</v>
      </c>
      <c r="F306" s="192" t="s">
        <v>304</v>
      </c>
      <c r="G306" s="81" t="str">
        <f t="shared" si="126"/>
        <v>lending_cashloan_cashloan_VNPAY_early_terminate_fee</v>
      </c>
      <c r="H306" s="125"/>
      <c r="I306" s="134" t="s">
        <v>267</v>
      </c>
      <c r="J306" s="136">
        <f>SUM(M306:X306)</f>
        <v>1455545788</v>
      </c>
      <c r="K306" s="136"/>
      <c r="L306" s="136"/>
      <c r="M306" s="162">
        <v>0</v>
      </c>
      <c r="N306" s="162">
        <v>159405</v>
      </c>
      <c r="O306" s="162">
        <v>1660629</v>
      </c>
      <c r="P306" s="162">
        <v>10997807</v>
      </c>
      <c r="Q306" s="162">
        <v>18501210</v>
      </c>
      <c r="R306" s="162">
        <v>24557488</v>
      </c>
      <c r="S306" s="162">
        <v>31926434</v>
      </c>
      <c r="T306" s="162">
        <v>190759871</v>
      </c>
      <c r="U306" s="162">
        <v>244537154</v>
      </c>
      <c r="V306" s="162">
        <v>309274614</v>
      </c>
      <c r="W306" s="136">
        <v>312878751</v>
      </c>
      <c r="X306" s="136">
        <v>310292425</v>
      </c>
      <c r="Y306" s="70">
        <f t="shared" si="120"/>
        <v>-2586326</v>
      </c>
    </row>
    <row r="307" spans="2:25" ht="16" hidden="1" x14ac:dyDescent="0.2">
      <c r="B307" s="121" t="s">
        <v>243</v>
      </c>
      <c r="C307" s="81" t="s">
        <v>291</v>
      </c>
      <c r="D307" s="81" t="s">
        <v>291</v>
      </c>
      <c r="E307" s="81" t="s">
        <v>212</v>
      </c>
      <c r="F307" s="192" t="s">
        <v>305</v>
      </c>
      <c r="G307" s="81" t="str">
        <f t="shared" si="126"/>
        <v>lending_cashloan_cashloan_VNPAY_loan_grant_fee</v>
      </c>
      <c r="H307" s="125"/>
      <c r="I307" s="134" t="s">
        <v>187</v>
      </c>
      <c r="J307" s="136">
        <f>SUM(M307:X307)</f>
        <v>0</v>
      </c>
      <c r="K307" s="136"/>
      <c r="L307" s="136"/>
      <c r="M307" s="162"/>
      <c r="N307" s="162"/>
      <c r="O307" s="162"/>
      <c r="P307" s="162"/>
      <c r="Q307" s="162"/>
      <c r="R307" s="136"/>
      <c r="S307" s="164"/>
      <c r="T307" s="136"/>
      <c r="U307" s="136"/>
      <c r="V307" s="136"/>
      <c r="W307" s="136"/>
      <c r="X307" s="136"/>
      <c r="Y307" s="70">
        <f t="shared" si="120"/>
        <v>0</v>
      </c>
    </row>
    <row r="308" spans="2:25" hidden="1" x14ac:dyDescent="0.2">
      <c r="B308" s="121" t="s">
        <v>243</v>
      </c>
      <c r="C308" s="81" t="s">
        <v>291</v>
      </c>
      <c r="D308" s="81" t="s">
        <v>291</v>
      </c>
      <c r="E308" s="81" t="s">
        <v>212</v>
      </c>
      <c r="F308" s="193" t="s">
        <v>306</v>
      </c>
      <c r="G308" s="81" t="str">
        <f t="shared" si="126"/>
        <v>lending_cashloan_cashloan_VNPAY_other_TOI</v>
      </c>
      <c r="H308" s="125"/>
      <c r="I308" s="132" t="s">
        <v>269</v>
      </c>
      <c r="J308" s="178">
        <f>SUM(M308:X308)</f>
        <v>81697827</v>
      </c>
      <c r="K308" s="136"/>
      <c r="L308" s="136"/>
      <c r="M308" s="162"/>
      <c r="N308" s="162"/>
      <c r="O308" s="162"/>
      <c r="P308" s="162"/>
      <c r="Q308" s="162"/>
      <c r="R308" s="136"/>
      <c r="S308" s="164"/>
      <c r="T308" s="136"/>
      <c r="U308" s="136"/>
      <c r="V308" s="139">
        <v>11608342</v>
      </c>
      <c r="W308" s="139">
        <v>51251609</v>
      </c>
      <c r="X308" s="139">
        <v>18837876</v>
      </c>
      <c r="Y308" s="70">
        <f t="shared" si="120"/>
        <v>-32413733</v>
      </c>
    </row>
    <row r="309" spans="2:25" s="54" customFormat="1" hidden="1" x14ac:dyDescent="0.2">
      <c r="B309" s="121" t="s">
        <v>243</v>
      </c>
      <c r="C309" s="81" t="s">
        <v>291</v>
      </c>
      <c r="D309" s="81" t="s">
        <v>291</v>
      </c>
      <c r="E309" s="138" t="s">
        <v>212</v>
      </c>
      <c r="F309" s="80" t="s">
        <v>307</v>
      </c>
      <c r="G309" s="138" t="str">
        <f t="shared" si="126"/>
        <v>lending_cashloan_cashloan_VNPAY_provision</v>
      </c>
      <c r="H309" s="125"/>
      <c r="I309" s="140" t="s">
        <v>270</v>
      </c>
      <c r="J309" s="131">
        <f>SUM(M309:X309)</f>
        <v>9865543062</v>
      </c>
      <c r="K309" s="131">
        <v>112500</v>
      </c>
      <c r="L309" s="168">
        <f>25256847+1872500</f>
        <v>27129347</v>
      </c>
      <c r="M309" s="168">
        <v>81010333</v>
      </c>
      <c r="N309" s="184">
        <v>106609451</v>
      </c>
      <c r="O309" s="184">
        <f>113491574+23735735</f>
        <v>137227309</v>
      </c>
      <c r="P309" s="140">
        <v>129313192</v>
      </c>
      <c r="Q309" s="140">
        <v>252157235</v>
      </c>
      <c r="R309" s="140">
        <f>274265494+113753464</f>
        <v>388018958</v>
      </c>
      <c r="S309" s="167">
        <v>320756722</v>
      </c>
      <c r="T309" s="168">
        <v>649431487</v>
      </c>
      <c r="U309" s="168">
        <f>1321613377+201668210</f>
        <v>1523281587</v>
      </c>
      <c r="V309" s="168">
        <v>1752703278</v>
      </c>
      <c r="W309" s="131">
        <v>2071477077</v>
      </c>
      <c r="X309" s="168">
        <v>2453556433</v>
      </c>
      <c r="Y309" s="70">
        <f t="shared" si="120"/>
        <v>382079356</v>
      </c>
    </row>
    <row r="310" spans="2:25" hidden="1" x14ac:dyDescent="0.2">
      <c r="B310" s="121" t="s">
        <v>243</v>
      </c>
      <c r="C310" s="81" t="s">
        <v>291</v>
      </c>
      <c r="D310" s="81" t="s">
        <v>291</v>
      </c>
      <c r="E310" s="81" t="s">
        <v>212</v>
      </c>
      <c r="F310" s="80" t="s">
        <v>308</v>
      </c>
      <c r="G310" s="81" t="str">
        <f t="shared" si="126"/>
        <v>lending_cashloan_cashloan_VNPAY_variable_cost</v>
      </c>
      <c r="H310" s="125"/>
      <c r="I310" s="140" t="s">
        <v>271</v>
      </c>
      <c r="J310" s="131">
        <f t="shared" ref="J310:X310" si="136">SUM(J311:J318)</f>
        <v>5185532971.9306164</v>
      </c>
      <c r="K310" s="131">
        <f t="shared" si="136"/>
        <v>600972.02164595504</v>
      </c>
      <c r="L310" s="131">
        <f t="shared" si="136"/>
        <v>120199262.8713603</v>
      </c>
      <c r="M310" s="131">
        <f t="shared" si="136"/>
        <v>323548146.2732904</v>
      </c>
      <c r="N310" s="131">
        <f t="shared" si="136"/>
        <v>285224105.24250007</v>
      </c>
      <c r="O310" s="131">
        <f t="shared" si="136"/>
        <v>356351781.17032915</v>
      </c>
      <c r="P310" s="131">
        <f t="shared" si="136"/>
        <v>373353232.10828584</v>
      </c>
      <c r="Q310" s="131">
        <f t="shared" si="136"/>
        <v>488063072.71869594</v>
      </c>
      <c r="R310" s="131">
        <f t="shared" si="136"/>
        <v>415868223.84310687</v>
      </c>
      <c r="S310" s="131">
        <f t="shared" si="136"/>
        <v>366815189.57038003</v>
      </c>
      <c r="T310" s="131">
        <f t="shared" si="136"/>
        <v>385554782.59480095</v>
      </c>
      <c r="U310" s="131">
        <f t="shared" si="136"/>
        <v>561943860.93779504</v>
      </c>
      <c r="V310" s="131">
        <f t="shared" si="136"/>
        <v>559562128.80445743</v>
      </c>
      <c r="W310" s="131">
        <f t="shared" si="136"/>
        <v>521570858.54428238</v>
      </c>
      <c r="X310" s="131">
        <f t="shared" si="136"/>
        <v>547677590.12269306</v>
      </c>
      <c r="Y310" s="70">
        <f t="shared" si="120"/>
        <v>26106731.578410685</v>
      </c>
    </row>
    <row r="311" spans="2:25" ht="16" hidden="1" x14ac:dyDescent="0.2">
      <c r="B311" s="121" t="s">
        <v>243</v>
      </c>
      <c r="C311" s="81" t="s">
        <v>291</v>
      </c>
      <c r="D311" s="81" t="s">
        <v>291</v>
      </c>
      <c r="E311" s="81" t="s">
        <v>212</v>
      </c>
      <c r="F311" s="80" t="s">
        <v>198</v>
      </c>
      <c r="G311" s="81" t="str">
        <f t="shared" si="126"/>
        <v>lending_cashloan_cashloan_VNPAY_marketing_acquisition_cost</v>
      </c>
      <c r="H311" s="125"/>
      <c r="I311" s="142" t="s">
        <v>272</v>
      </c>
      <c r="J311" s="125">
        <f t="shared" ref="J311:J316" si="137">SUM(M311:X311)</f>
        <v>0</v>
      </c>
      <c r="K311" s="122"/>
      <c r="L311" s="122"/>
      <c r="M311" s="84"/>
      <c r="N311" s="84"/>
      <c r="O311" s="84"/>
      <c r="P311" s="122"/>
      <c r="Q311" s="84"/>
      <c r="R311" s="143"/>
      <c r="S311" s="125"/>
      <c r="T311" s="125"/>
      <c r="U311" s="190"/>
      <c r="V311" s="122"/>
      <c r="W311" s="122"/>
      <c r="X311" s="122"/>
      <c r="Y311" s="70">
        <f t="shared" si="120"/>
        <v>0</v>
      </c>
    </row>
    <row r="312" spans="2:25" ht="16" hidden="1" x14ac:dyDescent="0.2">
      <c r="B312" s="121" t="s">
        <v>243</v>
      </c>
      <c r="C312" s="81" t="s">
        <v>291</v>
      </c>
      <c r="D312" s="81" t="s">
        <v>291</v>
      </c>
      <c r="E312" s="81" t="s">
        <v>212</v>
      </c>
      <c r="F312" s="80" t="s">
        <v>309</v>
      </c>
      <c r="G312" s="81" t="str">
        <f t="shared" si="126"/>
        <v>lending_cashloan_cashloan_VNPAY_partner_acquisition_cost</v>
      </c>
      <c r="H312" s="125"/>
      <c r="I312" s="142" t="s">
        <v>202</v>
      </c>
      <c r="J312" s="125">
        <f t="shared" si="137"/>
        <v>3639680000</v>
      </c>
      <c r="K312" s="153"/>
      <c r="L312" s="84">
        <v>64020000</v>
      </c>
      <c r="M312" s="64">
        <v>194240000</v>
      </c>
      <c r="N312" s="143">
        <v>175860000</v>
      </c>
      <c r="O312" s="84">
        <v>225240000</v>
      </c>
      <c r="P312" s="84">
        <v>256840000</v>
      </c>
      <c r="Q312" s="84">
        <v>360460000</v>
      </c>
      <c r="R312" s="84">
        <v>308640000</v>
      </c>
      <c r="S312" s="82">
        <v>252640000</v>
      </c>
      <c r="T312" s="82">
        <f>256720000</f>
        <v>256720000</v>
      </c>
      <c r="U312" s="82">
        <v>400260000</v>
      </c>
      <c r="V312" s="82">
        <v>422980000</v>
      </c>
      <c r="W312" s="82">
        <v>372940000</v>
      </c>
      <c r="X312" s="82">
        <v>412860000</v>
      </c>
      <c r="Y312" s="70">
        <f t="shared" si="120"/>
        <v>39920000</v>
      </c>
    </row>
    <row r="313" spans="2:25" ht="16" hidden="1" x14ac:dyDescent="0.2">
      <c r="B313" s="121" t="s">
        <v>243</v>
      </c>
      <c r="C313" s="81" t="s">
        <v>291</v>
      </c>
      <c r="D313" s="81" t="s">
        <v>291</v>
      </c>
      <c r="E313" s="81" t="s">
        <v>212</v>
      </c>
      <c r="F313" s="80" t="s">
        <v>310</v>
      </c>
      <c r="G313" s="81" t="str">
        <f t="shared" si="126"/>
        <v>lending_cashloan_cashloan_VNPAY_underwritting</v>
      </c>
      <c r="H313" s="125"/>
      <c r="I313" s="142" t="s">
        <v>273</v>
      </c>
      <c r="J313" s="125">
        <f t="shared" si="137"/>
        <v>1131401207.0598309</v>
      </c>
      <c r="K313" s="125">
        <v>521153.49940516561</v>
      </c>
      <c r="L313" s="125">
        <v>55669332.661404923</v>
      </c>
      <c r="M313" s="170">
        <v>120577141.97214486</v>
      </c>
      <c r="N313" s="170">
        <v>96229759.626769289</v>
      </c>
      <c r="O313" s="170">
        <v>108857807.61882974</v>
      </c>
      <c r="P313" s="170">
        <v>83812097.947375119</v>
      </c>
      <c r="Q313" s="170">
        <v>83933042.729405954</v>
      </c>
      <c r="R313" s="170">
        <v>82349894.702671915</v>
      </c>
      <c r="S313" s="125">
        <v>77686164.573145345</v>
      </c>
      <c r="T313" s="125">
        <v>90450014.602111533</v>
      </c>
      <c r="U313" s="125">
        <v>114524388.14063516</v>
      </c>
      <c r="V313" s="125">
        <v>95580911.614676833</v>
      </c>
      <c r="W313" s="125">
        <v>93154244.487965226</v>
      </c>
      <c r="X313" s="125">
        <v>84245739.044099838</v>
      </c>
      <c r="Y313" s="70">
        <f t="shared" si="120"/>
        <v>-8908505.4438653886</v>
      </c>
    </row>
    <row r="314" spans="2:25" ht="16" hidden="1" x14ac:dyDescent="0.2">
      <c r="B314" s="121" t="s">
        <v>243</v>
      </c>
      <c r="C314" s="81" t="s">
        <v>291</v>
      </c>
      <c r="D314" s="81" t="s">
        <v>291</v>
      </c>
      <c r="E314" s="81" t="s">
        <v>212</v>
      </c>
      <c r="F314" s="80" t="s">
        <v>311</v>
      </c>
      <c r="G314" s="81" t="str">
        <f t="shared" si="126"/>
        <v>lending_cashloan_cashloan_VNPAY_e_contract</v>
      </c>
      <c r="H314" s="125"/>
      <c r="I314" s="142" t="s">
        <v>274</v>
      </c>
      <c r="J314" s="125">
        <f t="shared" si="137"/>
        <v>14666540</v>
      </c>
      <c r="K314" s="125">
        <v>2891</v>
      </c>
      <c r="L314" s="125">
        <v>247844</v>
      </c>
      <c r="M314" s="84">
        <v>688605</v>
      </c>
      <c r="N314" s="153">
        <v>678288</v>
      </c>
      <c r="O314" s="153">
        <v>868805</v>
      </c>
      <c r="P314" s="153">
        <v>2475152</v>
      </c>
      <c r="Q314" s="153">
        <v>1142515</v>
      </c>
      <c r="R314" s="143">
        <v>1102528</v>
      </c>
      <c r="S314" s="125">
        <v>1136859</v>
      </c>
      <c r="T314" s="125">
        <v>2046600</v>
      </c>
      <c r="U314" s="125">
        <v>1387867</v>
      </c>
      <c r="V314" s="125">
        <v>1086785</v>
      </c>
      <c r="W314" s="125">
        <v>1024658</v>
      </c>
      <c r="X314" s="125">
        <v>1027878</v>
      </c>
      <c r="Y314" s="70">
        <f t="shared" si="120"/>
        <v>3220</v>
      </c>
    </row>
    <row r="315" spans="2:25" ht="16" hidden="1" x14ac:dyDescent="0.2">
      <c r="B315" s="121" t="s">
        <v>243</v>
      </c>
      <c r="C315" s="81" t="s">
        <v>291</v>
      </c>
      <c r="D315" s="81" t="s">
        <v>291</v>
      </c>
      <c r="E315" s="81" t="s">
        <v>212</v>
      </c>
      <c r="F315" s="80" t="s">
        <v>312</v>
      </c>
      <c r="G315" s="81" t="str">
        <f t="shared" si="126"/>
        <v>lending_cashloan_cashloan_VNPAY_nfc</v>
      </c>
      <c r="H315" s="125"/>
      <c r="I315" s="142" t="s">
        <v>275</v>
      </c>
      <c r="J315" s="125">
        <f t="shared" si="137"/>
        <v>29902081.078601219</v>
      </c>
      <c r="K315" s="125"/>
      <c r="L315" s="125"/>
      <c r="M315" s="84">
        <v>3226617.2633738262</v>
      </c>
      <c r="N315" s="84">
        <v>2228510.5817452357</v>
      </c>
      <c r="O315" s="84">
        <v>2973087.1336669051</v>
      </c>
      <c r="P315" s="84">
        <v>2593568.7837629262</v>
      </c>
      <c r="Q315" s="84">
        <v>3359226.861089793</v>
      </c>
      <c r="R315" s="84">
        <v>2681118.8103531902</v>
      </c>
      <c r="S315" s="125">
        <v>1994569.5302344717</v>
      </c>
      <c r="T315" s="125">
        <v>2001166.1941053239</v>
      </c>
      <c r="U315" s="125">
        <v>2212450.7042034813</v>
      </c>
      <c r="V315" s="125">
        <v>2277937.9538506637</v>
      </c>
      <c r="W315" s="125">
        <v>1971115.7230559343</v>
      </c>
      <c r="X315" s="125">
        <v>2382711.5391594688</v>
      </c>
      <c r="Y315" s="70">
        <f t="shared" si="120"/>
        <v>411595.81610353454</v>
      </c>
    </row>
    <row r="316" spans="2:25" ht="16" hidden="1" x14ac:dyDescent="0.2">
      <c r="B316" s="121" t="s">
        <v>243</v>
      </c>
      <c r="C316" s="81" t="s">
        <v>291</v>
      </c>
      <c r="D316" s="81" t="s">
        <v>291</v>
      </c>
      <c r="E316" s="81" t="s">
        <v>212</v>
      </c>
      <c r="F316" s="80" t="s">
        <v>313</v>
      </c>
      <c r="G316" s="81" t="str">
        <f t="shared" si="126"/>
        <v>lending_cashloan_cashloan_VNPAY_collection</v>
      </c>
      <c r="H316" s="125"/>
      <c r="I316" s="142" t="s">
        <v>196</v>
      </c>
      <c r="J316" s="125">
        <f t="shared" si="137"/>
        <v>296671903.83394915</v>
      </c>
      <c r="K316" s="125"/>
      <c r="L316" s="125">
        <v>26497.961394791539</v>
      </c>
      <c r="M316" s="84">
        <v>2610537.9327554372</v>
      </c>
      <c r="N316" s="84">
        <v>7838821.8612268837</v>
      </c>
      <c r="O316" s="84">
        <v>14712763.023084991</v>
      </c>
      <c r="P316" s="84">
        <v>22607421.427433442</v>
      </c>
      <c r="Q316" s="84">
        <v>33222017.57826655</v>
      </c>
      <c r="R316" s="84">
        <v>15254067.499040067</v>
      </c>
      <c r="S316" s="84">
        <v>26384270</v>
      </c>
      <c r="T316" s="125">
        <v>28243358.099496733</v>
      </c>
      <c r="U316" s="125">
        <v>35215308.202021591</v>
      </c>
      <c r="V316" s="125">
        <v>28426097.342375379</v>
      </c>
      <c r="W316" s="125">
        <v>43427798.622516707</v>
      </c>
      <c r="X316" s="125">
        <v>38729442.245731339</v>
      </c>
      <c r="Y316" s="70">
        <f t="shared" si="120"/>
        <v>-4698356.3767853677</v>
      </c>
    </row>
    <row r="317" spans="2:25" ht="16" hidden="1" x14ac:dyDescent="0.2">
      <c r="B317" s="121" t="s">
        <v>243</v>
      </c>
      <c r="C317" s="81" t="s">
        <v>291</v>
      </c>
      <c r="D317" s="81" t="s">
        <v>291</v>
      </c>
      <c r="E317" s="81" t="s">
        <v>212</v>
      </c>
      <c r="F317" s="80" t="s">
        <v>314</v>
      </c>
      <c r="G317" s="81" t="str">
        <f t="shared" si="126"/>
        <v>lending_cashloan_cashloan_VNPAY_promotion</v>
      </c>
      <c r="H317" s="125"/>
      <c r="I317" s="142" t="s">
        <v>276</v>
      </c>
      <c r="J317" s="125"/>
      <c r="K317" s="125"/>
      <c r="L317" s="125"/>
      <c r="M317" s="84"/>
      <c r="N317" s="153"/>
      <c r="O317" s="153"/>
      <c r="P317" s="153"/>
      <c r="Q317" s="153"/>
      <c r="R317" s="143"/>
      <c r="S317" s="125"/>
      <c r="T317" s="125"/>
      <c r="U317" s="125"/>
      <c r="V317" s="125"/>
      <c r="W317" s="125"/>
      <c r="X317" s="125"/>
      <c r="Y317" s="70">
        <f t="shared" si="120"/>
        <v>0</v>
      </c>
    </row>
    <row r="318" spans="2:25" ht="16" hidden="1" x14ac:dyDescent="0.2">
      <c r="B318" s="121" t="s">
        <v>243</v>
      </c>
      <c r="C318" s="81" t="s">
        <v>291</v>
      </c>
      <c r="D318" s="81" t="s">
        <v>291</v>
      </c>
      <c r="E318" s="81" t="s">
        <v>212</v>
      </c>
      <c r="F318" s="80" t="s">
        <v>315</v>
      </c>
      <c r="G318" s="81" t="str">
        <f t="shared" si="126"/>
        <v>lending_cashloan_cashloan_VNPAY_sms</v>
      </c>
      <c r="H318" s="125"/>
      <c r="I318" s="144" t="s">
        <v>197</v>
      </c>
      <c r="J318" s="125">
        <f>SUM(M318:X318)</f>
        <v>73211239.958236203</v>
      </c>
      <c r="K318" s="143">
        <v>76927.522240789374</v>
      </c>
      <c r="L318" s="143">
        <v>235588.24856059981</v>
      </c>
      <c r="M318" s="143">
        <v>2205244.1050162702</v>
      </c>
      <c r="N318" s="143">
        <v>2388725.1727587255</v>
      </c>
      <c r="O318" s="143">
        <v>3699318.3947474966</v>
      </c>
      <c r="P318" s="143">
        <v>5024991.9497143906</v>
      </c>
      <c r="Q318" s="143">
        <v>5946270.5499336626</v>
      </c>
      <c r="R318" s="170">
        <v>5840614.8310417021</v>
      </c>
      <c r="S318" s="125">
        <v>6973326.4670002284</v>
      </c>
      <c r="T318" s="125">
        <v>6093643.6990873571</v>
      </c>
      <c r="U318" s="125">
        <v>8343846.8909348538</v>
      </c>
      <c r="V318" s="125">
        <v>9210396.8935545366</v>
      </c>
      <c r="W318" s="125">
        <v>9053041.7107444834</v>
      </c>
      <c r="X318" s="125">
        <v>8431819.2937025018</v>
      </c>
      <c r="Y318" s="70">
        <f t="shared" si="120"/>
        <v>-621222.41704198159</v>
      </c>
    </row>
    <row r="319" spans="2:25" ht="16" hidden="1" thickTop="1" x14ac:dyDescent="0.2">
      <c r="B319" s="121" t="s">
        <v>243</v>
      </c>
      <c r="C319" s="81" t="s">
        <v>291</v>
      </c>
      <c r="D319" s="81" t="s">
        <v>291</v>
      </c>
      <c r="E319" s="81" t="s">
        <v>212</v>
      </c>
      <c r="F319" s="80" t="s">
        <v>316</v>
      </c>
      <c r="G319" s="81" t="str">
        <f t="shared" si="126"/>
        <v>lending_cashloan_cashloan_VNPAY_profit_before_overhead</v>
      </c>
      <c r="H319" s="125"/>
      <c r="I319" s="145" t="s">
        <v>289</v>
      </c>
      <c r="J319" s="145">
        <f t="shared" ref="J319:X319" si="138">J298-J309-J310</f>
        <v>16161362487.875383</v>
      </c>
      <c r="K319" s="145">
        <f t="shared" si="138"/>
        <v>-521691.02164595504</v>
      </c>
      <c r="L319" s="145">
        <f t="shared" si="138"/>
        <v>37748190.128639698</v>
      </c>
      <c r="M319" s="145">
        <f t="shared" si="138"/>
        <v>318518095.7267096</v>
      </c>
      <c r="N319" s="145">
        <f t="shared" si="138"/>
        <v>520376517.75749993</v>
      </c>
      <c r="O319" s="145">
        <f t="shared" si="138"/>
        <v>893115407.6356709</v>
      </c>
      <c r="P319" s="145">
        <f t="shared" si="138"/>
        <v>1246975256.8917141</v>
      </c>
      <c r="Q319" s="145">
        <f t="shared" si="138"/>
        <v>1650182509.2813041</v>
      </c>
      <c r="R319" s="145">
        <f t="shared" si="138"/>
        <v>1809680209.1568933</v>
      </c>
      <c r="S319" s="145">
        <f t="shared" si="138"/>
        <v>2060109072.42962</v>
      </c>
      <c r="T319" s="145">
        <f t="shared" si="138"/>
        <v>1993683259.4051991</v>
      </c>
      <c r="U319" s="145">
        <f t="shared" si="138"/>
        <v>1396331594.0622048</v>
      </c>
      <c r="V319" s="145">
        <f t="shared" si="138"/>
        <v>1608406855.1955426</v>
      </c>
      <c r="W319" s="145">
        <f t="shared" si="138"/>
        <v>1422812362.4557176</v>
      </c>
      <c r="X319" s="145">
        <f t="shared" si="138"/>
        <v>1241171347.8773069</v>
      </c>
      <c r="Y319" s="70">
        <f t="shared" si="120"/>
        <v>-181641014.57841063</v>
      </c>
    </row>
    <row r="320" spans="2:25" hidden="1" x14ac:dyDescent="0.2">
      <c r="B320" s="121"/>
      <c r="C320" s="81"/>
      <c r="D320" s="81"/>
      <c r="E320" s="81"/>
      <c r="F320" s="124"/>
      <c r="G320" s="81"/>
      <c r="H320" s="125"/>
      <c r="I320" s="148"/>
      <c r="J320" s="131"/>
      <c r="K320" s="131"/>
      <c r="L320" s="131"/>
      <c r="M320" s="131"/>
      <c r="N320" s="131"/>
      <c r="O320" s="131"/>
      <c r="P320" s="131"/>
      <c r="Q320" s="131"/>
      <c r="R320" s="131"/>
      <c r="S320" s="131"/>
      <c r="T320" s="131"/>
      <c r="U320" s="131"/>
      <c r="V320" s="131"/>
      <c r="W320" s="131"/>
      <c r="X320" s="131"/>
      <c r="Y320" s="70">
        <f t="shared" si="120"/>
        <v>0</v>
      </c>
    </row>
    <row r="321" spans="2:25" hidden="1" x14ac:dyDescent="0.2">
      <c r="B321" s="121" t="s">
        <v>243</v>
      </c>
      <c r="C321" s="81"/>
      <c r="D321" s="81"/>
      <c r="E321" s="81"/>
      <c r="F321" s="81"/>
      <c r="G321" s="81" t="str">
        <f t="shared" ref="G321:G358" si="139">B321&amp;"_"&amp;C321&amp;"_"&amp;D321&amp;"_"&amp;E321&amp;"_"&amp;F321</f>
        <v>lending____</v>
      </c>
      <c r="H321" s="125"/>
      <c r="I321" s="123" t="s">
        <v>325</v>
      </c>
      <c r="J321" s="123"/>
      <c r="K321" s="123"/>
      <c r="L321" s="123"/>
      <c r="M321" s="123"/>
      <c r="N321" s="123"/>
      <c r="O321" s="123"/>
      <c r="P321" s="123"/>
      <c r="Q321" s="123"/>
      <c r="R321" s="123"/>
      <c r="S321" s="123"/>
      <c r="T321" s="123"/>
      <c r="U321" s="123"/>
      <c r="V321" s="123"/>
      <c r="W321" s="123"/>
      <c r="X321" s="123"/>
      <c r="Y321" s="70">
        <f t="shared" si="120"/>
        <v>0</v>
      </c>
    </row>
    <row r="322" spans="2:25" ht="16" hidden="1" x14ac:dyDescent="0.2">
      <c r="B322" s="121" t="s">
        <v>243</v>
      </c>
      <c r="C322" s="81" t="s">
        <v>291</v>
      </c>
      <c r="D322" s="81" t="s">
        <v>291</v>
      </c>
      <c r="E322" s="81" t="s">
        <v>213</v>
      </c>
      <c r="F322" s="80" t="s">
        <v>292</v>
      </c>
      <c r="G322" s="81" t="str">
        <f t="shared" si="139"/>
        <v>lending_cashloan_cashloan_ZALOPAY_new_account</v>
      </c>
      <c r="H322" s="125"/>
      <c r="I322" s="126" t="s">
        <v>245</v>
      </c>
      <c r="J322" s="125">
        <f>SUM(M322:X322)</f>
        <v>51601</v>
      </c>
      <c r="K322" s="84"/>
      <c r="L322" s="84"/>
      <c r="M322" s="84"/>
      <c r="N322" s="175"/>
      <c r="O322" s="84">
        <v>3</v>
      </c>
      <c r="P322" s="84"/>
      <c r="Q322" s="84">
        <v>2949</v>
      </c>
      <c r="R322" s="84">
        <v>4759</v>
      </c>
      <c r="S322" s="84">
        <v>6515</v>
      </c>
      <c r="T322" s="84">
        <v>5840</v>
      </c>
      <c r="U322" s="84">
        <v>5356</v>
      </c>
      <c r="V322" s="84">
        <v>9572</v>
      </c>
      <c r="W322" s="84">
        <v>7904</v>
      </c>
      <c r="X322" s="84">
        <v>8703</v>
      </c>
      <c r="Y322" s="70">
        <f t="shared" si="120"/>
        <v>799</v>
      </c>
    </row>
    <row r="323" spans="2:25" ht="16" hidden="1" x14ac:dyDescent="0.2">
      <c r="B323" s="121" t="s">
        <v>243</v>
      </c>
      <c r="C323" s="81" t="s">
        <v>291</v>
      </c>
      <c r="D323" s="81" t="s">
        <v>291</v>
      </c>
      <c r="E323" s="81" t="s">
        <v>213</v>
      </c>
      <c r="F323" s="126" t="s">
        <v>246</v>
      </c>
      <c r="G323" s="81" t="str">
        <f t="shared" si="139"/>
        <v>lending_cashloan_cashloan_ZALOPAY_Repeat account</v>
      </c>
      <c r="H323" s="125"/>
      <c r="I323" s="126" t="s">
        <v>246</v>
      </c>
      <c r="J323" s="125"/>
      <c r="K323" s="84"/>
      <c r="L323" s="84"/>
      <c r="M323" s="84"/>
      <c r="N323" s="175"/>
      <c r="O323" s="84"/>
      <c r="P323" s="84"/>
      <c r="Q323" s="84">
        <v>38</v>
      </c>
      <c r="R323" s="84">
        <v>91</v>
      </c>
      <c r="S323" s="84">
        <v>213</v>
      </c>
      <c r="T323" s="84">
        <v>434</v>
      </c>
      <c r="U323" s="84">
        <v>1044</v>
      </c>
      <c r="V323" s="82">
        <v>1106</v>
      </c>
      <c r="W323" s="84">
        <v>935</v>
      </c>
      <c r="X323" s="84">
        <v>882</v>
      </c>
      <c r="Y323" s="70">
        <f t="shared" si="120"/>
        <v>-53</v>
      </c>
    </row>
    <row r="324" spans="2:25" ht="16" hidden="1" x14ac:dyDescent="0.2">
      <c r="B324" s="121" t="s">
        <v>243</v>
      </c>
      <c r="C324" s="81" t="s">
        <v>291</v>
      </c>
      <c r="D324" s="81" t="s">
        <v>291</v>
      </c>
      <c r="E324" s="81" t="s">
        <v>213</v>
      </c>
      <c r="F324" s="80" t="s">
        <v>293</v>
      </c>
      <c r="G324" s="81" t="str">
        <f t="shared" si="139"/>
        <v>lending_cashloan_cashloan_ZALOPAY_active_account</v>
      </c>
      <c r="H324" s="125"/>
      <c r="I324" s="126" t="s">
        <v>247</v>
      </c>
      <c r="J324" s="125">
        <f>SUM(M324:X324)</f>
        <v>163693</v>
      </c>
      <c r="K324" s="84"/>
      <c r="L324" s="84"/>
      <c r="M324" s="84"/>
      <c r="N324" s="175"/>
      <c r="O324" s="175">
        <v>2</v>
      </c>
      <c r="P324" s="84"/>
      <c r="Q324" s="84">
        <v>2862</v>
      </c>
      <c r="R324" s="84">
        <v>7243</v>
      </c>
      <c r="S324" s="84">
        <v>13144</v>
      </c>
      <c r="T324" s="84">
        <v>17888</v>
      </c>
      <c r="U324" s="84">
        <v>21762</v>
      </c>
      <c r="V324" s="84">
        <v>29191</v>
      </c>
      <c r="W324" s="84">
        <v>33995</v>
      </c>
      <c r="X324" s="84">
        <v>37606</v>
      </c>
      <c r="Y324" s="70">
        <f t="shared" ref="Y324:Y387" si="140">X324-W324</f>
        <v>3611</v>
      </c>
    </row>
    <row r="325" spans="2:25" ht="16" hidden="1" x14ac:dyDescent="0.2">
      <c r="B325" s="121" t="s">
        <v>243</v>
      </c>
      <c r="C325" s="81" t="s">
        <v>291</v>
      </c>
      <c r="D325" s="81" t="s">
        <v>291</v>
      </c>
      <c r="E325" s="81" t="s">
        <v>213</v>
      </c>
      <c r="F325" s="80" t="s">
        <v>294</v>
      </c>
      <c r="G325" s="81" t="str">
        <f t="shared" si="139"/>
        <v>lending_cashloan_cashloan_ZALOPAY_disburse/spend</v>
      </c>
      <c r="H325" s="125"/>
      <c r="I325" s="84" t="s">
        <v>191</v>
      </c>
      <c r="J325" s="125">
        <f>SUM(M325:X325)</f>
        <v>674238630000</v>
      </c>
      <c r="K325" s="125"/>
      <c r="L325" s="125"/>
      <c r="M325" s="125"/>
      <c r="N325" s="84"/>
      <c r="O325" s="84">
        <v>20330000</v>
      </c>
      <c r="P325" s="84"/>
      <c r="Q325" s="84">
        <v>29177000000</v>
      </c>
      <c r="R325" s="84">
        <v>47654460000</v>
      </c>
      <c r="S325" s="82">
        <v>87997150000</v>
      </c>
      <c r="T325" s="84">
        <v>83818310000</v>
      </c>
      <c r="U325" s="84">
        <v>83034230000</v>
      </c>
      <c r="V325" s="84">
        <v>126424860000</v>
      </c>
      <c r="W325" s="125">
        <v>98531400000</v>
      </c>
      <c r="X325" s="125">
        <v>117580890000</v>
      </c>
      <c r="Y325" s="70">
        <f t="shared" si="140"/>
        <v>19049490000</v>
      </c>
    </row>
    <row r="326" spans="2:25" ht="16" hidden="1" x14ac:dyDescent="0.2">
      <c r="B326" s="121" t="s">
        <v>243</v>
      </c>
      <c r="C326" s="81" t="s">
        <v>291</v>
      </c>
      <c r="D326" s="81" t="s">
        <v>291</v>
      </c>
      <c r="E326" s="81" t="s">
        <v>213</v>
      </c>
      <c r="F326" s="124"/>
      <c r="G326" s="81" t="str">
        <f t="shared" si="139"/>
        <v>lending_cashloan_cashloan_ZALOPAY_</v>
      </c>
      <c r="H326" s="125"/>
      <c r="I326" s="84" t="s">
        <v>248</v>
      </c>
      <c r="J326" s="125">
        <f>SUM(M326:X326)</f>
        <v>327990310000</v>
      </c>
      <c r="K326" s="125"/>
      <c r="L326" s="125"/>
      <c r="M326" s="84"/>
      <c r="N326" s="84"/>
      <c r="O326" s="84">
        <v>20330000</v>
      </c>
      <c r="P326" s="84"/>
      <c r="Q326" s="84"/>
      <c r="R326" s="84">
        <v>17310460000</v>
      </c>
      <c r="S326" s="82">
        <v>41865890000</v>
      </c>
      <c r="T326" s="84">
        <v>42193310000</v>
      </c>
      <c r="U326" s="84">
        <v>43751230000</v>
      </c>
      <c r="V326" s="125">
        <v>38883800000</v>
      </c>
      <c r="W326" s="125">
        <v>67431400000</v>
      </c>
      <c r="X326" s="125">
        <v>76533890000</v>
      </c>
      <c r="Y326" s="70">
        <f t="shared" si="140"/>
        <v>9102490000</v>
      </c>
    </row>
    <row r="327" spans="2:25" ht="16" hidden="1" x14ac:dyDescent="0.2">
      <c r="B327" s="121" t="s">
        <v>243</v>
      </c>
      <c r="C327" s="81" t="s">
        <v>291</v>
      </c>
      <c r="D327" s="81" t="s">
        <v>291</v>
      </c>
      <c r="E327" s="81" t="s">
        <v>213</v>
      </c>
      <c r="F327" s="124"/>
      <c r="G327" s="81" t="str">
        <f t="shared" si="139"/>
        <v>lending_cashloan_cashloan_ZALOPAY_</v>
      </c>
      <c r="H327" s="125"/>
      <c r="I327" s="84" t="s">
        <v>249</v>
      </c>
      <c r="J327" s="125">
        <f>SUM(M327:X327)</f>
        <v>346248320000</v>
      </c>
      <c r="K327" s="125">
        <f t="shared" ref="K327:X327" si="141">K325-K326</f>
        <v>0</v>
      </c>
      <c r="L327" s="125">
        <f t="shared" si="141"/>
        <v>0</v>
      </c>
      <c r="M327" s="125">
        <f t="shared" si="141"/>
        <v>0</v>
      </c>
      <c r="N327" s="125">
        <f t="shared" si="141"/>
        <v>0</v>
      </c>
      <c r="O327" s="125">
        <f t="shared" si="141"/>
        <v>0</v>
      </c>
      <c r="P327" s="125">
        <f t="shared" si="141"/>
        <v>0</v>
      </c>
      <c r="Q327" s="125">
        <f t="shared" si="141"/>
        <v>29177000000</v>
      </c>
      <c r="R327" s="125">
        <f t="shared" si="141"/>
        <v>30344000000</v>
      </c>
      <c r="S327" s="125">
        <f t="shared" si="141"/>
        <v>46131260000</v>
      </c>
      <c r="T327" s="125">
        <f t="shared" si="141"/>
        <v>41625000000</v>
      </c>
      <c r="U327" s="125">
        <f t="shared" si="141"/>
        <v>39283000000</v>
      </c>
      <c r="V327" s="125">
        <f t="shared" si="141"/>
        <v>87541060000</v>
      </c>
      <c r="W327" s="125">
        <f t="shared" si="141"/>
        <v>31100000000</v>
      </c>
      <c r="X327" s="125">
        <f t="shared" si="141"/>
        <v>41047000000</v>
      </c>
      <c r="Y327" s="70">
        <f t="shared" si="140"/>
        <v>9947000000</v>
      </c>
    </row>
    <row r="328" spans="2:25" ht="16" hidden="1" x14ac:dyDescent="0.2">
      <c r="B328" s="121" t="s">
        <v>243</v>
      </c>
      <c r="C328" s="81" t="s">
        <v>291</v>
      </c>
      <c r="D328" s="81" t="s">
        <v>291</v>
      </c>
      <c r="E328" s="81" t="s">
        <v>213</v>
      </c>
      <c r="F328" s="80" t="s">
        <v>295</v>
      </c>
      <c r="G328" s="81" t="str">
        <f t="shared" si="139"/>
        <v>lending_cashloan_cashloan_ZALOPAY_ENR</v>
      </c>
      <c r="H328" s="125"/>
      <c r="I328" s="84" t="s">
        <v>250</v>
      </c>
      <c r="J328" s="125">
        <f>W328</f>
        <v>405762171754</v>
      </c>
      <c r="K328" s="84"/>
      <c r="L328" s="125"/>
      <c r="M328" s="84"/>
      <c r="N328" s="181"/>
      <c r="O328" s="84">
        <v>9630000</v>
      </c>
      <c r="P328" s="84">
        <v>8294394</v>
      </c>
      <c r="Q328" s="84">
        <v>28358115388</v>
      </c>
      <c r="R328" s="84">
        <v>70729974420</v>
      </c>
      <c r="S328" s="84">
        <v>147333061236</v>
      </c>
      <c r="T328" s="154">
        <v>210389493640</v>
      </c>
      <c r="U328" s="84">
        <v>265187908930</v>
      </c>
      <c r="V328" s="84">
        <v>354053782593</v>
      </c>
      <c r="W328" s="84">
        <v>405762171754</v>
      </c>
      <c r="X328" s="125">
        <v>466276829515</v>
      </c>
      <c r="Y328" s="70">
        <f t="shared" si="140"/>
        <v>60514657761</v>
      </c>
    </row>
    <row r="329" spans="2:25" hidden="1" x14ac:dyDescent="0.2">
      <c r="B329" s="121" t="s">
        <v>243</v>
      </c>
      <c r="C329" s="81" t="s">
        <v>291</v>
      </c>
      <c r="D329" s="81" t="s">
        <v>291</v>
      </c>
      <c r="E329" s="81" t="s">
        <v>213</v>
      </c>
      <c r="F329" s="124"/>
      <c r="G329" s="81" t="str">
        <f t="shared" si="139"/>
        <v>lending_cashloan_cashloan_ZALOPAY_</v>
      </c>
      <c r="H329" s="125"/>
      <c r="I329" s="127" t="s">
        <v>251</v>
      </c>
      <c r="J329" s="125">
        <f>X329</f>
        <v>459964651480</v>
      </c>
      <c r="K329" s="181">
        <f t="shared" ref="K329:X329" si="142">K328-K330</f>
        <v>0</v>
      </c>
      <c r="L329" s="181">
        <f t="shared" si="142"/>
        <v>0</v>
      </c>
      <c r="M329" s="181">
        <f t="shared" si="142"/>
        <v>0</v>
      </c>
      <c r="N329" s="181">
        <f t="shared" si="142"/>
        <v>0</v>
      </c>
      <c r="O329" s="181">
        <f t="shared" si="142"/>
        <v>9630000</v>
      </c>
      <c r="P329" s="181">
        <f t="shared" si="142"/>
        <v>8294394</v>
      </c>
      <c r="Q329" s="181">
        <f t="shared" si="142"/>
        <v>28358115388</v>
      </c>
      <c r="R329" s="181">
        <f t="shared" si="142"/>
        <v>70657197036</v>
      </c>
      <c r="S329" s="181">
        <f t="shared" si="142"/>
        <v>147102039794</v>
      </c>
      <c r="T329" s="181">
        <f t="shared" si="142"/>
        <v>209727481424</v>
      </c>
      <c r="U329" s="181">
        <f t="shared" si="142"/>
        <v>263791613900</v>
      </c>
      <c r="V329" s="181">
        <f t="shared" si="142"/>
        <v>351571110481</v>
      </c>
      <c r="W329" s="181">
        <f t="shared" si="142"/>
        <v>401387916998</v>
      </c>
      <c r="X329" s="181">
        <f t="shared" si="142"/>
        <v>459964651480</v>
      </c>
      <c r="Y329" s="70">
        <f t="shared" si="140"/>
        <v>58576734482</v>
      </c>
    </row>
    <row r="330" spans="2:25" hidden="1" x14ac:dyDescent="0.2">
      <c r="B330" s="121" t="s">
        <v>243</v>
      </c>
      <c r="C330" s="81" t="s">
        <v>291</v>
      </c>
      <c r="D330" s="81" t="s">
        <v>291</v>
      </c>
      <c r="E330" s="81" t="s">
        <v>213</v>
      </c>
      <c r="F330" s="124"/>
      <c r="G330" s="81" t="str">
        <f t="shared" si="139"/>
        <v>lending_cashloan_cashloan_ZALOPAY_</v>
      </c>
      <c r="H330" s="125"/>
      <c r="I330" s="127" t="s">
        <v>252</v>
      </c>
      <c r="J330" s="125">
        <f>X330</f>
        <v>6312178035</v>
      </c>
      <c r="K330" s="155">
        <v>0</v>
      </c>
      <c r="L330" s="181"/>
      <c r="M330" s="181"/>
      <c r="N330" s="181"/>
      <c r="O330" s="155"/>
      <c r="P330" s="155"/>
      <c r="Q330" s="143"/>
      <c r="R330" s="181">
        <v>72777384</v>
      </c>
      <c r="S330" s="181">
        <v>231021442</v>
      </c>
      <c r="T330" s="128">
        <v>662012216</v>
      </c>
      <c r="U330" s="155">
        <v>1396295030</v>
      </c>
      <c r="V330" s="155">
        <v>2482672112</v>
      </c>
      <c r="W330" s="155">
        <v>4374254756</v>
      </c>
      <c r="X330" s="181">
        <v>6312178035</v>
      </c>
      <c r="Y330" s="70">
        <f t="shared" si="140"/>
        <v>1937923279</v>
      </c>
    </row>
    <row r="331" spans="2:25" hidden="1" x14ac:dyDescent="0.2">
      <c r="B331" s="121" t="s">
        <v>243</v>
      </c>
      <c r="C331" s="81" t="s">
        <v>291</v>
      </c>
      <c r="D331" s="81" t="s">
        <v>291</v>
      </c>
      <c r="E331" s="81" t="s">
        <v>213</v>
      </c>
      <c r="F331" s="124"/>
      <c r="G331" s="81" t="str">
        <f t="shared" si="139"/>
        <v>lending_cashloan_cashloan_ZALOPAY_</v>
      </c>
      <c r="H331" s="125"/>
      <c r="I331" s="126" t="s">
        <v>253</v>
      </c>
      <c r="J331" s="125"/>
      <c r="K331" s="155">
        <v>0</v>
      </c>
      <c r="L331" s="181">
        <v>0</v>
      </c>
      <c r="M331" s="181">
        <v>0</v>
      </c>
      <c r="N331" s="181">
        <v>0</v>
      </c>
      <c r="O331" s="181"/>
      <c r="P331" s="181"/>
      <c r="Q331" s="181"/>
      <c r="R331" s="181"/>
      <c r="S331" s="181"/>
      <c r="T331" s="181"/>
      <c r="U331" s="181">
        <v>723253535</v>
      </c>
      <c r="V331" s="181">
        <v>2394951695</v>
      </c>
      <c r="W331" s="181">
        <v>5537851616</v>
      </c>
      <c r="X331" s="181">
        <v>8812126884</v>
      </c>
      <c r="Y331" s="70">
        <f t="shared" si="140"/>
        <v>3274275268</v>
      </c>
    </row>
    <row r="332" spans="2:25" ht="16" hidden="1" x14ac:dyDescent="0.2">
      <c r="B332" s="121" t="s">
        <v>243</v>
      </c>
      <c r="C332" s="81" t="s">
        <v>291</v>
      </c>
      <c r="D332" s="81" t="s">
        <v>291</v>
      </c>
      <c r="E332" s="81" t="s">
        <v>213</v>
      </c>
      <c r="F332" s="80" t="s">
        <v>298</v>
      </c>
      <c r="G332" s="81" t="str">
        <f t="shared" si="139"/>
        <v>lending_cashloan_cashloan_ZALOPAY_overdue_balance_10d</v>
      </c>
      <c r="H332" s="125"/>
      <c r="I332" s="84" t="s">
        <v>254</v>
      </c>
      <c r="J332" s="125"/>
      <c r="K332" s="155"/>
      <c r="L332" s="181"/>
      <c r="M332" s="181"/>
      <c r="N332" s="181"/>
      <c r="O332" s="194"/>
      <c r="P332" s="155"/>
      <c r="Q332" s="143">
        <v>10000000</v>
      </c>
      <c r="R332" s="128">
        <v>2014067471</v>
      </c>
      <c r="S332" s="128">
        <v>3982205757</v>
      </c>
      <c r="T332" s="188">
        <v>8832757818</v>
      </c>
      <c r="U332" s="155">
        <v>18504161804</v>
      </c>
      <c r="V332" s="155">
        <v>23887323680</v>
      </c>
      <c r="W332" s="155">
        <v>34492269982</v>
      </c>
      <c r="X332" s="181"/>
      <c r="Y332" s="70">
        <f t="shared" si="140"/>
        <v>-34492269982</v>
      </c>
    </row>
    <row r="333" spans="2:25" ht="16" hidden="1" x14ac:dyDescent="0.2">
      <c r="B333" s="121" t="s">
        <v>243</v>
      </c>
      <c r="C333" s="81" t="s">
        <v>291</v>
      </c>
      <c r="D333" s="81" t="s">
        <v>291</v>
      </c>
      <c r="E333" s="81" t="s">
        <v>213</v>
      </c>
      <c r="F333" s="80" t="s">
        <v>299</v>
      </c>
      <c r="G333" s="81" t="str">
        <f t="shared" si="139"/>
        <v>lending_cashloan_cashloan_ZALOPAY_overdue_balance_90d</v>
      </c>
      <c r="H333" s="125"/>
      <c r="I333" s="84" t="s">
        <v>255</v>
      </c>
      <c r="J333" s="125"/>
      <c r="K333" s="84">
        <v>0</v>
      </c>
      <c r="L333" s="84">
        <v>0</v>
      </c>
      <c r="M333" s="84">
        <v>0</v>
      </c>
      <c r="N333" s="84"/>
      <c r="O333" s="84"/>
      <c r="P333" s="84"/>
      <c r="Q333" s="125"/>
      <c r="R333" s="125">
        <v>5000000</v>
      </c>
      <c r="S333" s="125">
        <v>23675079</v>
      </c>
      <c r="T333" s="125">
        <v>78526424</v>
      </c>
      <c r="U333" s="125">
        <v>1686518353</v>
      </c>
      <c r="V333" s="125">
        <v>2988681369</v>
      </c>
      <c r="W333" s="84">
        <v>6602321800</v>
      </c>
      <c r="X333" s="84"/>
      <c r="Y333" s="70">
        <f t="shared" si="140"/>
        <v>-6602321800</v>
      </c>
    </row>
    <row r="334" spans="2:25" ht="16" hidden="1" x14ac:dyDescent="0.2">
      <c r="B334" s="121" t="s">
        <v>243</v>
      </c>
      <c r="C334" s="81" t="s">
        <v>291</v>
      </c>
      <c r="D334" s="81" t="s">
        <v>291</v>
      </c>
      <c r="E334" s="81" t="s">
        <v>213</v>
      </c>
      <c r="F334" s="124"/>
      <c r="G334" s="81" t="str">
        <f t="shared" si="139"/>
        <v>lending_cashloan_cashloan_ZALOPAY_</v>
      </c>
      <c r="H334" s="125"/>
      <c r="I334" s="84" t="s">
        <v>256</v>
      </c>
      <c r="J334" s="125"/>
      <c r="K334" s="155"/>
      <c r="L334" s="181">
        <f t="shared" ref="L334:X334" si="143">L332-L333</f>
        <v>0</v>
      </c>
      <c r="M334" s="181">
        <f t="shared" si="143"/>
        <v>0</v>
      </c>
      <c r="N334" s="181">
        <f t="shared" si="143"/>
        <v>0</v>
      </c>
      <c r="O334" s="181">
        <f t="shared" si="143"/>
        <v>0</v>
      </c>
      <c r="P334" s="181">
        <f t="shared" si="143"/>
        <v>0</v>
      </c>
      <c r="Q334" s="181">
        <f t="shared" si="143"/>
        <v>10000000</v>
      </c>
      <c r="R334" s="181">
        <f t="shared" si="143"/>
        <v>2009067471</v>
      </c>
      <c r="S334" s="181">
        <f t="shared" si="143"/>
        <v>3958530678</v>
      </c>
      <c r="T334" s="181">
        <f t="shared" si="143"/>
        <v>8754231394</v>
      </c>
      <c r="U334" s="181">
        <f t="shared" si="143"/>
        <v>16817643451</v>
      </c>
      <c r="V334" s="181">
        <f t="shared" si="143"/>
        <v>20898642311</v>
      </c>
      <c r="W334" s="181">
        <f t="shared" si="143"/>
        <v>27889948182</v>
      </c>
      <c r="X334" s="181">
        <f t="shared" si="143"/>
        <v>0</v>
      </c>
      <c r="Y334" s="70">
        <f t="shared" si="140"/>
        <v>-27889948182</v>
      </c>
    </row>
    <row r="335" spans="2:25" ht="16" hidden="1" x14ac:dyDescent="0.2">
      <c r="B335" s="121" t="s">
        <v>243</v>
      </c>
      <c r="C335" s="81" t="s">
        <v>291</v>
      </c>
      <c r="D335" s="81" t="s">
        <v>291</v>
      </c>
      <c r="E335" s="81" t="s">
        <v>213</v>
      </c>
      <c r="F335" s="124"/>
      <c r="G335" s="81" t="str">
        <f t="shared" si="139"/>
        <v>lending_cashloan_cashloan_ZALOPAY_</v>
      </c>
      <c r="H335" s="125"/>
      <c r="I335" s="84" t="s">
        <v>257</v>
      </c>
      <c r="J335" s="125"/>
      <c r="K335" s="177"/>
      <c r="L335" s="177"/>
      <c r="M335" s="177"/>
      <c r="N335" s="177"/>
      <c r="O335" s="177">
        <f t="shared" ref="O335:X335" si="144">O331/O328</f>
        <v>0</v>
      </c>
      <c r="P335" s="177">
        <f t="shared" si="144"/>
        <v>0</v>
      </c>
      <c r="Q335" s="177">
        <f t="shared" si="144"/>
        <v>0</v>
      </c>
      <c r="R335" s="177">
        <f t="shared" si="144"/>
        <v>0</v>
      </c>
      <c r="S335" s="177">
        <f t="shared" si="144"/>
        <v>0</v>
      </c>
      <c r="T335" s="177">
        <f t="shared" si="144"/>
        <v>0</v>
      </c>
      <c r="U335" s="177">
        <f t="shared" si="144"/>
        <v>2.7273247031444135E-3</v>
      </c>
      <c r="V335" s="177">
        <f t="shared" si="144"/>
        <v>6.7643725692181052E-3</v>
      </c>
      <c r="W335" s="177">
        <f t="shared" si="144"/>
        <v>1.3648023402628606E-2</v>
      </c>
      <c r="X335" s="177">
        <f t="shared" si="144"/>
        <v>1.8898916536697685E-2</v>
      </c>
      <c r="Y335" s="70">
        <f t="shared" si="140"/>
        <v>5.2508931340690783E-3</v>
      </c>
    </row>
    <row r="336" spans="2:25" ht="16" hidden="1" x14ac:dyDescent="0.2">
      <c r="B336" s="121" t="s">
        <v>243</v>
      </c>
      <c r="C336" s="81" t="s">
        <v>291</v>
      </c>
      <c r="D336" s="81" t="s">
        <v>291</v>
      </c>
      <c r="E336" s="81" t="s">
        <v>213</v>
      </c>
      <c r="F336" s="80" t="s">
        <v>258</v>
      </c>
      <c r="G336" s="81" t="str">
        <f t="shared" si="139"/>
        <v>lending_cashloan_cashloan_ZALOPAY_npl</v>
      </c>
      <c r="H336" s="125"/>
      <c r="I336" s="84" t="s">
        <v>259</v>
      </c>
      <c r="J336" s="125"/>
      <c r="K336" s="177"/>
      <c r="L336" s="177"/>
      <c r="M336" s="177"/>
      <c r="N336" s="177"/>
      <c r="O336" s="177">
        <f t="shared" ref="O336:X336" si="145">O333/O328</f>
        <v>0</v>
      </c>
      <c r="P336" s="177">
        <f t="shared" si="145"/>
        <v>0</v>
      </c>
      <c r="Q336" s="177">
        <f t="shared" si="145"/>
        <v>0</v>
      </c>
      <c r="R336" s="177">
        <f t="shared" si="145"/>
        <v>7.0691387081658154E-5</v>
      </c>
      <c r="S336" s="177">
        <f t="shared" si="145"/>
        <v>1.6069087821420444E-4</v>
      </c>
      <c r="T336" s="177">
        <f t="shared" si="145"/>
        <v>3.732430866265951E-4</v>
      </c>
      <c r="U336" s="177">
        <f t="shared" si="145"/>
        <v>6.3597105908971881E-3</v>
      </c>
      <c r="V336" s="177">
        <f t="shared" si="145"/>
        <v>8.4413202624518124E-3</v>
      </c>
      <c r="W336" s="177">
        <f t="shared" si="145"/>
        <v>1.6271407882750506E-2</v>
      </c>
      <c r="X336" s="177">
        <f t="shared" si="145"/>
        <v>0</v>
      </c>
      <c r="Y336" s="70">
        <f t="shared" si="140"/>
        <v>-1.6271407882750506E-2</v>
      </c>
    </row>
    <row r="337" spans="2:27" hidden="1" x14ac:dyDescent="0.2">
      <c r="B337" s="121" t="s">
        <v>243</v>
      </c>
      <c r="C337" s="81" t="s">
        <v>291</v>
      </c>
      <c r="D337" s="81" t="s">
        <v>291</v>
      </c>
      <c r="E337" s="81" t="s">
        <v>213</v>
      </c>
      <c r="F337" s="80" t="s">
        <v>260</v>
      </c>
      <c r="G337" s="81" t="str">
        <f t="shared" si="139"/>
        <v>lending_cashloan_cashloan_ZALOPAY_TOI</v>
      </c>
      <c r="H337" s="125"/>
      <c r="I337" s="130" t="s">
        <v>260</v>
      </c>
      <c r="J337" s="131">
        <f t="shared" ref="J337:X337" si="146">J338+J343+J347</f>
        <v>83847094493</v>
      </c>
      <c r="K337" s="131">
        <f t="shared" si="146"/>
        <v>0</v>
      </c>
      <c r="L337" s="131">
        <f t="shared" si="146"/>
        <v>0</v>
      </c>
      <c r="M337" s="131">
        <f t="shared" si="146"/>
        <v>0</v>
      </c>
      <c r="N337" s="131">
        <f t="shared" si="146"/>
        <v>0</v>
      </c>
      <c r="O337" s="131">
        <f t="shared" si="146"/>
        <v>1621019</v>
      </c>
      <c r="P337" s="131">
        <f t="shared" si="146"/>
        <v>331792</v>
      </c>
      <c r="Q337" s="131">
        <f t="shared" si="146"/>
        <v>363930914</v>
      </c>
      <c r="R337" s="131">
        <f t="shared" si="146"/>
        <v>3064698074</v>
      </c>
      <c r="S337" s="131">
        <f t="shared" si="146"/>
        <v>6930313942</v>
      </c>
      <c r="T337" s="131">
        <f t="shared" si="146"/>
        <v>9526412890</v>
      </c>
      <c r="U337" s="131">
        <f t="shared" si="146"/>
        <v>11174839988</v>
      </c>
      <c r="V337" s="131">
        <f t="shared" si="146"/>
        <v>16086893498</v>
      </c>
      <c r="W337" s="131">
        <f t="shared" si="146"/>
        <v>17068860850</v>
      </c>
      <c r="X337" s="131">
        <f t="shared" si="146"/>
        <v>19629191526</v>
      </c>
      <c r="Y337" s="70">
        <f t="shared" si="140"/>
        <v>2560330676</v>
      </c>
    </row>
    <row r="338" spans="2:27" hidden="1" x14ac:dyDescent="0.2">
      <c r="B338" s="121" t="s">
        <v>243</v>
      </c>
      <c r="C338" s="81" t="s">
        <v>291</v>
      </c>
      <c r="D338" s="81" t="s">
        <v>291</v>
      </c>
      <c r="E338" s="81" t="s">
        <v>213</v>
      </c>
      <c r="F338" s="80" t="s">
        <v>300</v>
      </c>
      <c r="G338" s="81" t="str">
        <f t="shared" si="139"/>
        <v>lending_cashloan_cashloan_ZALOPAY_NII</v>
      </c>
      <c r="H338" s="125"/>
      <c r="I338" s="132" t="s">
        <v>261</v>
      </c>
      <c r="J338" s="131">
        <f t="shared" ref="J338:X338" si="147">J339-J342</f>
        <v>60577396945</v>
      </c>
      <c r="K338" s="131">
        <f t="shared" si="147"/>
        <v>0</v>
      </c>
      <c r="L338" s="131">
        <f t="shared" si="147"/>
        <v>0</v>
      </c>
      <c r="M338" s="131">
        <f t="shared" si="147"/>
        <v>0</v>
      </c>
      <c r="N338" s="131">
        <f t="shared" si="147"/>
        <v>0</v>
      </c>
      <c r="O338" s="131">
        <f t="shared" si="147"/>
        <v>161234</v>
      </c>
      <c r="P338" s="131">
        <f t="shared" si="147"/>
        <v>331792</v>
      </c>
      <c r="Q338" s="131">
        <f t="shared" si="147"/>
        <v>339147660</v>
      </c>
      <c r="R338" s="131">
        <f t="shared" si="147"/>
        <v>1991761625</v>
      </c>
      <c r="S338" s="131">
        <f t="shared" si="147"/>
        <v>4454649863</v>
      </c>
      <c r="T338" s="131">
        <f t="shared" si="147"/>
        <v>6913168389</v>
      </c>
      <c r="U338" s="131">
        <f t="shared" si="147"/>
        <v>8391912665</v>
      </c>
      <c r="V338" s="131">
        <f t="shared" si="147"/>
        <v>11031566114</v>
      </c>
      <c r="W338" s="131">
        <f t="shared" si="147"/>
        <v>12748322578</v>
      </c>
      <c r="X338" s="131">
        <f t="shared" si="147"/>
        <v>14706375025</v>
      </c>
      <c r="Y338" s="70">
        <f t="shared" si="140"/>
        <v>1958052447</v>
      </c>
    </row>
    <row r="339" spans="2:27" ht="16" hidden="1" x14ac:dyDescent="0.2">
      <c r="B339" s="121" t="s">
        <v>243</v>
      </c>
      <c r="C339" s="81" t="s">
        <v>291</v>
      </c>
      <c r="D339" s="81" t="s">
        <v>291</v>
      </c>
      <c r="E339" s="81" t="s">
        <v>213</v>
      </c>
      <c r="F339" s="80" t="s">
        <v>301</v>
      </c>
      <c r="G339" s="81" t="str">
        <f t="shared" si="139"/>
        <v>lending_cashloan_cashloan_ZALOPAY_CII</v>
      </c>
      <c r="H339" s="125"/>
      <c r="I339" s="134" t="s">
        <v>262</v>
      </c>
      <c r="J339" s="125">
        <f>SUM(M339:X339)</f>
        <v>71017821320</v>
      </c>
      <c r="K339" s="125">
        <f>K340+0-K341</f>
        <v>0</v>
      </c>
      <c r="L339" s="125">
        <f t="shared" ref="L339:W339" si="148">L340+K341-L341</f>
        <v>0</v>
      </c>
      <c r="M339" s="125">
        <f t="shared" si="148"/>
        <v>0</v>
      </c>
      <c r="N339" s="125">
        <f t="shared" si="148"/>
        <v>0</v>
      </c>
      <c r="O339" s="125">
        <f t="shared" si="148"/>
        <v>161234</v>
      </c>
      <c r="P339" s="125">
        <f t="shared" si="148"/>
        <v>381420</v>
      </c>
      <c r="Q339" s="125">
        <f t="shared" si="148"/>
        <v>374436683</v>
      </c>
      <c r="R339" s="125">
        <f t="shared" si="148"/>
        <v>2252828861</v>
      </c>
      <c r="S339" s="125">
        <f t="shared" si="148"/>
        <v>5093092763</v>
      </c>
      <c r="T339" s="125">
        <f t="shared" si="148"/>
        <v>8002390314</v>
      </c>
      <c r="U339" s="125">
        <f t="shared" si="148"/>
        <v>9787631917</v>
      </c>
      <c r="V339" s="125">
        <f t="shared" si="148"/>
        <v>12948453803</v>
      </c>
      <c r="W339" s="125">
        <f t="shared" si="148"/>
        <v>15063820872</v>
      </c>
      <c r="X339" s="125">
        <f>X340+W341-X341</f>
        <v>17494623453</v>
      </c>
      <c r="Y339" s="70">
        <f t="shared" si="140"/>
        <v>2430802581</v>
      </c>
    </row>
    <row r="340" spans="2:27" ht="16" hidden="1" x14ac:dyDescent="0.2">
      <c r="B340" s="121" t="s">
        <v>243</v>
      </c>
      <c r="C340" s="81" t="s">
        <v>291</v>
      </c>
      <c r="D340" s="81" t="s">
        <v>291</v>
      </c>
      <c r="E340" s="81" t="s">
        <v>213</v>
      </c>
      <c r="F340" s="80"/>
      <c r="G340" s="81" t="str">
        <f t="shared" si="139"/>
        <v>lending_cashloan_cashloan_ZALOPAY_</v>
      </c>
      <c r="H340" s="125"/>
      <c r="I340" s="183" t="s">
        <v>263</v>
      </c>
      <c r="J340" s="136">
        <f>SUM(M340:X340)</f>
        <v>72345350423</v>
      </c>
      <c r="K340" s="136"/>
      <c r="L340" s="136"/>
      <c r="M340" s="136"/>
      <c r="N340" s="136"/>
      <c r="O340" s="136">
        <v>161234</v>
      </c>
      <c r="P340" s="136">
        <v>381420</v>
      </c>
      <c r="Q340" s="136">
        <v>374512025</v>
      </c>
      <c r="R340" s="136">
        <v>2277997629</v>
      </c>
      <c r="S340" s="136">
        <v>5190014930</v>
      </c>
      <c r="T340" s="136">
        <v>8151740830</v>
      </c>
      <c r="U340" s="136">
        <v>9991296076</v>
      </c>
      <c r="V340" s="136">
        <v>13208499796</v>
      </c>
      <c r="W340" s="125">
        <v>15354281497</v>
      </c>
      <c r="X340" s="136">
        <v>17796464986</v>
      </c>
      <c r="Y340" s="70">
        <f t="shared" si="140"/>
        <v>2442183489</v>
      </c>
    </row>
    <row r="341" spans="2:27" ht="16" hidden="1" x14ac:dyDescent="0.2">
      <c r="B341" s="121" t="s">
        <v>243</v>
      </c>
      <c r="C341" s="81" t="s">
        <v>291</v>
      </c>
      <c r="D341" s="81" t="s">
        <v>291</v>
      </c>
      <c r="E341" s="81" t="s">
        <v>213</v>
      </c>
      <c r="F341" s="80"/>
      <c r="G341" s="81" t="str">
        <f t="shared" si="139"/>
        <v>lending_cashloan_cashloan_ZALOPAY_</v>
      </c>
      <c r="H341" s="125"/>
      <c r="I341" s="183" t="s">
        <v>264</v>
      </c>
      <c r="J341" s="136">
        <f>SUM(M341:X341)</f>
        <v>3982627092</v>
      </c>
      <c r="K341" s="136"/>
      <c r="L341" s="136"/>
      <c r="M341" s="136"/>
      <c r="N341" s="136"/>
      <c r="O341" s="136"/>
      <c r="P341" s="136"/>
      <c r="Q341" s="136">
        <v>75342</v>
      </c>
      <c r="R341" s="136">
        <v>25244110</v>
      </c>
      <c r="S341" s="136">
        <v>122166277</v>
      </c>
      <c r="T341" s="136">
        <v>271516793</v>
      </c>
      <c r="U341" s="136">
        <v>475180952</v>
      </c>
      <c r="V341" s="125">
        <v>735226945</v>
      </c>
      <c r="W341" s="136">
        <v>1025687570</v>
      </c>
      <c r="X341" s="136">
        <v>1327529103</v>
      </c>
      <c r="Y341" s="70">
        <f t="shared" si="140"/>
        <v>301841533</v>
      </c>
      <c r="Z341" s="70"/>
      <c r="AA341" s="70"/>
    </row>
    <row r="342" spans="2:27" ht="16" hidden="1" x14ac:dyDescent="0.2">
      <c r="B342" s="121" t="s">
        <v>243</v>
      </c>
      <c r="C342" s="81" t="s">
        <v>291</v>
      </c>
      <c r="D342" s="81" t="s">
        <v>291</v>
      </c>
      <c r="E342" s="81" t="s">
        <v>213</v>
      </c>
      <c r="F342" s="80" t="s">
        <v>62</v>
      </c>
      <c r="G342" s="81" t="str">
        <f t="shared" si="139"/>
        <v>lending_cashloan_cashloan_ZALOPAY_COF</v>
      </c>
      <c r="H342" s="125"/>
      <c r="I342" s="134" t="s">
        <v>62</v>
      </c>
      <c r="J342" s="125">
        <f>SUM(M342:X342)</f>
        <v>10440424375</v>
      </c>
      <c r="K342" s="154"/>
      <c r="L342" s="143"/>
      <c r="M342" s="84"/>
      <c r="N342" s="84"/>
      <c r="O342" s="84"/>
      <c r="P342" s="125">
        <v>49628</v>
      </c>
      <c r="Q342" s="84">
        <v>35289023</v>
      </c>
      <c r="R342" s="84">
        <v>261067236</v>
      </c>
      <c r="S342" s="82">
        <v>638442900</v>
      </c>
      <c r="T342" s="82">
        <v>1089221925</v>
      </c>
      <c r="U342" s="82">
        <v>1395719252</v>
      </c>
      <c r="V342" s="125">
        <v>1916887689</v>
      </c>
      <c r="W342" s="154">
        <v>2315498294</v>
      </c>
      <c r="X342" s="143">
        <v>2788248428</v>
      </c>
      <c r="Y342" s="70">
        <f t="shared" si="140"/>
        <v>472750134</v>
      </c>
    </row>
    <row r="343" spans="2:27" hidden="1" x14ac:dyDescent="0.2">
      <c r="B343" s="121" t="s">
        <v>243</v>
      </c>
      <c r="C343" s="81" t="s">
        <v>291</v>
      </c>
      <c r="D343" s="81" t="s">
        <v>291</v>
      </c>
      <c r="E343" s="81" t="s">
        <v>213</v>
      </c>
      <c r="F343" s="80" t="s">
        <v>302</v>
      </c>
      <c r="G343" s="81" t="str">
        <f t="shared" si="139"/>
        <v>lending_cashloan_cashloan_ZALOPAY_NFI</v>
      </c>
      <c r="H343" s="125"/>
      <c r="I343" s="132" t="s">
        <v>265</v>
      </c>
      <c r="J343" s="131">
        <f t="shared" ref="J343:X343" si="149">SUM(J344:J346)</f>
        <v>23269697548</v>
      </c>
      <c r="K343" s="131">
        <f t="shared" si="149"/>
        <v>0</v>
      </c>
      <c r="L343" s="131">
        <f t="shared" si="149"/>
        <v>0</v>
      </c>
      <c r="M343" s="131">
        <f t="shared" si="149"/>
        <v>0</v>
      </c>
      <c r="N343" s="131">
        <f t="shared" si="149"/>
        <v>0</v>
      </c>
      <c r="O343" s="131">
        <f t="shared" si="149"/>
        <v>1459785</v>
      </c>
      <c r="P343" s="131">
        <f t="shared" si="149"/>
        <v>0</v>
      </c>
      <c r="Q343" s="131">
        <f t="shared" si="149"/>
        <v>24783254</v>
      </c>
      <c r="R343" s="131">
        <f t="shared" si="149"/>
        <v>1072936449</v>
      </c>
      <c r="S343" s="131">
        <f t="shared" si="149"/>
        <v>2475664079</v>
      </c>
      <c r="T343" s="131">
        <f t="shared" si="149"/>
        <v>2613244501</v>
      </c>
      <c r="U343" s="131">
        <f t="shared" si="149"/>
        <v>2782927323</v>
      </c>
      <c r="V343" s="131">
        <f t="shared" si="149"/>
        <v>5055327384</v>
      </c>
      <c r="W343" s="131">
        <f t="shared" si="149"/>
        <v>4320538272</v>
      </c>
      <c r="X343" s="131">
        <f t="shared" si="149"/>
        <v>4922816501</v>
      </c>
      <c r="Y343" s="70">
        <f t="shared" si="140"/>
        <v>602278229</v>
      </c>
    </row>
    <row r="344" spans="2:27" ht="16" hidden="1" x14ac:dyDescent="0.2">
      <c r="B344" s="121" t="s">
        <v>243</v>
      </c>
      <c r="C344" s="81" t="s">
        <v>291</v>
      </c>
      <c r="D344" s="81" t="s">
        <v>291</v>
      </c>
      <c r="E344" s="81" t="s">
        <v>213</v>
      </c>
      <c r="F344" s="80" t="s">
        <v>303</v>
      </c>
      <c r="G344" s="81" t="str">
        <f t="shared" si="139"/>
        <v>lending_cashloan_cashloan_ZALOPAY_insurance_fee</v>
      </c>
      <c r="H344" s="125"/>
      <c r="I344" s="134" t="s">
        <v>266</v>
      </c>
      <c r="J344" s="136">
        <f>SUM(M344:X344)</f>
        <v>20441544595</v>
      </c>
      <c r="K344" s="136"/>
      <c r="L344" s="164"/>
      <c r="M344" s="164"/>
      <c r="N344" s="64"/>
      <c r="O344" s="162">
        <v>1138785</v>
      </c>
      <c r="P344" s="162"/>
      <c r="Q344" s="162"/>
      <c r="R344" s="125">
        <v>969645044</v>
      </c>
      <c r="S344" s="162">
        <v>2288019998</v>
      </c>
      <c r="T344" s="136">
        <v>2304135078</v>
      </c>
      <c r="U344" s="163">
        <v>2389473115</v>
      </c>
      <c r="V344" s="136">
        <v>4511090418</v>
      </c>
      <c r="W344" s="136">
        <v>3735672229</v>
      </c>
      <c r="X344" s="164">
        <v>4242369928</v>
      </c>
      <c r="Y344" s="70">
        <f t="shared" si="140"/>
        <v>506697699</v>
      </c>
    </row>
    <row r="345" spans="2:27" ht="16" hidden="1" x14ac:dyDescent="0.2">
      <c r="B345" s="121" t="s">
        <v>243</v>
      </c>
      <c r="C345" s="81" t="s">
        <v>291</v>
      </c>
      <c r="D345" s="81" t="s">
        <v>291</v>
      </c>
      <c r="E345" s="81" t="s">
        <v>213</v>
      </c>
      <c r="F345" s="80" t="s">
        <v>304</v>
      </c>
      <c r="G345" s="81" t="str">
        <f t="shared" si="139"/>
        <v>lending_cashloan_cashloan_ZALOPAY_early_terminate_fee</v>
      </c>
      <c r="H345" s="125"/>
      <c r="I345" s="134" t="s">
        <v>267</v>
      </c>
      <c r="J345" s="136">
        <f>SUM(M345:X345)</f>
        <v>2828152953</v>
      </c>
      <c r="K345" s="136"/>
      <c r="L345" s="136"/>
      <c r="M345" s="162">
        <v>0</v>
      </c>
      <c r="N345" s="162"/>
      <c r="O345" s="162">
        <v>321000</v>
      </c>
      <c r="P345" s="162"/>
      <c r="Q345" s="125">
        <v>24783254</v>
      </c>
      <c r="R345" s="125">
        <v>103291405</v>
      </c>
      <c r="S345" s="125">
        <v>187644081</v>
      </c>
      <c r="T345" s="125">
        <v>309109423</v>
      </c>
      <c r="U345" s="125">
        <v>393454208</v>
      </c>
      <c r="V345" s="125">
        <v>544236966</v>
      </c>
      <c r="W345" s="136">
        <v>584866043</v>
      </c>
      <c r="X345" s="136">
        <v>680446573</v>
      </c>
      <c r="Y345" s="70">
        <f t="shared" si="140"/>
        <v>95580530</v>
      </c>
    </row>
    <row r="346" spans="2:27" ht="16" hidden="1" x14ac:dyDescent="0.2">
      <c r="B346" s="121" t="s">
        <v>243</v>
      </c>
      <c r="C346" s="81" t="s">
        <v>291</v>
      </c>
      <c r="D346" s="81" t="s">
        <v>291</v>
      </c>
      <c r="E346" s="81" t="s">
        <v>213</v>
      </c>
      <c r="F346" s="80" t="s">
        <v>305</v>
      </c>
      <c r="G346" s="81" t="str">
        <f t="shared" si="139"/>
        <v>lending_cashloan_cashloan_ZALOPAY_loan_grant_fee</v>
      </c>
      <c r="H346" s="125"/>
      <c r="I346" s="134" t="s">
        <v>187</v>
      </c>
      <c r="J346" s="136">
        <f>SUM(M346:X346)</f>
        <v>0</v>
      </c>
      <c r="K346" s="136"/>
      <c r="L346" s="136"/>
      <c r="M346" s="162"/>
      <c r="N346" s="162"/>
      <c r="O346" s="162"/>
      <c r="P346" s="162"/>
      <c r="Q346" s="162"/>
      <c r="R346" s="136"/>
      <c r="S346" s="164"/>
      <c r="T346" s="136"/>
      <c r="U346" s="136"/>
      <c r="V346" s="136"/>
      <c r="W346" s="136"/>
      <c r="X346" s="136"/>
      <c r="Y346" s="70">
        <f t="shared" si="140"/>
        <v>0</v>
      </c>
    </row>
    <row r="347" spans="2:27" hidden="1" x14ac:dyDescent="0.2">
      <c r="B347" s="121" t="s">
        <v>243</v>
      </c>
      <c r="C347" s="81" t="s">
        <v>291</v>
      </c>
      <c r="D347" s="81" t="s">
        <v>291</v>
      </c>
      <c r="E347" s="81" t="s">
        <v>213</v>
      </c>
      <c r="F347" s="80" t="s">
        <v>306</v>
      </c>
      <c r="G347" s="81" t="str">
        <f t="shared" si="139"/>
        <v>lending_cashloan_cashloan_ZALOPAY_other_TOI</v>
      </c>
      <c r="H347" s="125"/>
      <c r="I347" s="132" t="s">
        <v>269</v>
      </c>
      <c r="J347" s="178">
        <f>SUM(M347:X347)</f>
        <v>0</v>
      </c>
      <c r="K347" s="136"/>
      <c r="L347" s="136"/>
      <c r="M347" s="162"/>
      <c r="N347" s="162"/>
      <c r="O347" s="162"/>
      <c r="P347" s="162"/>
      <c r="Q347" s="162"/>
      <c r="R347" s="136"/>
      <c r="S347" s="164"/>
      <c r="T347" s="136"/>
      <c r="U347" s="136"/>
      <c r="V347" s="136"/>
      <c r="W347" s="136"/>
      <c r="X347" s="136"/>
      <c r="Y347" s="70">
        <f t="shared" si="140"/>
        <v>0</v>
      </c>
    </row>
    <row r="348" spans="2:27" s="54" customFormat="1" hidden="1" x14ac:dyDescent="0.2">
      <c r="B348" s="121" t="s">
        <v>243</v>
      </c>
      <c r="C348" s="81" t="s">
        <v>291</v>
      </c>
      <c r="D348" s="81" t="s">
        <v>291</v>
      </c>
      <c r="E348" s="81" t="s">
        <v>213</v>
      </c>
      <c r="F348" s="80" t="s">
        <v>307</v>
      </c>
      <c r="G348" s="138" t="str">
        <f t="shared" si="139"/>
        <v>lending_cashloan_cashloan_ZALOPAY_provision</v>
      </c>
      <c r="H348" s="125"/>
      <c r="I348" s="140" t="s">
        <v>270</v>
      </c>
      <c r="J348" s="131">
        <f>SUM(M348:X348)</f>
        <v>12315333884</v>
      </c>
      <c r="K348" s="131"/>
      <c r="L348" s="168"/>
      <c r="M348" s="168"/>
      <c r="N348" s="184"/>
      <c r="O348" s="184">
        <v>72225</v>
      </c>
      <c r="P348" s="140"/>
      <c r="Q348" s="140">
        <v>213123657</v>
      </c>
      <c r="R348" s="140">
        <f>369866578+52838330</f>
        <v>422704908</v>
      </c>
      <c r="S348" s="167">
        <v>690531172</v>
      </c>
      <c r="T348" s="168">
        <v>741448405</v>
      </c>
      <c r="U348" s="168">
        <f>884387391+253526931</f>
        <v>1137914322</v>
      </c>
      <c r="V348" s="168">
        <v>1163274473</v>
      </c>
      <c r="W348" s="131">
        <v>2829618610</v>
      </c>
      <c r="X348" s="168">
        <v>5116646112</v>
      </c>
      <c r="Y348" s="70">
        <f t="shared" si="140"/>
        <v>2287027502</v>
      </c>
    </row>
    <row r="349" spans="2:27" hidden="1" x14ac:dyDescent="0.2">
      <c r="B349" s="121" t="s">
        <v>243</v>
      </c>
      <c r="C349" s="81" t="s">
        <v>291</v>
      </c>
      <c r="D349" s="81" t="s">
        <v>291</v>
      </c>
      <c r="E349" s="81" t="s">
        <v>213</v>
      </c>
      <c r="F349" s="80" t="s">
        <v>308</v>
      </c>
      <c r="G349" s="81" t="str">
        <f t="shared" si="139"/>
        <v>lending_cashloan_cashloan_ZALOPAY_variable_cost</v>
      </c>
      <c r="H349" s="125"/>
      <c r="I349" s="140" t="s">
        <v>271</v>
      </c>
      <c r="J349" s="131">
        <f t="shared" ref="J349:X349" si="150">SUM(J350:J357)</f>
        <v>18494921891.290138</v>
      </c>
      <c r="K349" s="131">
        <f t="shared" si="150"/>
        <v>0</v>
      </c>
      <c r="L349" s="131">
        <f t="shared" si="150"/>
        <v>0</v>
      </c>
      <c r="M349" s="131">
        <f t="shared" si="150"/>
        <v>0</v>
      </c>
      <c r="N349" s="131">
        <f t="shared" si="150"/>
        <v>0</v>
      </c>
      <c r="O349" s="131">
        <f t="shared" si="150"/>
        <v>63539.913946253866</v>
      </c>
      <c r="P349" s="131">
        <f t="shared" si="150"/>
        <v>15096.694585314346</v>
      </c>
      <c r="Q349" s="131">
        <f t="shared" si="150"/>
        <v>650656979.9812094</v>
      </c>
      <c r="R349" s="131">
        <f t="shared" si="150"/>
        <v>1046113779.1218096</v>
      </c>
      <c r="S349" s="131">
        <f t="shared" si="150"/>
        <v>1876595621.4559519</v>
      </c>
      <c r="T349" s="131">
        <f t="shared" si="150"/>
        <v>2071983805.7953176</v>
      </c>
      <c r="U349" s="131">
        <f t="shared" si="150"/>
        <v>2414268303.2337408</v>
      </c>
      <c r="V349" s="131">
        <f t="shared" si="150"/>
        <v>3752077271.032783</v>
      </c>
      <c r="W349" s="131">
        <f t="shared" si="150"/>
        <v>3137449674.0014648</v>
      </c>
      <c r="X349" s="131">
        <f t="shared" si="150"/>
        <v>3545697820.0593314</v>
      </c>
      <c r="Y349" s="70">
        <f t="shared" si="140"/>
        <v>408248146.05786657</v>
      </c>
    </row>
    <row r="350" spans="2:27" ht="16" hidden="1" x14ac:dyDescent="0.2">
      <c r="B350" s="121" t="s">
        <v>243</v>
      </c>
      <c r="C350" s="81" t="s">
        <v>291</v>
      </c>
      <c r="D350" s="81" t="s">
        <v>291</v>
      </c>
      <c r="E350" s="81" t="s">
        <v>213</v>
      </c>
      <c r="F350" s="80" t="s">
        <v>198</v>
      </c>
      <c r="G350" s="81" t="str">
        <f t="shared" si="139"/>
        <v>lending_cashloan_cashloan_ZALOPAY_marketing_acquisition_cost</v>
      </c>
      <c r="H350" s="125"/>
      <c r="I350" s="142" t="s">
        <v>272</v>
      </c>
      <c r="J350" s="125">
        <f t="shared" ref="J350:J355" si="151">SUM(M350:X350)</f>
        <v>0</v>
      </c>
      <c r="K350" s="122"/>
      <c r="L350" s="122"/>
      <c r="M350" s="84"/>
      <c r="N350" s="84"/>
      <c r="O350" s="84"/>
      <c r="P350" s="122"/>
      <c r="Q350" s="84"/>
      <c r="R350" s="143"/>
      <c r="S350" s="125"/>
      <c r="T350" s="125"/>
      <c r="U350" s="190"/>
      <c r="V350" s="122"/>
      <c r="W350" s="122"/>
      <c r="X350" s="122"/>
      <c r="Y350" s="70">
        <f t="shared" si="140"/>
        <v>0</v>
      </c>
    </row>
    <row r="351" spans="2:27" ht="16" hidden="1" x14ac:dyDescent="0.2">
      <c r="B351" s="121" t="s">
        <v>243</v>
      </c>
      <c r="C351" s="81" t="s">
        <v>291</v>
      </c>
      <c r="D351" s="81" t="s">
        <v>291</v>
      </c>
      <c r="E351" s="81" t="s">
        <v>213</v>
      </c>
      <c r="F351" s="80" t="s">
        <v>309</v>
      </c>
      <c r="G351" s="81" t="str">
        <f t="shared" si="139"/>
        <v>lending_cashloan_cashloan_ZALOPAY_partner_acquisition_cost</v>
      </c>
      <c r="H351" s="125"/>
      <c r="I351" s="142" t="s">
        <v>202</v>
      </c>
      <c r="J351" s="125">
        <f t="shared" si="151"/>
        <v>16073215000</v>
      </c>
      <c r="K351" s="153"/>
      <c r="L351" s="84"/>
      <c r="M351" s="64"/>
      <c r="N351" s="143"/>
      <c r="O351" s="84"/>
      <c r="P351" s="125"/>
      <c r="Q351" s="84">
        <v>583540000</v>
      </c>
      <c r="R351" s="84">
        <v>930440000</v>
      </c>
      <c r="S351" s="82">
        <v>1704540000</v>
      </c>
      <c r="T351" s="82">
        <v>1767045000</v>
      </c>
      <c r="U351" s="82">
        <f>1603440000+465220000</f>
        <v>2068660000</v>
      </c>
      <c r="V351" s="82">
        <v>3272810000</v>
      </c>
      <c r="W351" s="82">
        <v>2692980000</v>
      </c>
      <c r="X351" s="82">
        <f xml:space="preserve"> 801720000 + 2251480000</f>
        <v>3053200000</v>
      </c>
      <c r="Y351" s="70">
        <f t="shared" si="140"/>
        <v>360220000</v>
      </c>
    </row>
    <row r="352" spans="2:27" ht="16" hidden="1" x14ac:dyDescent="0.2">
      <c r="B352" s="121" t="s">
        <v>243</v>
      </c>
      <c r="C352" s="81" t="s">
        <v>291</v>
      </c>
      <c r="D352" s="81" t="s">
        <v>291</v>
      </c>
      <c r="E352" s="81" t="s">
        <v>213</v>
      </c>
      <c r="F352" s="80" t="s">
        <v>310</v>
      </c>
      <c r="G352" s="81" t="str">
        <f t="shared" si="139"/>
        <v>lending_cashloan_cashloan_ZALOPAY_underwritting</v>
      </c>
      <c r="H352" s="125"/>
      <c r="I352" s="142" t="s">
        <v>273</v>
      </c>
      <c r="J352" s="125">
        <f t="shared" si="151"/>
        <v>1757318271.2349553</v>
      </c>
      <c r="K352" s="125"/>
      <c r="L352" s="125"/>
      <c r="M352" s="170">
        <v>0</v>
      </c>
      <c r="N352" s="170">
        <v>0</v>
      </c>
      <c r="O352" s="170">
        <v>51523.636527521143</v>
      </c>
      <c r="P352" s="170">
        <v>0</v>
      </c>
      <c r="Q352" s="170">
        <v>58149912.811691023</v>
      </c>
      <c r="R352" s="170">
        <v>92953816.836240113</v>
      </c>
      <c r="S352" s="125">
        <v>123789298.37266384</v>
      </c>
      <c r="T352" s="125">
        <v>232640111.9860585</v>
      </c>
      <c r="U352" s="125">
        <v>249258346.28378773</v>
      </c>
      <c r="V352" s="125">
        <v>379469736.20583493</v>
      </c>
      <c r="W352" s="125">
        <v>288242224.32741982</v>
      </c>
      <c r="X352" s="125">
        <v>332763300.77473176</v>
      </c>
      <c r="Y352" s="70">
        <f t="shared" si="140"/>
        <v>44521076.447311938</v>
      </c>
    </row>
    <row r="353" spans="2:25" ht="16" hidden="1" x14ac:dyDescent="0.2">
      <c r="B353" s="121" t="s">
        <v>243</v>
      </c>
      <c r="C353" s="81" t="s">
        <v>291</v>
      </c>
      <c r="D353" s="81" t="s">
        <v>291</v>
      </c>
      <c r="E353" s="81" t="s">
        <v>213</v>
      </c>
      <c r="F353" s="80" t="s">
        <v>311</v>
      </c>
      <c r="G353" s="81" t="str">
        <f t="shared" si="139"/>
        <v>lending_cashloan_cashloan_ZALOPAY_e_contract</v>
      </c>
      <c r="H353" s="125"/>
      <c r="I353" s="142" t="s">
        <v>274</v>
      </c>
      <c r="J353" s="125">
        <f t="shared" si="151"/>
        <v>52850516</v>
      </c>
      <c r="K353" s="125"/>
      <c r="L353" s="125"/>
      <c r="M353" s="84"/>
      <c r="N353" s="153"/>
      <c r="O353" s="153">
        <v>4079</v>
      </c>
      <c r="P353" s="153"/>
      <c r="Q353" s="153">
        <v>2622831</v>
      </c>
      <c r="R353" s="143">
        <v>4719768</v>
      </c>
      <c r="S353" s="125">
        <v>6352192</v>
      </c>
      <c r="T353" s="125">
        <v>10573200</v>
      </c>
      <c r="U353" s="125">
        <v>6221772</v>
      </c>
      <c r="V353" s="125">
        <v>8000595</v>
      </c>
      <c r="W353" s="125">
        <v>6650414</v>
      </c>
      <c r="X353" s="125">
        <v>7705665</v>
      </c>
      <c r="Y353" s="70">
        <f t="shared" si="140"/>
        <v>1055251</v>
      </c>
    </row>
    <row r="354" spans="2:25" ht="16" hidden="1" x14ac:dyDescent="0.2">
      <c r="B354" s="121" t="s">
        <v>243</v>
      </c>
      <c r="C354" s="81" t="s">
        <v>291</v>
      </c>
      <c r="D354" s="81" t="s">
        <v>291</v>
      </c>
      <c r="E354" s="81" t="s">
        <v>213</v>
      </c>
      <c r="F354" s="80" t="s">
        <v>312</v>
      </c>
      <c r="G354" s="81" t="str">
        <f t="shared" si="139"/>
        <v>lending_cashloan_cashloan_ZALOPAY_nfc</v>
      </c>
      <c r="H354" s="125"/>
      <c r="I354" s="142" t="s">
        <v>275</v>
      </c>
      <c r="J354" s="125">
        <f t="shared" si="151"/>
        <v>85587310.465157136</v>
      </c>
      <c r="K354" s="125"/>
      <c r="L354" s="125"/>
      <c r="M354" s="84"/>
      <c r="N354" s="84"/>
      <c r="O354" s="84">
        <v>7900.1429592566119</v>
      </c>
      <c r="P354" s="122"/>
      <c r="Q354" s="84">
        <v>6281860.1995395236</v>
      </c>
      <c r="R354" s="84">
        <v>9423518.7728735823</v>
      </c>
      <c r="S354" s="125">
        <v>10901527.256273139</v>
      </c>
      <c r="T354" s="125">
        <v>10296749.404030919</v>
      </c>
      <c r="U354" s="125">
        <v>8012093.2871628441</v>
      </c>
      <c r="V354" s="125">
        <v>14772643.695297124</v>
      </c>
      <c r="W354" s="125">
        <v>11025972.169167804</v>
      </c>
      <c r="X354" s="125">
        <v>14865045.537852945</v>
      </c>
      <c r="Y354" s="70">
        <f t="shared" si="140"/>
        <v>3839073.3686851412</v>
      </c>
    </row>
    <row r="355" spans="2:25" ht="16" hidden="1" x14ac:dyDescent="0.2">
      <c r="B355" s="121" t="s">
        <v>243</v>
      </c>
      <c r="C355" s="81" t="s">
        <v>291</v>
      </c>
      <c r="D355" s="81" t="s">
        <v>291</v>
      </c>
      <c r="E355" s="81" t="s">
        <v>213</v>
      </c>
      <c r="F355" s="80" t="s">
        <v>313</v>
      </c>
      <c r="G355" s="81" t="str">
        <f t="shared" si="139"/>
        <v>lending_cashloan_cashloan_ZALOPAY_collection</v>
      </c>
      <c r="H355" s="125"/>
      <c r="I355" s="142" t="s">
        <v>196</v>
      </c>
      <c r="J355" s="125">
        <f t="shared" si="151"/>
        <v>465363616.76585805</v>
      </c>
      <c r="K355" s="125"/>
      <c r="L355" s="125"/>
      <c r="M355" s="84"/>
      <c r="N355" s="84"/>
      <c r="O355" s="84"/>
      <c r="P355" s="170">
        <v>13920.82600211419</v>
      </c>
      <c r="Q355" s="84">
        <v>15035.988946941185</v>
      </c>
      <c r="R355" s="84">
        <v>7354639.6870371755</v>
      </c>
      <c r="S355" s="84">
        <v>26828762</v>
      </c>
      <c r="T355" s="125">
        <v>46328553.458103716</v>
      </c>
      <c r="U355" s="125">
        <v>72622945.943943083</v>
      </c>
      <c r="V355" s="125">
        <v>64966260.277753942</v>
      </c>
      <c r="W355" s="125">
        <v>124235679.10524158</v>
      </c>
      <c r="X355" s="125">
        <v>122997819.47882952</v>
      </c>
      <c r="Y355" s="70">
        <f t="shared" si="140"/>
        <v>-1237859.6264120638</v>
      </c>
    </row>
    <row r="356" spans="2:25" ht="16" hidden="1" x14ac:dyDescent="0.2">
      <c r="B356" s="121" t="s">
        <v>243</v>
      </c>
      <c r="C356" s="81" t="s">
        <v>291</v>
      </c>
      <c r="D356" s="81" t="s">
        <v>291</v>
      </c>
      <c r="E356" s="81" t="s">
        <v>213</v>
      </c>
      <c r="F356" s="80" t="s">
        <v>314</v>
      </c>
      <c r="G356" s="81" t="str">
        <f t="shared" si="139"/>
        <v>lending_cashloan_cashloan_ZALOPAY_promotion</v>
      </c>
      <c r="H356" s="125"/>
      <c r="I356" s="142" t="s">
        <v>276</v>
      </c>
      <c r="J356" s="125"/>
      <c r="K356" s="125"/>
      <c r="L356" s="125"/>
      <c r="M356" s="84"/>
      <c r="N356" s="84"/>
      <c r="O356" s="84"/>
      <c r="P356" s="170"/>
      <c r="Q356" s="84"/>
      <c r="R356" s="122"/>
      <c r="S356" s="84"/>
      <c r="T356" s="125"/>
      <c r="U356" s="125"/>
      <c r="V356" s="125"/>
      <c r="W356" s="125"/>
      <c r="X356" s="125"/>
      <c r="Y356" s="70">
        <f t="shared" si="140"/>
        <v>0</v>
      </c>
    </row>
    <row r="357" spans="2:25" ht="16" hidden="1" x14ac:dyDescent="0.2">
      <c r="B357" s="121" t="s">
        <v>243</v>
      </c>
      <c r="C357" s="81" t="s">
        <v>291</v>
      </c>
      <c r="D357" s="81" t="s">
        <v>291</v>
      </c>
      <c r="E357" s="81" t="s">
        <v>213</v>
      </c>
      <c r="F357" s="80" t="s">
        <v>315</v>
      </c>
      <c r="G357" s="81" t="str">
        <f t="shared" si="139"/>
        <v>lending_cashloan_cashloan_ZALOPAY_sms</v>
      </c>
      <c r="H357" s="125"/>
      <c r="I357" s="144" t="s">
        <v>197</v>
      </c>
      <c r="J357" s="125">
        <f>SUM(M357:X357)</f>
        <v>60587176.82417044</v>
      </c>
      <c r="K357" s="143"/>
      <c r="L357" s="143"/>
      <c r="M357" s="143"/>
      <c r="N357" s="143"/>
      <c r="O357" s="143">
        <v>37.134459476109512</v>
      </c>
      <c r="P357" s="143">
        <v>1175.8685832001552</v>
      </c>
      <c r="Q357" s="143">
        <v>47339.981031913376</v>
      </c>
      <c r="R357" s="170">
        <v>1222035.8256586581</v>
      </c>
      <c r="S357" s="125">
        <v>4183841.8270151638</v>
      </c>
      <c r="T357" s="125">
        <v>5100190.9471244579</v>
      </c>
      <c r="U357" s="125">
        <v>9493145.7188470755</v>
      </c>
      <c r="V357" s="125">
        <v>12058035.853897331</v>
      </c>
      <c r="W357" s="125">
        <v>14315384.399635356</v>
      </c>
      <c r="X357" s="125">
        <v>14165989.267917812</v>
      </c>
      <c r="Y357" s="70">
        <f t="shared" si="140"/>
        <v>-149395.13171754405</v>
      </c>
    </row>
    <row r="358" spans="2:25" ht="16" hidden="1" thickTop="1" x14ac:dyDescent="0.2">
      <c r="B358" s="121" t="s">
        <v>243</v>
      </c>
      <c r="C358" s="81" t="s">
        <v>291</v>
      </c>
      <c r="D358" s="81" t="s">
        <v>291</v>
      </c>
      <c r="E358" s="81" t="s">
        <v>213</v>
      </c>
      <c r="F358" s="80" t="s">
        <v>316</v>
      </c>
      <c r="G358" s="81" t="str">
        <f t="shared" si="139"/>
        <v>lending_cashloan_cashloan_ZALOPAY_profit_before_overhead</v>
      </c>
      <c r="H358" s="125"/>
      <c r="I358" s="145" t="s">
        <v>289</v>
      </c>
      <c r="J358" s="145">
        <f t="shared" ref="J358:X358" si="152">J337-J348-J349</f>
        <v>53036838717.709862</v>
      </c>
      <c r="K358" s="145">
        <f t="shared" si="152"/>
        <v>0</v>
      </c>
      <c r="L358" s="145">
        <f t="shared" si="152"/>
        <v>0</v>
      </c>
      <c r="M358" s="145">
        <f t="shared" si="152"/>
        <v>0</v>
      </c>
      <c r="N358" s="145">
        <f t="shared" si="152"/>
        <v>0</v>
      </c>
      <c r="O358" s="145">
        <f t="shared" si="152"/>
        <v>1485254.0860537461</v>
      </c>
      <c r="P358" s="145">
        <f t="shared" si="152"/>
        <v>316695.30541468563</v>
      </c>
      <c r="Q358" s="145">
        <f t="shared" si="152"/>
        <v>-499849722.9812094</v>
      </c>
      <c r="R358" s="145">
        <f t="shared" si="152"/>
        <v>1595879386.8781905</v>
      </c>
      <c r="S358" s="145">
        <f t="shared" si="152"/>
        <v>4363187148.5440483</v>
      </c>
      <c r="T358" s="145">
        <f t="shared" si="152"/>
        <v>6712980679.2046824</v>
      </c>
      <c r="U358" s="145">
        <f t="shared" si="152"/>
        <v>7622657362.7662592</v>
      </c>
      <c r="V358" s="145">
        <f t="shared" si="152"/>
        <v>11171541753.967216</v>
      </c>
      <c r="W358" s="145">
        <f t="shared" si="152"/>
        <v>11101792565.998535</v>
      </c>
      <c r="X358" s="145">
        <f t="shared" si="152"/>
        <v>10966847593.940668</v>
      </c>
      <c r="Y358" s="70">
        <f t="shared" si="140"/>
        <v>-134944972.05786705</v>
      </c>
    </row>
    <row r="359" spans="2:25" hidden="1" x14ac:dyDescent="0.2">
      <c r="B359" s="121"/>
      <c r="C359" s="81"/>
      <c r="D359" s="81"/>
      <c r="E359" s="81"/>
      <c r="F359" s="124"/>
      <c r="G359" s="81"/>
      <c r="H359" s="125"/>
      <c r="I359" s="148"/>
      <c r="J359" s="131"/>
      <c r="K359" s="131"/>
      <c r="L359" s="131"/>
      <c r="M359" s="131"/>
      <c r="N359" s="131"/>
      <c r="O359" s="131"/>
      <c r="P359" s="131"/>
      <c r="Q359" s="131"/>
      <c r="R359" s="131"/>
      <c r="S359" s="131"/>
      <c r="T359" s="131"/>
      <c r="U359" s="131"/>
      <c r="V359" s="131"/>
      <c r="W359" s="131"/>
      <c r="X359" s="131"/>
      <c r="Y359" s="70">
        <f t="shared" si="140"/>
        <v>0</v>
      </c>
    </row>
    <row r="360" spans="2:25" hidden="1" x14ac:dyDescent="0.2">
      <c r="B360" s="121" t="s">
        <v>243</v>
      </c>
      <c r="C360" s="81" t="s">
        <v>291</v>
      </c>
      <c r="D360" s="81" t="s">
        <v>291</v>
      </c>
      <c r="E360" s="81" t="s">
        <v>220</v>
      </c>
      <c r="F360" s="81"/>
      <c r="G360" s="81" t="str">
        <f t="shared" ref="G360:G397" si="153">B360&amp;"_"&amp;C360&amp;"_"&amp;D360&amp;"_"&amp;E360&amp;"_"&amp;F360</f>
        <v>lending_cashloan_cashloan_VNPOST_</v>
      </c>
      <c r="H360" s="125"/>
      <c r="I360" s="123" t="s">
        <v>326</v>
      </c>
      <c r="J360" s="123"/>
      <c r="K360" s="123"/>
      <c r="L360" s="123"/>
      <c r="M360" s="123"/>
      <c r="N360" s="123"/>
      <c r="O360" s="123"/>
      <c r="P360" s="123"/>
      <c r="Q360" s="123"/>
      <c r="R360" s="123"/>
      <c r="S360" s="123"/>
      <c r="T360" s="123"/>
      <c r="U360" s="123"/>
      <c r="V360" s="123"/>
      <c r="W360" s="123"/>
      <c r="X360" s="123"/>
      <c r="Y360" s="70">
        <f t="shared" si="140"/>
        <v>0</v>
      </c>
    </row>
    <row r="361" spans="2:25" ht="16" hidden="1" x14ac:dyDescent="0.2">
      <c r="B361" s="121" t="s">
        <v>243</v>
      </c>
      <c r="C361" s="81" t="s">
        <v>291</v>
      </c>
      <c r="D361" s="81" t="s">
        <v>291</v>
      </c>
      <c r="E361" s="81" t="s">
        <v>220</v>
      </c>
      <c r="F361" s="80" t="s">
        <v>292</v>
      </c>
      <c r="G361" s="81" t="str">
        <f t="shared" si="153"/>
        <v>lending_cashloan_cashloan_VNPOST_new_account</v>
      </c>
      <c r="H361" s="125"/>
      <c r="I361" s="126" t="s">
        <v>245</v>
      </c>
      <c r="J361" s="125">
        <f>SUM(M361:X361)</f>
        <v>1976</v>
      </c>
      <c r="K361" s="84"/>
      <c r="L361" s="84"/>
      <c r="M361" s="84"/>
      <c r="N361" s="175"/>
      <c r="O361" s="84"/>
      <c r="P361" s="84">
        <v>1</v>
      </c>
      <c r="Q361" s="175">
        <v>7</v>
      </c>
      <c r="R361" s="84">
        <v>46</v>
      </c>
      <c r="S361" s="152">
        <v>49</v>
      </c>
      <c r="T361" s="84">
        <v>50</v>
      </c>
      <c r="U361" s="84">
        <v>152</v>
      </c>
      <c r="V361" s="84">
        <v>290</v>
      </c>
      <c r="W361" s="84">
        <v>495</v>
      </c>
      <c r="X361" s="84">
        <v>886</v>
      </c>
      <c r="Y361" s="70">
        <f t="shared" si="140"/>
        <v>391</v>
      </c>
    </row>
    <row r="362" spans="2:25" ht="16" hidden="1" x14ac:dyDescent="0.2">
      <c r="B362" s="121" t="s">
        <v>243</v>
      </c>
      <c r="C362" s="81" t="s">
        <v>291</v>
      </c>
      <c r="D362" s="81" t="s">
        <v>291</v>
      </c>
      <c r="E362" s="81" t="s">
        <v>220</v>
      </c>
      <c r="F362" s="126" t="s">
        <v>246</v>
      </c>
      <c r="G362" s="81" t="str">
        <f t="shared" si="153"/>
        <v>lending_cashloan_cashloan_VNPOST_Repeat account</v>
      </c>
      <c r="H362" s="125"/>
      <c r="I362" s="126" t="s">
        <v>246</v>
      </c>
      <c r="J362" s="125"/>
      <c r="K362" s="84"/>
      <c r="L362" s="84"/>
      <c r="M362" s="84"/>
      <c r="N362" s="175"/>
      <c r="O362" s="84"/>
      <c r="P362" s="84"/>
      <c r="Q362" s="175"/>
      <c r="R362" s="84"/>
      <c r="S362" s="84">
        <v>213</v>
      </c>
      <c r="T362" s="84"/>
      <c r="U362" s="84">
        <v>8</v>
      </c>
      <c r="V362" s="84">
        <v>13</v>
      </c>
      <c r="W362" s="84">
        <v>38</v>
      </c>
      <c r="X362" s="84">
        <v>79</v>
      </c>
      <c r="Y362" s="70">
        <f t="shared" si="140"/>
        <v>41</v>
      </c>
    </row>
    <row r="363" spans="2:25" ht="16" hidden="1" x14ac:dyDescent="0.2">
      <c r="B363" s="121" t="s">
        <v>243</v>
      </c>
      <c r="C363" s="81" t="s">
        <v>291</v>
      </c>
      <c r="D363" s="81" t="s">
        <v>291</v>
      </c>
      <c r="E363" s="81" t="s">
        <v>220</v>
      </c>
      <c r="F363" s="80" t="s">
        <v>293</v>
      </c>
      <c r="G363" s="81" t="str">
        <f t="shared" si="153"/>
        <v>lending_cashloan_cashloan_VNPOST_active_account</v>
      </c>
      <c r="H363" s="125"/>
      <c r="I363" s="126" t="s">
        <v>247</v>
      </c>
      <c r="J363" s="125">
        <f>SUM(M363:X363)</f>
        <v>4086</v>
      </c>
      <c r="K363" s="84"/>
      <c r="L363" s="84"/>
      <c r="M363" s="84"/>
      <c r="N363" s="175"/>
      <c r="O363" s="175"/>
      <c r="P363" s="84"/>
      <c r="Q363" s="175">
        <v>10</v>
      </c>
      <c r="R363" s="143">
        <v>55</v>
      </c>
      <c r="S363" s="152">
        <v>103</v>
      </c>
      <c r="T363" s="84">
        <v>152</v>
      </c>
      <c r="U363" s="84">
        <v>301</v>
      </c>
      <c r="V363" s="84">
        <v>581</v>
      </c>
      <c r="W363" s="84">
        <v>1030</v>
      </c>
      <c r="X363" s="84">
        <v>1854</v>
      </c>
      <c r="Y363" s="70">
        <f t="shared" si="140"/>
        <v>824</v>
      </c>
    </row>
    <row r="364" spans="2:25" ht="16" hidden="1" x14ac:dyDescent="0.2">
      <c r="B364" s="121" t="s">
        <v>243</v>
      </c>
      <c r="C364" s="81" t="s">
        <v>291</v>
      </c>
      <c r="D364" s="81" t="s">
        <v>291</v>
      </c>
      <c r="E364" s="81" t="s">
        <v>220</v>
      </c>
      <c r="F364" s="80" t="s">
        <v>294</v>
      </c>
      <c r="G364" s="81" t="str">
        <f t="shared" si="153"/>
        <v>lending_cashloan_cashloan_VNPOST_disburse/spend</v>
      </c>
      <c r="H364" s="125"/>
      <c r="I364" s="84" t="s">
        <v>191</v>
      </c>
      <c r="J364" s="125">
        <f>SUM(M364:X364)</f>
        <v>37864400000</v>
      </c>
      <c r="K364" s="125"/>
      <c r="L364" s="125"/>
      <c r="M364" s="125"/>
      <c r="N364" s="84"/>
      <c r="O364" s="84"/>
      <c r="P364" s="84">
        <v>18900000</v>
      </c>
      <c r="Q364" s="84">
        <v>78100000</v>
      </c>
      <c r="R364" s="84">
        <v>595050000</v>
      </c>
      <c r="S364" s="82">
        <v>606800000</v>
      </c>
      <c r="T364" s="84">
        <v>611450000</v>
      </c>
      <c r="U364" s="84">
        <v>2503750000</v>
      </c>
      <c r="V364" s="84">
        <v>5961750000</v>
      </c>
      <c r="W364" s="125">
        <v>10022250000</v>
      </c>
      <c r="X364" s="125">
        <v>17466350000</v>
      </c>
      <c r="Y364" s="70">
        <f t="shared" si="140"/>
        <v>7444100000</v>
      </c>
    </row>
    <row r="365" spans="2:25" ht="16" hidden="1" x14ac:dyDescent="0.2">
      <c r="B365" s="121" t="s">
        <v>243</v>
      </c>
      <c r="C365" s="81" t="s">
        <v>291</v>
      </c>
      <c r="D365" s="81" t="s">
        <v>291</v>
      </c>
      <c r="E365" s="81" t="s">
        <v>220</v>
      </c>
      <c r="F365" s="124"/>
      <c r="G365" s="81" t="str">
        <f t="shared" si="153"/>
        <v>lending_cashloan_cashloan_VNPOST_</v>
      </c>
      <c r="H365" s="125"/>
      <c r="I365" s="84" t="s">
        <v>248</v>
      </c>
      <c r="J365" s="125">
        <f>SUM(M365:X365)</f>
        <v>28486500000</v>
      </c>
      <c r="K365" s="125"/>
      <c r="L365" s="125"/>
      <c r="M365" s="84"/>
      <c r="N365" s="84"/>
      <c r="O365" s="84"/>
      <c r="P365" s="84"/>
      <c r="Q365" s="125">
        <v>23100000</v>
      </c>
      <c r="R365" s="125">
        <v>442050000</v>
      </c>
      <c r="S365" s="82">
        <v>520800000</v>
      </c>
      <c r="T365" s="84">
        <v>492450000</v>
      </c>
      <c r="U365" s="84">
        <v>2052750000</v>
      </c>
      <c r="V365" s="125">
        <v>4950750000</v>
      </c>
      <c r="W365" s="125">
        <v>7103250000</v>
      </c>
      <c r="X365" s="125">
        <v>12901350000</v>
      </c>
      <c r="Y365" s="70">
        <f t="shared" si="140"/>
        <v>5798100000</v>
      </c>
    </row>
    <row r="366" spans="2:25" ht="16" hidden="1" x14ac:dyDescent="0.2">
      <c r="B366" s="121" t="s">
        <v>243</v>
      </c>
      <c r="C366" s="81" t="s">
        <v>291</v>
      </c>
      <c r="D366" s="81" t="s">
        <v>291</v>
      </c>
      <c r="E366" s="81" t="s">
        <v>220</v>
      </c>
      <c r="F366" s="124"/>
      <c r="G366" s="81" t="str">
        <f t="shared" si="153"/>
        <v>lending_cashloan_cashloan_VNPOST_</v>
      </c>
      <c r="H366" s="125"/>
      <c r="I366" s="84" t="s">
        <v>249</v>
      </c>
      <c r="J366" s="125">
        <f>SUM(M366:X366)</f>
        <v>9377900000</v>
      </c>
      <c r="K366" s="125">
        <f t="shared" ref="K366:X366" si="154">K364-K365</f>
        <v>0</v>
      </c>
      <c r="L366" s="125">
        <f t="shared" si="154"/>
        <v>0</v>
      </c>
      <c r="M366" s="125">
        <f t="shared" si="154"/>
        <v>0</v>
      </c>
      <c r="N366" s="125">
        <f t="shared" si="154"/>
        <v>0</v>
      </c>
      <c r="O366" s="125">
        <f t="shared" si="154"/>
        <v>0</v>
      </c>
      <c r="P366" s="125">
        <f t="shared" si="154"/>
        <v>18900000</v>
      </c>
      <c r="Q366" s="125">
        <f t="shared" si="154"/>
        <v>55000000</v>
      </c>
      <c r="R366" s="125">
        <f t="shared" si="154"/>
        <v>153000000</v>
      </c>
      <c r="S366" s="125">
        <f t="shared" si="154"/>
        <v>86000000</v>
      </c>
      <c r="T366" s="125">
        <f t="shared" si="154"/>
        <v>119000000</v>
      </c>
      <c r="U366" s="125">
        <f t="shared" si="154"/>
        <v>451000000</v>
      </c>
      <c r="V366" s="125">
        <f t="shared" si="154"/>
        <v>1011000000</v>
      </c>
      <c r="W366" s="125">
        <f t="shared" si="154"/>
        <v>2919000000</v>
      </c>
      <c r="X366" s="125">
        <f t="shared" si="154"/>
        <v>4565000000</v>
      </c>
      <c r="Y366" s="70">
        <f t="shared" si="140"/>
        <v>1646000000</v>
      </c>
    </row>
    <row r="367" spans="2:25" ht="16" hidden="1" x14ac:dyDescent="0.2">
      <c r="B367" s="121" t="s">
        <v>243</v>
      </c>
      <c r="C367" s="81" t="s">
        <v>291</v>
      </c>
      <c r="D367" s="81" t="s">
        <v>291</v>
      </c>
      <c r="E367" s="81" t="s">
        <v>220</v>
      </c>
      <c r="F367" s="80" t="s">
        <v>295</v>
      </c>
      <c r="G367" s="81" t="str">
        <f t="shared" si="153"/>
        <v>lending_cashloan_cashloan_VNPOST_ENR</v>
      </c>
      <c r="H367" s="125"/>
      <c r="I367" s="84" t="s">
        <v>250</v>
      </c>
      <c r="J367" s="125">
        <f>W367</f>
        <v>18483847677</v>
      </c>
      <c r="K367" s="84"/>
      <c r="L367" s="125"/>
      <c r="M367" s="84"/>
      <c r="N367" s="181"/>
      <c r="O367" s="84"/>
      <c r="P367" s="84">
        <v>31810609</v>
      </c>
      <c r="Q367" s="84">
        <v>107196374</v>
      </c>
      <c r="R367" s="84">
        <v>692239123</v>
      </c>
      <c r="S367" s="84">
        <v>1249560912</v>
      </c>
      <c r="T367" s="154">
        <v>1781017598</v>
      </c>
      <c r="U367" s="84">
        <v>4151089766</v>
      </c>
      <c r="V367" s="84">
        <v>9760122310</v>
      </c>
      <c r="W367" s="84">
        <v>18483847677</v>
      </c>
      <c r="X367" s="125">
        <v>34131452680</v>
      </c>
      <c r="Y367" s="70">
        <f t="shared" si="140"/>
        <v>15647605003</v>
      </c>
    </row>
    <row r="368" spans="2:25" hidden="1" x14ac:dyDescent="0.2">
      <c r="B368" s="121" t="s">
        <v>243</v>
      </c>
      <c r="C368" s="81" t="s">
        <v>291</v>
      </c>
      <c r="D368" s="81" t="s">
        <v>291</v>
      </c>
      <c r="E368" s="81" t="s">
        <v>220</v>
      </c>
      <c r="F368" s="124"/>
      <c r="G368" s="81" t="str">
        <f t="shared" si="153"/>
        <v>lending_cashloan_cashloan_VNPOST_</v>
      </c>
      <c r="H368" s="125"/>
      <c r="I368" s="127" t="s">
        <v>251</v>
      </c>
      <c r="J368" s="125">
        <f>X368</f>
        <v>34017464028</v>
      </c>
      <c r="K368" s="181">
        <f t="shared" ref="K368:X368" si="155">K367-K369</f>
        <v>0</v>
      </c>
      <c r="L368" s="181">
        <f t="shared" si="155"/>
        <v>0</v>
      </c>
      <c r="M368" s="181">
        <f t="shared" si="155"/>
        <v>0</v>
      </c>
      <c r="N368" s="181">
        <f t="shared" si="155"/>
        <v>0</v>
      </c>
      <c r="O368" s="181">
        <f t="shared" si="155"/>
        <v>0</v>
      </c>
      <c r="P368" s="181">
        <f t="shared" si="155"/>
        <v>31810609</v>
      </c>
      <c r="Q368" s="181">
        <f t="shared" si="155"/>
        <v>107196374</v>
      </c>
      <c r="R368" s="181">
        <f t="shared" si="155"/>
        <v>692239123</v>
      </c>
      <c r="S368" s="181">
        <f t="shared" si="155"/>
        <v>1249560912</v>
      </c>
      <c r="T368" s="181">
        <f t="shared" si="155"/>
        <v>1780023389</v>
      </c>
      <c r="U368" s="181">
        <f t="shared" si="155"/>
        <v>4147823664</v>
      </c>
      <c r="V368" s="181">
        <f t="shared" si="155"/>
        <v>9752549140</v>
      </c>
      <c r="W368" s="181">
        <f t="shared" si="155"/>
        <v>18447137215</v>
      </c>
      <c r="X368" s="181">
        <f t="shared" si="155"/>
        <v>34017464028</v>
      </c>
      <c r="Y368" s="70">
        <f t="shared" si="140"/>
        <v>15570326813</v>
      </c>
    </row>
    <row r="369" spans="2:27" hidden="1" x14ac:dyDescent="0.2">
      <c r="B369" s="121" t="s">
        <v>243</v>
      </c>
      <c r="C369" s="81" t="s">
        <v>291</v>
      </c>
      <c r="D369" s="81" t="s">
        <v>291</v>
      </c>
      <c r="E369" s="81" t="s">
        <v>220</v>
      </c>
      <c r="F369" s="124"/>
      <c r="G369" s="81" t="str">
        <f t="shared" si="153"/>
        <v>lending_cashloan_cashloan_VNPOST_</v>
      </c>
      <c r="H369" s="125"/>
      <c r="I369" s="127" t="s">
        <v>252</v>
      </c>
      <c r="J369" s="125">
        <f>X369</f>
        <v>113988652</v>
      </c>
      <c r="K369" s="155">
        <v>0</v>
      </c>
      <c r="L369" s="181"/>
      <c r="M369" s="181"/>
      <c r="N369" s="181"/>
      <c r="O369" s="155"/>
      <c r="P369" s="155"/>
      <c r="Q369" s="143"/>
      <c r="R369" s="128"/>
      <c r="S369" s="128"/>
      <c r="T369" s="128">
        <v>994209</v>
      </c>
      <c r="U369" s="155">
        <v>3266102</v>
      </c>
      <c r="V369" s="155">
        <v>7573170</v>
      </c>
      <c r="W369" s="155">
        <v>36710462</v>
      </c>
      <c r="X369" s="181">
        <v>113988652</v>
      </c>
      <c r="Y369" s="70">
        <f t="shared" si="140"/>
        <v>77278190</v>
      </c>
    </row>
    <row r="370" spans="2:27" hidden="1" x14ac:dyDescent="0.2">
      <c r="B370" s="121" t="s">
        <v>243</v>
      </c>
      <c r="C370" s="81" t="s">
        <v>291</v>
      </c>
      <c r="D370" s="81" t="s">
        <v>291</v>
      </c>
      <c r="E370" s="81" t="s">
        <v>220</v>
      </c>
      <c r="F370" s="124"/>
      <c r="G370" s="81" t="str">
        <f t="shared" si="153"/>
        <v>lending_cashloan_cashloan_VNPOST_</v>
      </c>
      <c r="H370" s="125"/>
      <c r="I370" s="126" t="s">
        <v>253</v>
      </c>
      <c r="J370" s="125"/>
      <c r="K370" s="155"/>
      <c r="L370" s="181"/>
      <c r="M370" s="181"/>
      <c r="N370" s="181"/>
      <c r="O370" s="194"/>
      <c r="P370" s="155"/>
      <c r="Q370" s="143"/>
      <c r="R370" s="128"/>
      <c r="S370" s="128"/>
      <c r="T370" s="188"/>
      <c r="U370" s="155"/>
      <c r="V370" s="155"/>
      <c r="W370" s="155">
        <v>9983673</v>
      </c>
      <c r="X370" s="181">
        <v>9983673</v>
      </c>
      <c r="Y370" s="70">
        <f t="shared" si="140"/>
        <v>0</v>
      </c>
    </row>
    <row r="371" spans="2:27" ht="16" hidden="1" x14ac:dyDescent="0.2">
      <c r="B371" s="121" t="s">
        <v>243</v>
      </c>
      <c r="C371" s="81" t="s">
        <v>291</v>
      </c>
      <c r="D371" s="81" t="s">
        <v>291</v>
      </c>
      <c r="E371" s="81" t="s">
        <v>220</v>
      </c>
      <c r="F371" s="80" t="s">
        <v>298</v>
      </c>
      <c r="G371" s="81" t="str">
        <f t="shared" si="153"/>
        <v>lending_cashloan_cashloan_VNPOST_overdue_balance_10d</v>
      </c>
      <c r="H371" s="125"/>
      <c r="I371" s="84" t="s">
        <v>254</v>
      </c>
      <c r="J371" s="125"/>
      <c r="K371" s="155"/>
      <c r="L371" s="181"/>
      <c r="M371" s="181"/>
      <c r="N371" s="181"/>
      <c r="O371" s="181"/>
      <c r="P371" s="181"/>
      <c r="Q371" s="181"/>
      <c r="R371" s="181"/>
      <c r="S371" s="182">
        <v>8104487</v>
      </c>
      <c r="T371" s="181">
        <v>18527905</v>
      </c>
      <c r="U371" s="181">
        <v>148354122</v>
      </c>
      <c r="V371" s="181">
        <v>218061852</v>
      </c>
      <c r="W371" s="181">
        <v>882659768</v>
      </c>
      <c r="X371" s="181"/>
      <c r="Y371" s="70">
        <f t="shared" si="140"/>
        <v>-882659768</v>
      </c>
    </row>
    <row r="372" spans="2:27" ht="16" hidden="1" x14ac:dyDescent="0.2">
      <c r="B372" s="121" t="s">
        <v>243</v>
      </c>
      <c r="C372" s="81" t="s">
        <v>291</v>
      </c>
      <c r="D372" s="81" t="s">
        <v>291</v>
      </c>
      <c r="E372" s="81" t="s">
        <v>220</v>
      </c>
      <c r="F372" s="80" t="s">
        <v>299</v>
      </c>
      <c r="G372" s="81" t="str">
        <f t="shared" si="153"/>
        <v>lending_cashloan_cashloan_VNPOST_overdue_balance_90d</v>
      </c>
      <c r="H372" s="125"/>
      <c r="I372" s="84" t="s">
        <v>255</v>
      </c>
      <c r="J372" s="125"/>
      <c r="K372" s="155"/>
      <c r="L372" s="181"/>
      <c r="M372" s="181"/>
      <c r="N372" s="181"/>
      <c r="O372" s="181"/>
      <c r="P372" s="181"/>
      <c r="Q372" s="181"/>
      <c r="R372" s="181"/>
      <c r="S372" s="181"/>
      <c r="T372" s="181"/>
      <c r="U372" s="181"/>
      <c r="V372" s="181"/>
      <c r="W372" s="181">
        <v>18819628</v>
      </c>
      <c r="X372" s="181"/>
      <c r="Y372" s="70">
        <f t="shared" si="140"/>
        <v>-18819628</v>
      </c>
    </row>
    <row r="373" spans="2:27" ht="16" hidden="1" x14ac:dyDescent="0.2">
      <c r="B373" s="121" t="s">
        <v>243</v>
      </c>
      <c r="C373" s="81" t="s">
        <v>291</v>
      </c>
      <c r="D373" s="81" t="s">
        <v>291</v>
      </c>
      <c r="E373" s="81" t="s">
        <v>220</v>
      </c>
      <c r="F373" s="124"/>
      <c r="G373" s="81" t="str">
        <f t="shared" si="153"/>
        <v>lending_cashloan_cashloan_VNPOST_</v>
      </c>
      <c r="H373" s="125"/>
      <c r="I373" s="84" t="s">
        <v>256</v>
      </c>
      <c r="J373" s="125"/>
      <c r="K373" s="84"/>
      <c r="L373" s="84"/>
      <c r="M373" s="84"/>
      <c r="N373" s="84"/>
      <c r="O373" s="84"/>
      <c r="P373" s="84"/>
      <c r="Q373" s="84"/>
      <c r="R373" s="84"/>
      <c r="S373" s="84">
        <f>S371-S372</f>
        <v>8104487</v>
      </c>
      <c r="T373" s="84">
        <f>T371-T372</f>
        <v>18527905</v>
      </c>
      <c r="U373" s="84">
        <f>U371-U372</f>
        <v>148354122</v>
      </c>
      <c r="V373" s="82"/>
      <c r="W373" s="82"/>
      <c r="X373" s="84"/>
      <c r="Y373" s="70">
        <f t="shared" si="140"/>
        <v>0</v>
      </c>
    </row>
    <row r="374" spans="2:27" ht="16" hidden="1" x14ac:dyDescent="0.2">
      <c r="B374" s="121" t="s">
        <v>243</v>
      </c>
      <c r="C374" s="81" t="s">
        <v>291</v>
      </c>
      <c r="D374" s="81" t="s">
        <v>291</v>
      </c>
      <c r="E374" s="81" t="s">
        <v>220</v>
      </c>
      <c r="F374" s="124"/>
      <c r="G374" s="81" t="str">
        <f t="shared" si="153"/>
        <v>lending_cashloan_cashloan_VNPOST_</v>
      </c>
      <c r="H374" s="125"/>
      <c r="I374" s="84" t="s">
        <v>257</v>
      </c>
      <c r="J374" s="125"/>
      <c r="K374" s="177"/>
      <c r="L374" s="177"/>
      <c r="M374" s="177"/>
      <c r="N374" s="177"/>
      <c r="O374" s="177"/>
      <c r="P374" s="177">
        <f t="shared" ref="P374:X374" si="156">P372/P367</f>
        <v>0</v>
      </c>
      <c r="Q374" s="177">
        <f t="shared" si="156"/>
        <v>0</v>
      </c>
      <c r="R374" s="177">
        <f t="shared" si="156"/>
        <v>0</v>
      </c>
      <c r="S374" s="177">
        <f t="shared" si="156"/>
        <v>0</v>
      </c>
      <c r="T374" s="177">
        <f t="shared" si="156"/>
        <v>0</v>
      </c>
      <c r="U374" s="177">
        <f t="shared" si="156"/>
        <v>0</v>
      </c>
      <c r="V374" s="177">
        <f t="shared" si="156"/>
        <v>0</v>
      </c>
      <c r="W374" s="177">
        <f t="shared" si="156"/>
        <v>1.0181661485675314E-3</v>
      </c>
      <c r="X374" s="177">
        <f t="shared" si="156"/>
        <v>0</v>
      </c>
      <c r="Y374" s="70">
        <f t="shared" si="140"/>
        <v>-1.0181661485675314E-3</v>
      </c>
    </row>
    <row r="375" spans="2:27" ht="16" hidden="1" x14ac:dyDescent="0.2">
      <c r="B375" s="121" t="s">
        <v>243</v>
      </c>
      <c r="C375" s="81" t="s">
        <v>291</v>
      </c>
      <c r="D375" s="81" t="s">
        <v>291</v>
      </c>
      <c r="E375" s="81" t="s">
        <v>220</v>
      </c>
      <c r="F375" s="80" t="s">
        <v>258</v>
      </c>
      <c r="G375" s="81" t="str">
        <f t="shared" si="153"/>
        <v>lending_cashloan_cashloan_VNPOST_npl</v>
      </c>
      <c r="H375" s="125"/>
      <c r="I375" s="84" t="s">
        <v>259</v>
      </c>
      <c r="J375" s="125"/>
      <c r="K375" s="177"/>
      <c r="L375" s="177"/>
      <c r="M375" s="177"/>
      <c r="N375" s="177"/>
      <c r="O375" s="177"/>
      <c r="P375" s="177">
        <f t="shared" ref="P375:X375" si="157">P373/P367</f>
        <v>0</v>
      </c>
      <c r="Q375" s="177">
        <f t="shared" si="157"/>
        <v>0</v>
      </c>
      <c r="R375" s="177">
        <f t="shared" si="157"/>
        <v>0</v>
      </c>
      <c r="S375" s="177">
        <f t="shared" si="157"/>
        <v>6.4858678934092652E-3</v>
      </c>
      <c r="T375" s="177">
        <f t="shared" si="157"/>
        <v>1.0402988168564969E-2</v>
      </c>
      <c r="U375" s="177">
        <f t="shared" si="157"/>
        <v>3.5738596456070949E-2</v>
      </c>
      <c r="V375" s="177">
        <f>V373/V367</f>
        <v>0</v>
      </c>
      <c r="W375" s="177">
        <f>W373/W367</f>
        <v>0</v>
      </c>
      <c r="X375" s="177">
        <f t="shared" si="157"/>
        <v>0</v>
      </c>
      <c r="Y375" s="70">
        <f t="shared" si="140"/>
        <v>0</v>
      </c>
    </row>
    <row r="376" spans="2:27" hidden="1" x14ac:dyDescent="0.2">
      <c r="B376" s="121" t="s">
        <v>243</v>
      </c>
      <c r="C376" s="81" t="s">
        <v>291</v>
      </c>
      <c r="D376" s="81" t="s">
        <v>291</v>
      </c>
      <c r="E376" s="81" t="s">
        <v>220</v>
      </c>
      <c r="F376" s="80" t="s">
        <v>260</v>
      </c>
      <c r="G376" s="81" t="str">
        <f t="shared" si="153"/>
        <v>lending_cashloan_cashloan_VNPOST_TOI</v>
      </c>
      <c r="H376" s="125"/>
      <c r="I376" s="130" t="s">
        <v>260</v>
      </c>
      <c r="J376" s="131">
        <f t="shared" ref="J376:X376" si="158">J377+J382+J386</f>
        <v>2877741197</v>
      </c>
      <c r="K376" s="131">
        <f t="shared" si="158"/>
        <v>0</v>
      </c>
      <c r="L376" s="131">
        <f t="shared" si="158"/>
        <v>0</v>
      </c>
      <c r="M376" s="131">
        <f t="shared" si="158"/>
        <v>0</v>
      </c>
      <c r="N376" s="131">
        <f t="shared" si="158"/>
        <v>0</v>
      </c>
      <c r="O376" s="131">
        <f t="shared" si="158"/>
        <v>0</v>
      </c>
      <c r="P376" s="131">
        <f t="shared" si="158"/>
        <v>0</v>
      </c>
      <c r="Q376" s="131">
        <f t="shared" si="158"/>
        <v>2615312</v>
      </c>
      <c r="R376" s="131">
        <f t="shared" si="158"/>
        <v>30531307</v>
      </c>
      <c r="S376" s="131">
        <f t="shared" si="158"/>
        <v>54665891</v>
      </c>
      <c r="T376" s="131">
        <f t="shared" si="158"/>
        <v>72265236</v>
      </c>
      <c r="U376" s="131">
        <f t="shared" si="158"/>
        <v>171918967</v>
      </c>
      <c r="V376" s="131">
        <f t="shared" si="158"/>
        <v>440610628</v>
      </c>
      <c r="W376" s="131">
        <f t="shared" si="158"/>
        <v>741016138</v>
      </c>
      <c r="X376" s="131">
        <f t="shared" si="158"/>
        <v>1364117718</v>
      </c>
      <c r="Y376" s="70">
        <f t="shared" si="140"/>
        <v>623101580</v>
      </c>
    </row>
    <row r="377" spans="2:27" hidden="1" x14ac:dyDescent="0.2">
      <c r="B377" s="121" t="s">
        <v>243</v>
      </c>
      <c r="C377" s="81" t="s">
        <v>291</v>
      </c>
      <c r="D377" s="81" t="s">
        <v>291</v>
      </c>
      <c r="E377" s="81" t="s">
        <v>220</v>
      </c>
      <c r="F377" s="80" t="s">
        <v>300</v>
      </c>
      <c r="G377" s="81" t="str">
        <f t="shared" si="153"/>
        <v>lending_cashloan_cashloan_VNPOST_NII</v>
      </c>
      <c r="H377" s="125"/>
      <c r="I377" s="132" t="s">
        <v>261</v>
      </c>
      <c r="J377" s="131">
        <f t="shared" ref="J377:X377" si="159">J378-J381</f>
        <v>1668140089</v>
      </c>
      <c r="K377" s="131">
        <f t="shared" si="159"/>
        <v>0</v>
      </c>
      <c r="L377" s="131">
        <f t="shared" si="159"/>
        <v>0</v>
      </c>
      <c r="M377" s="131">
        <f t="shared" si="159"/>
        <v>0</v>
      </c>
      <c r="N377" s="131">
        <f t="shared" si="159"/>
        <v>0</v>
      </c>
      <c r="O377" s="131">
        <f t="shared" si="159"/>
        <v>0</v>
      </c>
      <c r="P377" s="131">
        <f t="shared" si="159"/>
        <v>0</v>
      </c>
      <c r="Q377" s="131">
        <f t="shared" si="159"/>
        <v>1673460</v>
      </c>
      <c r="R377" s="131">
        <f t="shared" si="159"/>
        <v>12507687</v>
      </c>
      <c r="S377" s="131">
        <f t="shared" si="159"/>
        <v>33622984</v>
      </c>
      <c r="T377" s="131">
        <f t="shared" si="159"/>
        <v>52356796</v>
      </c>
      <c r="U377" s="131">
        <f t="shared" si="159"/>
        <v>89389307</v>
      </c>
      <c r="V377" s="131">
        <f t="shared" si="159"/>
        <v>239305726</v>
      </c>
      <c r="W377" s="131">
        <f t="shared" si="159"/>
        <v>428536763</v>
      </c>
      <c r="X377" s="131">
        <f t="shared" si="159"/>
        <v>810747366</v>
      </c>
      <c r="Y377" s="70">
        <f t="shared" si="140"/>
        <v>382210603</v>
      </c>
    </row>
    <row r="378" spans="2:27" ht="16" hidden="1" x14ac:dyDescent="0.2">
      <c r="B378" s="121" t="s">
        <v>243</v>
      </c>
      <c r="C378" s="81" t="s">
        <v>291</v>
      </c>
      <c r="D378" s="81" t="s">
        <v>291</v>
      </c>
      <c r="E378" s="81" t="s">
        <v>220</v>
      </c>
      <c r="F378" s="80" t="s">
        <v>301</v>
      </c>
      <c r="G378" s="81" t="str">
        <f t="shared" si="153"/>
        <v>lending_cashloan_cashloan_VNPOST_CII</v>
      </c>
      <c r="H378" s="125"/>
      <c r="I378" s="134" t="s">
        <v>262</v>
      </c>
      <c r="J378" s="125">
        <f>SUM(M378:X378)</f>
        <v>1994268360</v>
      </c>
      <c r="K378" s="125">
        <f>K379+0-K380</f>
        <v>0</v>
      </c>
      <c r="L378" s="125">
        <f t="shared" ref="L378:W378" si="160">L379+K380-L380</f>
        <v>0</v>
      </c>
      <c r="M378" s="125">
        <f t="shared" si="160"/>
        <v>0</v>
      </c>
      <c r="N378" s="125">
        <f t="shared" si="160"/>
        <v>0</v>
      </c>
      <c r="O378" s="125">
        <f t="shared" si="160"/>
        <v>0</v>
      </c>
      <c r="P378" s="125">
        <f t="shared" si="160"/>
        <v>0</v>
      </c>
      <c r="Q378" s="125">
        <f t="shared" si="160"/>
        <v>1911863</v>
      </c>
      <c r="R378" s="125">
        <f t="shared" si="160"/>
        <v>14193720</v>
      </c>
      <c r="S378" s="125">
        <f t="shared" si="160"/>
        <v>38815161</v>
      </c>
      <c r="T378" s="125">
        <f t="shared" si="160"/>
        <v>61096162</v>
      </c>
      <c r="U378" s="125">
        <f t="shared" si="160"/>
        <v>104306355</v>
      </c>
      <c r="V378" s="125">
        <f t="shared" si="160"/>
        <v>282755314</v>
      </c>
      <c r="W378" s="125">
        <f t="shared" si="160"/>
        <v>512881389</v>
      </c>
      <c r="X378" s="125">
        <f>X379+W380-X380</f>
        <v>978308396</v>
      </c>
      <c r="Y378" s="70">
        <f t="shared" si="140"/>
        <v>465427007</v>
      </c>
    </row>
    <row r="379" spans="2:27" ht="16" hidden="1" x14ac:dyDescent="0.2">
      <c r="B379" s="121" t="s">
        <v>243</v>
      </c>
      <c r="C379" s="81" t="s">
        <v>291</v>
      </c>
      <c r="D379" s="81" t="s">
        <v>291</v>
      </c>
      <c r="E379" s="81" t="s">
        <v>220</v>
      </c>
      <c r="F379" s="80"/>
      <c r="G379" s="81" t="str">
        <f t="shared" si="153"/>
        <v>lending_cashloan_cashloan_VNPOST_</v>
      </c>
      <c r="H379" s="125"/>
      <c r="I379" s="183" t="s">
        <v>263</v>
      </c>
      <c r="J379" s="136">
        <f>SUM(M379:X379)</f>
        <v>2053555766</v>
      </c>
      <c r="K379" s="136"/>
      <c r="L379" s="136"/>
      <c r="M379" s="136"/>
      <c r="N379" s="136"/>
      <c r="O379" s="136">
        <v>0</v>
      </c>
      <c r="P379" s="136">
        <v>0</v>
      </c>
      <c r="Q379" s="136">
        <v>1911863</v>
      </c>
      <c r="R379" s="136">
        <v>14193720</v>
      </c>
      <c r="S379" s="136">
        <v>38874002</v>
      </c>
      <c r="T379" s="136">
        <v>61536947</v>
      </c>
      <c r="U379" s="136">
        <v>104859015</v>
      </c>
      <c r="V379" s="136">
        <v>287387404</v>
      </c>
      <c r="W379" s="125">
        <v>530878329</v>
      </c>
      <c r="X379" s="136">
        <v>1013914486</v>
      </c>
      <c r="Y379" s="70">
        <f t="shared" si="140"/>
        <v>483036157</v>
      </c>
    </row>
    <row r="380" spans="2:27" ht="16" hidden="1" x14ac:dyDescent="0.2">
      <c r="B380" s="121" t="s">
        <v>243</v>
      </c>
      <c r="C380" s="81" t="s">
        <v>291</v>
      </c>
      <c r="D380" s="81" t="s">
        <v>291</v>
      </c>
      <c r="E380" s="81" t="s">
        <v>220</v>
      </c>
      <c r="F380" s="124"/>
      <c r="G380" s="81" t="str">
        <f t="shared" si="153"/>
        <v>lending_cashloan_cashloan_VNPOST_</v>
      </c>
      <c r="H380" s="125"/>
      <c r="I380" s="183" t="s">
        <v>264</v>
      </c>
      <c r="J380" s="136">
        <f>SUM(M380:X380)</f>
        <v>90263851</v>
      </c>
      <c r="K380" s="136"/>
      <c r="L380" s="136"/>
      <c r="M380" s="136"/>
      <c r="N380" s="136"/>
      <c r="O380" s="136"/>
      <c r="P380" s="136"/>
      <c r="Q380" s="136"/>
      <c r="R380" s="136"/>
      <c r="S380" s="136">
        <v>58841</v>
      </c>
      <c r="T380" s="136">
        <v>499626</v>
      </c>
      <c r="U380" s="136">
        <v>1052286</v>
      </c>
      <c r="V380" s="125">
        <v>5684376</v>
      </c>
      <c r="W380" s="136">
        <v>23681316</v>
      </c>
      <c r="X380" s="136">
        <v>59287406</v>
      </c>
      <c r="Y380" s="70">
        <f t="shared" si="140"/>
        <v>35606090</v>
      </c>
      <c r="Z380" s="70"/>
      <c r="AA380" s="70"/>
    </row>
    <row r="381" spans="2:27" ht="16" hidden="1" x14ac:dyDescent="0.2">
      <c r="B381" s="121" t="s">
        <v>243</v>
      </c>
      <c r="C381" s="81" t="s">
        <v>291</v>
      </c>
      <c r="D381" s="81" t="s">
        <v>291</v>
      </c>
      <c r="E381" s="81" t="s">
        <v>220</v>
      </c>
      <c r="F381" s="80" t="s">
        <v>62</v>
      </c>
      <c r="G381" s="81" t="str">
        <f t="shared" si="153"/>
        <v>lending_cashloan_cashloan_VNPOST_COF</v>
      </c>
      <c r="H381" s="125"/>
      <c r="I381" s="134" t="s">
        <v>62</v>
      </c>
      <c r="J381" s="125">
        <f>SUM(M381:X381)</f>
        <v>326128271</v>
      </c>
      <c r="K381" s="154"/>
      <c r="L381" s="143"/>
      <c r="M381" s="84"/>
      <c r="N381" s="84"/>
      <c r="O381" s="84"/>
      <c r="P381" s="125">
        <v>0</v>
      </c>
      <c r="Q381" s="84">
        <v>238403</v>
      </c>
      <c r="R381" s="84">
        <v>1686033</v>
      </c>
      <c r="S381" s="82">
        <v>5192177</v>
      </c>
      <c r="T381" s="82">
        <v>8739366</v>
      </c>
      <c r="U381" s="82">
        <v>14917048</v>
      </c>
      <c r="V381" s="125">
        <v>43449588</v>
      </c>
      <c r="W381" s="154">
        <v>84344626</v>
      </c>
      <c r="X381" s="154">
        <v>167561030</v>
      </c>
      <c r="Y381" s="70">
        <f t="shared" si="140"/>
        <v>83216404</v>
      </c>
    </row>
    <row r="382" spans="2:27" hidden="1" x14ac:dyDescent="0.2">
      <c r="B382" s="121" t="s">
        <v>243</v>
      </c>
      <c r="C382" s="81" t="s">
        <v>291</v>
      </c>
      <c r="D382" s="81" t="s">
        <v>291</v>
      </c>
      <c r="E382" s="81" t="s">
        <v>220</v>
      </c>
      <c r="F382" s="80" t="s">
        <v>302</v>
      </c>
      <c r="G382" s="81" t="str">
        <f t="shared" si="153"/>
        <v>lending_cashloan_cashloan_VNPOST_NFI</v>
      </c>
      <c r="H382" s="125"/>
      <c r="I382" s="132" t="s">
        <v>265</v>
      </c>
      <c r="J382" s="131">
        <f t="shared" ref="J382:X382" si="161">SUM(J383:J385)</f>
        <v>1209601108</v>
      </c>
      <c r="K382" s="131">
        <f t="shared" si="161"/>
        <v>0</v>
      </c>
      <c r="L382" s="131">
        <f t="shared" si="161"/>
        <v>0</v>
      </c>
      <c r="M382" s="131">
        <f t="shared" si="161"/>
        <v>0</v>
      </c>
      <c r="N382" s="131">
        <f t="shared" si="161"/>
        <v>0</v>
      </c>
      <c r="O382" s="131">
        <f t="shared" si="161"/>
        <v>0</v>
      </c>
      <c r="P382" s="131">
        <f t="shared" si="161"/>
        <v>0</v>
      </c>
      <c r="Q382" s="131">
        <f t="shared" si="161"/>
        <v>941852</v>
      </c>
      <c r="R382" s="131">
        <f t="shared" si="161"/>
        <v>18023620</v>
      </c>
      <c r="S382" s="131">
        <f t="shared" si="161"/>
        <v>21042907</v>
      </c>
      <c r="T382" s="131">
        <f t="shared" si="161"/>
        <v>19908440</v>
      </c>
      <c r="U382" s="131">
        <f t="shared" si="161"/>
        <v>82529660</v>
      </c>
      <c r="V382" s="131">
        <f t="shared" si="161"/>
        <v>201304902</v>
      </c>
      <c r="W382" s="131">
        <f t="shared" si="161"/>
        <v>312479375</v>
      </c>
      <c r="X382" s="131">
        <f t="shared" si="161"/>
        <v>553370352</v>
      </c>
      <c r="Y382" s="70">
        <f t="shared" si="140"/>
        <v>240890977</v>
      </c>
    </row>
    <row r="383" spans="2:27" ht="16" hidden="1" x14ac:dyDescent="0.2">
      <c r="B383" s="121" t="s">
        <v>243</v>
      </c>
      <c r="C383" s="81" t="s">
        <v>291</v>
      </c>
      <c r="D383" s="81" t="s">
        <v>291</v>
      </c>
      <c r="E383" s="81" t="s">
        <v>220</v>
      </c>
      <c r="F383" s="80" t="s">
        <v>303</v>
      </c>
      <c r="G383" s="81" t="str">
        <f t="shared" si="153"/>
        <v>lending_cashloan_cashloan_VNPOST_insurance_fee</v>
      </c>
      <c r="H383" s="125"/>
      <c r="I383" s="134" t="s">
        <v>266</v>
      </c>
      <c r="J383" s="136">
        <f>SUM(M383:X383)</f>
        <v>1145693881</v>
      </c>
      <c r="K383" s="136"/>
      <c r="L383" s="164"/>
      <c r="M383" s="164"/>
      <c r="N383" s="64"/>
      <c r="O383" s="162">
        <v>0</v>
      </c>
      <c r="P383" s="162"/>
      <c r="Q383" s="125">
        <v>941852</v>
      </c>
      <c r="R383" s="125">
        <v>18023620</v>
      </c>
      <c r="S383" s="125">
        <v>20727907</v>
      </c>
      <c r="T383" s="136">
        <v>19593440</v>
      </c>
      <c r="U383" s="136">
        <v>81693375</v>
      </c>
      <c r="V383" s="136">
        <v>197569613</v>
      </c>
      <c r="W383" s="136">
        <v>286601389</v>
      </c>
      <c r="X383" s="164">
        <v>520542685</v>
      </c>
      <c r="Y383" s="70">
        <f t="shared" si="140"/>
        <v>233941296</v>
      </c>
    </row>
    <row r="384" spans="2:27" ht="16" hidden="1" x14ac:dyDescent="0.2">
      <c r="B384" s="121" t="s">
        <v>243</v>
      </c>
      <c r="C384" s="81" t="s">
        <v>291</v>
      </c>
      <c r="D384" s="81" t="s">
        <v>291</v>
      </c>
      <c r="E384" s="81" t="s">
        <v>220</v>
      </c>
      <c r="F384" s="80" t="s">
        <v>304</v>
      </c>
      <c r="G384" s="81" t="str">
        <f t="shared" si="153"/>
        <v>lending_cashloan_cashloan_VNPOST_early_terminate_fee</v>
      </c>
      <c r="H384" s="125"/>
      <c r="I384" s="134" t="s">
        <v>267</v>
      </c>
      <c r="J384" s="136">
        <f>SUM(M384:X384)</f>
        <v>63907227</v>
      </c>
      <c r="K384" s="136"/>
      <c r="L384" s="136"/>
      <c r="M384" s="162">
        <v>0</v>
      </c>
      <c r="N384" s="162"/>
      <c r="O384" s="162">
        <v>0</v>
      </c>
      <c r="P384" s="162"/>
      <c r="Q384" s="143"/>
      <c r="R384" s="136"/>
      <c r="S384" s="125">
        <v>315000</v>
      </c>
      <c r="T384" s="125">
        <v>315000</v>
      </c>
      <c r="U384" s="125">
        <v>836285</v>
      </c>
      <c r="V384" s="125">
        <v>3735289</v>
      </c>
      <c r="W384" s="136">
        <v>25877986</v>
      </c>
      <c r="X384" s="136">
        <v>32827667</v>
      </c>
      <c r="Y384" s="70">
        <f t="shared" si="140"/>
        <v>6949681</v>
      </c>
    </row>
    <row r="385" spans="2:25" ht="16" hidden="1" x14ac:dyDescent="0.2">
      <c r="B385" s="121" t="s">
        <v>243</v>
      </c>
      <c r="C385" s="81" t="s">
        <v>291</v>
      </c>
      <c r="D385" s="81" t="s">
        <v>291</v>
      </c>
      <c r="E385" s="81" t="s">
        <v>220</v>
      </c>
      <c r="F385" s="80" t="s">
        <v>305</v>
      </c>
      <c r="G385" s="81" t="str">
        <f t="shared" si="153"/>
        <v>lending_cashloan_cashloan_VNPOST_loan_grant_fee</v>
      </c>
      <c r="H385" s="125"/>
      <c r="I385" s="134" t="s">
        <v>187</v>
      </c>
      <c r="J385" s="136">
        <f>SUM(M385:X385)</f>
        <v>0</v>
      </c>
      <c r="K385" s="136"/>
      <c r="L385" s="136"/>
      <c r="M385" s="162"/>
      <c r="N385" s="162"/>
      <c r="O385" s="162"/>
      <c r="P385" s="162"/>
      <c r="Q385" s="162"/>
      <c r="R385" s="136"/>
      <c r="S385" s="164"/>
      <c r="T385" s="136"/>
      <c r="U385" s="136"/>
      <c r="V385" s="136"/>
      <c r="W385" s="136"/>
      <c r="X385" s="136"/>
      <c r="Y385" s="70">
        <f t="shared" si="140"/>
        <v>0</v>
      </c>
    </row>
    <row r="386" spans="2:25" hidden="1" x14ac:dyDescent="0.2">
      <c r="B386" s="121" t="s">
        <v>243</v>
      </c>
      <c r="C386" s="81" t="s">
        <v>291</v>
      </c>
      <c r="D386" s="81" t="s">
        <v>291</v>
      </c>
      <c r="E386" s="81" t="s">
        <v>220</v>
      </c>
      <c r="F386" s="80" t="s">
        <v>306</v>
      </c>
      <c r="G386" s="81" t="str">
        <f t="shared" si="153"/>
        <v>lending_cashloan_cashloan_VNPOST_other_TOI</v>
      </c>
      <c r="H386" s="125"/>
      <c r="I386" s="132" t="s">
        <v>269</v>
      </c>
      <c r="J386" s="178">
        <f>SUM(M386:X386)</f>
        <v>0</v>
      </c>
      <c r="K386" s="136"/>
      <c r="L386" s="136"/>
      <c r="M386" s="162"/>
      <c r="N386" s="162"/>
      <c r="O386" s="162"/>
      <c r="P386" s="162"/>
      <c r="Q386" s="162"/>
      <c r="R386" s="136"/>
      <c r="S386" s="164"/>
      <c r="T386" s="136"/>
      <c r="U386" s="140"/>
      <c r="V386" s="136"/>
      <c r="W386" s="136"/>
      <c r="X386" s="136"/>
      <c r="Y386" s="70">
        <f t="shared" si="140"/>
        <v>0</v>
      </c>
    </row>
    <row r="387" spans="2:25" s="54" customFormat="1" hidden="1" x14ac:dyDescent="0.2">
      <c r="B387" s="121" t="s">
        <v>243</v>
      </c>
      <c r="C387" s="81" t="s">
        <v>291</v>
      </c>
      <c r="D387" s="81" t="s">
        <v>291</v>
      </c>
      <c r="E387" s="81" t="s">
        <v>220</v>
      </c>
      <c r="F387" s="80" t="s">
        <v>307</v>
      </c>
      <c r="G387" s="81" t="str">
        <f t="shared" si="153"/>
        <v>lending_cashloan_cashloan_VNPOST_provision</v>
      </c>
      <c r="H387" s="125"/>
      <c r="I387" s="140" t="s">
        <v>270</v>
      </c>
      <c r="J387" s="131">
        <f>SUM(M387:X387)</f>
        <v>373418743</v>
      </c>
      <c r="K387" s="131"/>
      <c r="L387" s="168"/>
      <c r="M387" s="168"/>
      <c r="N387" s="184"/>
      <c r="O387" s="184">
        <v>0</v>
      </c>
      <c r="P387" s="140"/>
      <c r="Q387" s="131">
        <v>565393</v>
      </c>
      <c r="R387" s="131">
        <v>4387820</v>
      </c>
      <c r="S387" s="131">
        <v>4585141</v>
      </c>
      <c r="T387" s="168">
        <v>4507089</v>
      </c>
      <c r="U387" s="168">
        <f>19504896+4761956</f>
        <v>24266852</v>
      </c>
      <c r="V387" s="168">
        <v>45553150</v>
      </c>
      <c r="W387" s="131">
        <v>101480748</v>
      </c>
      <c r="X387" s="168">
        <v>188072550</v>
      </c>
      <c r="Y387" s="70">
        <f t="shared" si="140"/>
        <v>86591802</v>
      </c>
    </row>
    <row r="388" spans="2:25" hidden="1" x14ac:dyDescent="0.2">
      <c r="B388" s="121" t="s">
        <v>243</v>
      </c>
      <c r="C388" s="81" t="s">
        <v>291</v>
      </c>
      <c r="D388" s="81" t="s">
        <v>291</v>
      </c>
      <c r="E388" s="81" t="s">
        <v>220</v>
      </c>
      <c r="F388" s="80" t="s">
        <v>308</v>
      </c>
      <c r="G388" s="81" t="str">
        <f t="shared" si="153"/>
        <v>lending_cashloan_cashloan_VNPOST_variable_cost</v>
      </c>
      <c r="H388" s="125"/>
      <c r="I388" s="140" t="s">
        <v>271</v>
      </c>
      <c r="J388" s="131">
        <f t="shared" ref="J388:X388" si="162">SUM(J389:J396)</f>
        <v>777384690.37263536</v>
      </c>
      <c r="K388" s="131">
        <f t="shared" si="162"/>
        <v>0</v>
      </c>
      <c r="L388" s="131">
        <f t="shared" si="162"/>
        <v>0</v>
      </c>
      <c r="M388" s="131">
        <f t="shared" si="162"/>
        <v>0</v>
      </c>
      <c r="N388" s="131">
        <f t="shared" si="162"/>
        <v>0</v>
      </c>
      <c r="O388" s="131">
        <f t="shared" si="162"/>
        <v>0</v>
      </c>
      <c r="P388" s="131">
        <f t="shared" si="162"/>
        <v>0</v>
      </c>
      <c r="Q388" s="131">
        <f t="shared" si="162"/>
        <v>2531011.6898569674</v>
      </c>
      <c r="R388" s="131">
        <f t="shared" si="162"/>
        <v>11664929.868694576</v>
      </c>
      <c r="S388" s="131">
        <f t="shared" si="162"/>
        <v>24113388.565026298</v>
      </c>
      <c r="T388" s="131">
        <f t="shared" si="162"/>
        <v>30917099.92908743</v>
      </c>
      <c r="U388" s="131">
        <f t="shared" si="162"/>
        <v>74599330.491929352</v>
      </c>
      <c r="V388" s="131">
        <f t="shared" si="162"/>
        <v>167997555.32115066</v>
      </c>
      <c r="W388" s="131">
        <f t="shared" si="162"/>
        <v>303994446.9450466</v>
      </c>
      <c r="X388" s="131">
        <f t="shared" si="162"/>
        <v>161566927.56184351</v>
      </c>
      <c r="Y388" s="70">
        <f t="shared" ref="Y388:Y436" si="163">X388-W388</f>
        <v>-142427519.38320309</v>
      </c>
    </row>
    <row r="389" spans="2:25" ht="16" hidden="1" x14ac:dyDescent="0.2">
      <c r="B389" s="121" t="s">
        <v>243</v>
      </c>
      <c r="C389" s="81" t="s">
        <v>291</v>
      </c>
      <c r="D389" s="81" t="s">
        <v>291</v>
      </c>
      <c r="E389" s="81" t="s">
        <v>220</v>
      </c>
      <c r="F389" s="80" t="s">
        <v>198</v>
      </c>
      <c r="G389" s="81" t="str">
        <f t="shared" si="153"/>
        <v>lending_cashloan_cashloan_VNPOST_marketing_acquisition_cost</v>
      </c>
      <c r="H389" s="125"/>
      <c r="I389" s="142" t="s">
        <v>272</v>
      </c>
      <c r="J389" s="125">
        <f t="shared" ref="J389:J394" si="164">SUM(M389:X389)</f>
        <v>0</v>
      </c>
      <c r="K389" s="122"/>
      <c r="L389" s="122"/>
      <c r="M389" s="84"/>
      <c r="N389" s="84"/>
      <c r="O389" s="84"/>
      <c r="P389" s="122"/>
      <c r="Q389" s="84"/>
      <c r="R389" s="143"/>
      <c r="S389" s="125"/>
      <c r="T389" s="125"/>
      <c r="U389" s="190"/>
      <c r="V389" s="122"/>
      <c r="W389" s="122"/>
      <c r="X389" s="122"/>
      <c r="Y389" s="70">
        <f t="shared" si="163"/>
        <v>0</v>
      </c>
    </row>
    <row r="390" spans="2:25" ht="16" hidden="1" x14ac:dyDescent="0.2">
      <c r="B390" s="121" t="s">
        <v>243</v>
      </c>
      <c r="C390" s="81" t="s">
        <v>291</v>
      </c>
      <c r="D390" s="81" t="s">
        <v>291</v>
      </c>
      <c r="E390" s="81" t="s">
        <v>220</v>
      </c>
      <c r="F390" s="80" t="s">
        <v>309</v>
      </c>
      <c r="G390" s="81" t="str">
        <f t="shared" si="153"/>
        <v>lending_cashloan_cashloan_VNPOST_partner_acquisition_cost</v>
      </c>
      <c r="H390" s="125"/>
      <c r="I390" s="142" t="s">
        <v>202</v>
      </c>
      <c r="J390" s="131">
        <f t="shared" si="164"/>
        <v>652876498</v>
      </c>
      <c r="K390" s="187"/>
      <c r="L390" s="140"/>
      <c r="M390" s="168"/>
      <c r="N390" s="184"/>
      <c r="O390" s="140"/>
      <c r="P390" s="131"/>
      <c r="Q390" s="191">
        <v>1033641</v>
      </c>
      <c r="R390" s="191">
        <v>6348934</v>
      </c>
      <c r="S390" s="125">
        <v>18520298</v>
      </c>
      <c r="T390" s="125">
        <v>24421865</v>
      </c>
      <c r="U390" s="125">
        <f>48120000+18006559</f>
        <v>66126559</v>
      </c>
      <c r="V390" s="125">
        <v>150852120</v>
      </c>
      <c r="W390" s="125">
        <f>193680000 + 82854199</f>
        <v>276534199</v>
      </c>
      <c r="X390" s="125">
        <v>109038882</v>
      </c>
      <c r="Y390" s="70">
        <f t="shared" si="163"/>
        <v>-167495317</v>
      </c>
    </row>
    <row r="391" spans="2:25" ht="16" hidden="1" x14ac:dyDescent="0.2">
      <c r="B391" s="121" t="s">
        <v>243</v>
      </c>
      <c r="C391" s="81" t="s">
        <v>291</v>
      </c>
      <c r="D391" s="81" t="s">
        <v>291</v>
      </c>
      <c r="E391" s="81" t="s">
        <v>220</v>
      </c>
      <c r="F391" s="80" t="s">
        <v>310</v>
      </c>
      <c r="G391" s="81" t="str">
        <f t="shared" si="153"/>
        <v>lending_cashloan_cashloan_VNPOST_underwritting</v>
      </c>
      <c r="H391" s="125"/>
      <c r="I391" s="142" t="s">
        <v>273</v>
      </c>
      <c r="J391" s="125">
        <f t="shared" si="164"/>
        <v>106995047.74382629</v>
      </c>
      <c r="K391" s="125"/>
      <c r="L391" s="125"/>
      <c r="M391" s="170">
        <v>0</v>
      </c>
      <c r="N391" s="170">
        <v>0</v>
      </c>
      <c r="O391" s="170">
        <v>0</v>
      </c>
      <c r="P391" s="170">
        <v>0</v>
      </c>
      <c r="Q391" s="170">
        <v>1407925.7706225375</v>
      </c>
      <c r="R391" s="170">
        <v>5005609.0230113761</v>
      </c>
      <c r="S391" s="125">
        <v>5066794.1121780435</v>
      </c>
      <c r="T391" s="125">
        <v>5844294.4217547914</v>
      </c>
      <c r="U391" s="125">
        <v>7181137.5487599783</v>
      </c>
      <c r="V391" s="125">
        <v>14941724.72156358</v>
      </c>
      <c r="W391" s="125">
        <v>22846706.785647172</v>
      </c>
      <c r="X391" s="125">
        <v>44700855.360288799</v>
      </c>
      <c r="Y391" s="70">
        <f t="shared" si="163"/>
        <v>21854148.574641626</v>
      </c>
    </row>
    <row r="392" spans="2:25" ht="16" hidden="1" x14ac:dyDescent="0.2">
      <c r="B392" s="121" t="s">
        <v>243</v>
      </c>
      <c r="C392" s="81" t="s">
        <v>291</v>
      </c>
      <c r="D392" s="81" t="s">
        <v>291</v>
      </c>
      <c r="E392" s="81" t="s">
        <v>220</v>
      </c>
      <c r="F392" s="80" t="s">
        <v>311</v>
      </c>
      <c r="G392" s="81" t="str">
        <f t="shared" si="153"/>
        <v>lending_cashloan_cashloan_VNPOST_e_contract</v>
      </c>
      <c r="H392" s="125"/>
      <c r="I392" s="142" t="s">
        <v>274</v>
      </c>
      <c r="J392" s="125">
        <f t="shared" si="164"/>
        <v>1554539</v>
      </c>
      <c r="K392" s="125"/>
      <c r="L392" s="125"/>
      <c r="M392" s="84"/>
      <c r="N392" s="153"/>
      <c r="O392" s="153"/>
      <c r="P392" s="153"/>
      <c r="Q392" s="153">
        <v>10539</v>
      </c>
      <c r="R392" s="143">
        <v>48377</v>
      </c>
      <c r="S392" s="125">
        <v>88200</v>
      </c>
      <c r="T392" s="125">
        <v>52267</v>
      </c>
      <c r="U392" s="125">
        <v>111593</v>
      </c>
      <c r="V392" s="125">
        <v>201813</v>
      </c>
      <c r="W392" s="125">
        <v>369800</v>
      </c>
      <c r="X392" s="125">
        <v>671950</v>
      </c>
      <c r="Y392" s="70">
        <f t="shared" si="163"/>
        <v>302150</v>
      </c>
    </row>
    <row r="393" spans="2:25" ht="16" hidden="1" x14ac:dyDescent="0.2">
      <c r="B393" s="121" t="s">
        <v>243</v>
      </c>
      <c r="C393" s="81" t="s">
        <v>291</v>
      </c>
      <c r="D393" s="81" t="s">
        <v>291</v>
      </c>
      <c r="E393" s="81" t="s">
        <v>220</v>
      </c>
      <c r="F393" s="80" t="s">
        <v>312</v>
      </c>
      <c r="G393" s="81" t="str">
        <f t="shared" si="153"/>
        <v>lending_cashloan_cashloan_VNPOST_nfc</v>
      </c>
      <c r="H393" s="125"/>
      <c r="I393" s="142" t="s">
        <v>275</v>
      </c>
      <c r="J393" s="125">
        <f t="shared" si="164"/>
        <v>3154850.7070298195</v>
      </c>
      <c r="K393" s="125"/>
      <c r="L393" s="125"/>
      <c r="M393" s="84"/>
      <c r="N393" s="84"/>
      <c r="O393" s="84"/>
      <c r="P393" s="122"/>
      <c r="Q393" s="84">
        <v>14835.702225633155</v>
      </c>
      <c r="R393" s="84">
        <v>91086.754266061122</v>
      </c>
      <c r="S393" s="125">
        <v>81991.532702591518</v>
      </c>
      <c r="T393" s="125">
        <v>88157.101061908543</v>
      </c>
      <c r="U393" s="125">
        <v>227378.30090529358</v>
      </c>
      <c r="V393" s="125">
        <v>447562.33510616026</v>
      </c>
      <c r="W393" s="125">
        <v>690518.24693042296</v>
      </c>
      <c r="X393" s="125">
        <v>1513320.7338317486</v>
      </c>
      <c r="Y393" s="70">
        <f t="shared" si="163"/>
        <v>822802.48690132564</v>
      </c>
    </row>
    <row r="394" spans="2:25" ht="16" hidden="1" x14ac:dyDescent="0.2">
      <c r="B394" s="121" t="s">
        <v>243</v>
      </c>
      <c r="C394" s="81" t="s">
        <v>291</v>
      </c>
      <c r="D394" s="81" t="s">
        <v>291</v>
      </c>
      <c r="E394" s="81" t="s">
        <v>220</v>
      </c>
      <c r="F394" s="80" t="s">
        <v>313</v>
      </c>
      <c r="G394" s="81" t="str">
        <f t="shared" si="153"/>
        <v>lending_cashloan_cashloan_VNPOST_collection</v>
      </c>
      <c r="H394" s="125"/>
      <c r="I394" s="142" t="s">
        <v>196</v>
      </c>
      <c r="J394" s="125">
        <f t="shared" si="164"/>
        <v>8330177.3879351001</v>
      </c>
      <c r="K394" s="125"/>
      <c r="L394" s="125"/>
      <c r="M394" s="84"/>
      <c r="N394" s="84"/>
      <c r="O394" s="84"/>
      <c r="P394" s="170"/>
      <c r="Q394" s="84">
        <v>22553.98342041178</v>
      </c>
      <c r="R394" s="84">
        <v>25697.553064420601</v>
      </c>
      <c r="S394" s="84">
        <v>203725</v>
      </c>
      <c r="T394" s="125">
        <v>363043.29018447071</v>
      </c>
      <c r="U394" s="125">
        <v>617100.16678663623</v>
      </c>
      <c r="V394" s="125">
        <v>898577.53623765905</v>
      </c>
      <c r="W394" s="125">
        <v>2472711.7796630934</v>
      </c>
      <c r="X394" s="125">
        <v>3726768.0785784083</v>
      </c>
      <c r="Y394" s="70">
        <f t="shared" si="163"/>
        <v>1254056.298915315</v>
      </c>
    </row>
    <row r="395" spans="2:25" ht="16" hidden="1" x14ac:dyDescent="0.2">
      <c r="B395" s="121" t="s">
        <v>243</v>
      </c>
      <c r="C395" s="81" t="s">
        <v>291</v>
      </c>
      <c r="D395" s="81" t="s">
        <v>291</v>
      </c>
      <c r="E395" s="81" t="s">
        <v>220</v>
      </c>
      <c r="F395" s="80" t="s">
        <v>314</v>
      </c>
      <c r="G395" s="81" t="str">
        <f t="shared" si="153"/>
        <v>lending_cashloan_cashloan_VNPOST_promotion</v>
      </c>
      <c r="H395" s="125"/>
      <c r="I395" s="142" t="s">
        <v>276</v>
      </c>
      <c r="J395" s="125"/>
      <c r="K395" s="125"/>
      <c r="L395" s="125"/>
      <c r="M395" s="84"/>
      <c r="N395" s="153"/>
      <c r="O395" s="153"/>
      <c r="P395" s="153"/>
      <c r="Q395" s="153"/>
      <c r="R395" s="143"/>
      <c r="S395" s="125"/>
      <c r="T395" s="125"/>
      <c r="U395" s="125"/>
      <c r="V395" s="125"/>
      <c r="W395" s="125"/>
      <c r="X395" s="125"/>
      <c r="Y395" s="70">
        <f t="shared" si="163"/>
        <v>0</v>
      </c>
    </row>
    <row r="396" spans="2:25" ht="16" hidden="1" x14ac:dyDescent="0.2">
      <c r="B396" s="121" t="s">
        <v>243</v>
      </c>
      <c r="C396" s="81" t="s">
        <v>291</v>
      </c>
      <c r="D396" s="81" t="s">
        <v>291</v>
      </c>
      <c r="E396" s="81" t="s">
        <v>220</v>
      </c>
      <c r="F396" s="80" t="s">
        <v>315</v>
      </c>
      <c r="G396" s="81" t="str">
        <f t="shared" si="153"/>
        <v>lending_cashloan_cashloan_VNPOST_sms</v>
      </c>
      <c r="H396" s="125"/>
      <c r="I396" s="144" t="s">
        <v>197</v>
      </c>
      <c r="J396" s="125">
        <f>SUM(M396:X396)</f>
        <v>4473577.533844213</v>
      </c>
      <c r="K396" s="143"/>
      <c r="L396" s="143"/>
      <c r="M396" s="143"/>
      <c r="N396" s="143"/>
      <c r="O396" s="143"/>
      <c r="P396" s="143"/>
      <c r="Q396" s="143">
        <v>41516.233588385323</v>
      </c>
      <c r="R396" s="170">
        <v>145225.53835271869</v>
      </c>
      <c r="S396" s="125">
        <v>152379.92014566547</v>
      </c>
      <c r="T396" s="125">
        <v>147473.116086255</v>
      </c>
      <c r="U396" s="125">
        <v>335562.47547744733</v>
      </c>
      <c r="V396" s="125">
        <v>655757.72824326751</v>
      </c>
      <c r="W396" s="125">
        <v>1080511.1328059342</v>
      </c>
      <c r="X396" s="125">
        <v>1915151.3891445396</v>
      </c>
      <c r="Y396" s="70">
        <f t="shared" si="163"/>
        <v>834640.25633860542</v>
      </c>
    </row>
    <row r="397" spans="2:25" ht="16" hidden="1" thickTop="1" x14ac:dyDescent="0.2">
      <c r="B397" s="121" t="s">
        <v>243</v>
      </c>
      <c r="C397" s="81" t="s">
        <v>291</v>
      </c>
      <c r="D397" s="81" t="s">
        <v>291</v>
      </c>
      <c r="E397" s="81" t="s">
        <v>220</v>
      </c>
      <c r="F397" s="80" t="s">
        <v>316</v>
      </c>
      <c r="G397" s="81" t="str">
        <f t="shared" si="153"/>
        <v>lending_cashloan_cashloan_VNPOST_profit_before_overhead</v>
      </c>
      <c r="H397" s="125"/>
      <c r="I397" s="145" t="s">
        <v>289</v>
      </c>
      <c r="J397" s="145">
        <f t="shared" ref="J397:X397" si="165">J376-J387-J388</f>
        <v>1726937763.6273646</v>
      </c>
      <c r="K397" s="145">
        <f t="shared" si="165"/>
        <v>0</v>
      </c>
      <c r="L397" s="145">
        <f t="shared" si="165"/>
        <v>0</v>
      </c>
      <c r="M397" s="145">
        <f t="shared" si="165"/>
        <v>0</v>
      </c>
      <c r="N397" s="145">
        <f t="shared" si="165"/>
        <v>0</v>
      </c>
      <c r="O397" s="145">
        <f t="shared" si="165"/>
        <v>0</v>
      </c>
      <c r="P397" s="145">
        <f t="shared" si="165"/>
        <v>0</v>
      </c>
      <c r="Q397" s="145">
        <f t="shared" si="165"/>
        <v>-481092.68985696742</v>
      </c>
      <c r="R397" s="145">
        <f t="shared" si="165"/>
        <v>14478557.131305424</v>
      </c>
      <c r="S397" s="145">
        <f t="shared" si="165"/>
        <v>25967361.434973702</v>
      </c>
      <c r="T397" s="145">
        <f t="shared" si="165"/>
        <v>36841047.07091257</v>
      </c>
      <c r="U397" s="145">
        <f t="shared" si="165"/>
        <v>73052784.508070648</v>
      </c>
      <c r="V397" s="145">
        <f t="shared" si="165"/>
        <v>227059922.67884934</v>
      </c>
      <c r="W397" s="145">
        <f t="shared" si="165"/>
        <v>335540943.0549534</v>
      </c>
      <c r="X397" s="145">
        <f t="shared" si="165"/>
        <v>1014478240.4381565</v>
      </c>
      <c r="Y397" s="70">
        <f t="shared" si="163"/>
        <v>678937297.38320303</v>
      </c>
    </row>
    <row r="398" spans="2:25" hidden="1" x14ac:dyDescent="0.2">
      <c r="B398" s="121"/>
      <c r="C398" s="81"/>
      <c r="D398" s="81"/>
      <c r="E398" s="81"/>
      <c r="F398" s="124"/>
      <c r="G398" s="81"/>
      <c r="H398" s="125"/>
      <c r="I398" s="148"/>
      <c r="J398" s="131"/>
      <c r="K398" s="131"/>
      <c r="L398" s="131"/>
      <c r="M398" s="131"/>
      <c r="N398" s="131"/>
      <c r="O398" s="131"/>
      <c r="P398" s="131"/>
      <c r="Q398" s="131"/>
      <c r="R398" s="131"/>
      <c r="S398" s="131"/>
      <c r="T398" s="131"/>
      <c r="U398" s="131"/>
      <c r="V398" s="131"/>
      <c r="W398" s="131"/>
      <c r="X398" s="131"/>
      <c r="Y398" s="70">
        <f t="shared" si="163"/>
        <v>0</v>
      </c>
    </row>
    <row r="399" spans="2:25" hidden="1" x14ac:dyDescent="0.2">
      <c r="B399" s="121" t="s">
        <v>243</v>
      </c>
      <c r="C399" s="81" t="s">
        <v>291</v>
      </c>
      <c r="D399" s="81" t="s">
        <v>210</v>
      </c>
      <c r="E399" s="81" t="s">
        <v>220</v>
      </c>
      <c r="F399" s="81"/>
      <c r="G399" s="81" t="str">
        <f t="shared" ref="G399:G436" si="166">B399&amp;"_"&amp;C399&amp;"_"&amp;D399&amp;"_"&amp;E399&amp;"_"&amp;F399</f>
        <v>lending_cashloan_payroll_VNPOST_</v>
      </c>
      <c r="H399" s="125"/>
      <c r="I399" s="123" t="s">
        <v>327</v>
      </c>
      <c r="J399" s="123"/>
      <c r="K399" s="123"/>
      <c r="L399" s="123"/>
      <c r="M399" s="123"/>
      <c r="N399" s="123"/>
      <c r="O399" s="123"/>
      <c r="P399" s="123"/>
      <c r="Q399" s="123"/>
      <c r="R399" s="123"/>
      <c r="S399" s="123"/>
      <c r="T399" s="123"/>
      <c r="U399" s="123"/>
      <c r="V399" s="123"/>
      <c r="W399" s="123"/>
      <c r="X399" s="123"/>
      <c r="Y399" s="70">
        <f t="shared" si="163"/>
        <v>0</v>
      </c>
    </row>
    <row r="400" spans="2:25" ht="16" hidden="1" x14ac:dyDescent="0.2">
      <c r="B400" s="121" t="s">
        <v>243</v>
      </c>
      <c r="C400" s="81" t="s">
        <v>291</v>
      </c>
      <c r="D400" s="81" t="s">
        <v>210</v>
      </c>
      <c r="E400" s="81" t="s">
        <v>220</v>
      </c>
      <c r="F400" s="80" t="s">
        <v>292</v>
      </c>
      <c r="G400" s="81" t="str">
        <f t="shared" si="166"/>
        <v>lending_cashloan_payroll_VNPOST_new_account</v>
      </c>
      <c r="H400" s="125"/>
      <c r="I400" s="126" t="s">
        <v>245</v>
      </c>
      <c r="J400" s="125">
        <f>SUM(M400:X400)</f>
        <v>2</v>
      </c>
      <c r="K400" s="84"/>
      <c r="L400" s="84"/>
      <c r="M400" s="84"/>
      <c r="N400" s="175"/>
      <c r="O400" s="84"/>
      <c r="P400" s="84"/>
      <c r="Q400" s="175"/>
      <c r="R400" s="84"/>
      <c r="S400" s="152"/>
      <c r="T400" s="84"/>
      <c r="U400" s="84"/>
      <c r="V400" s="84"/>
      <c r="W400" s="84"/>
      <c r="X400" s="84">
        <v>2</v>
      </c>
      <c r="Y400" s="70">
        <f t="shared" si="163"/>
        <v>2</v>
      </c>
    </row>
    <row r="401" spans="2:25" ht="16" hidden="1" x14ac:dyDescent="0.2">
      <c r="B401" s="121" t="s">
        <v>243</v>
      </c>
      <c r="C401" s="81" t="s">
        <v>291</v>
      </c>
      <c r="D401" s="81" t="s">
        <v>210</v>
      </c>
      <c r="E401" s="81" t="s">
        <v>220</v>
      </c>
      <c r="F401" s="126" t="s">
        <v>246</v>
      </c>
      <c r="G401" s="81" t="str">
        <f t="shared" si="166"/>
        <v>lending_cashloan_payroll_VNPOST_Repeat account</v>
      </c>
      <c r="H401" s="125"/>
      <c r="I401" s="126" t="s">
        <v>246</v>
      </c>
      <c r="J401" s="125"/>
      <c r="K401" s="84"/>
      <c r="L401" s="84"/>
      <c r="M401" s="84"/>
      <c r="N401" s="175"/>
      <c r="O401" s="84"/>
      <c r="P401" s="84"/>
      <c r="Q401" s="175"/>
      <c r="R401" s="84"/>
      <c r="S401" s="84"/>
      <c r="T401" s="84"/>
      <c r="U401" s="84"/>
      <c r="V401" s="84"/>
      <c r="W401" s="84"/>
      <c r="X401" s="84"/>
      <c r="Y401" s="70">
        <f t="shared" si="163"/>
        <v>0</v>
      </c>
    </row>
    <row r="402" spans="2:25" ht="16" hidden="1" x14ac:dyDescent="0.2">
      <c r="B402" s="121" t="s">
        <v>243</v>
      </c>
      <c r="C402" s="81" t="s">
        <v>291</v>
      </c>
      <c r="D402" s="81" t="s">
        <v>210</v>
      </c>
      <c r="E402" s="81" t="s">
        <v>220</v>
      </c>
      <c r="F402" s="80" t="s">
        <v>293</v>
      </c>
      <c r="G402" s="81" t="str">
        <f t="shared" si="166"/>
        <v>lending_cashloan_payroll_VNPOST_active_account</v>
      </c>
      <c r="H402" s="125"/>
      <c r="I402" s="126" t="s">
        <v>247</v>
      </c>
      <c r="J402" s="125">
        <f>SUM(M402:X402)</f>
        <v>2</v>
      </c>
      <c r="K402" s="84"/>
      <c r="L402" s="84"/>
      <c r="M402" s="84"/>
      <c r="N402" s="175"/>
      <c r="O402" s="175"/>
      <c r="P402" s="84"/>
      <c r="Q402" s="175"/>
      <c r="R402" s="143"/>
      <c r="S402" s="152"/>
      <c r="T402" s="84"/>
      <c r="U402" s="84"/>
      <c r="V402" s="84"/>
      <c r="W402" s="84"/>
      <c r="X402" s="84">
        <v>2</v>
      </c>
      <c r="Y402" s="70">
        <f t="shared" si="163"/>
        <v>2</v>
      </c>
    </row>
    <row r="403" spans="2:25" ht="16" hidden="1" x14ac:dyDescent="0.2">
      <c r="B403" s="121" t="s">
        <v>243</v>
      </c>
      <c r="C403" s="81" t="s">
        <v>291</v>
      </c>
      <c r="D403" s="81" t="s">
        <v>210</v>
      </c>
      <c r="E403" s="81" t="s">
        <v>220</v>
      </c>
      <c r="F403" s="80" t="s">
        <v>294</v>
      </c>
      <c r="G403" s="81" t="str">
        <f t="shared" si="166"/>
        <v>lending_cashloan_payroll_VNPOST_disburse/spend</v>
      </c>
      <c r="H403" s="125"/>
      <c r="I403" s="84" t="s">
        <v>191</v>
      </c>
      <c r="J403" s="125">
        <f>SUM(M403:X403)</f>
        <v>72100000</v>
      </c>
      <c r="K403" s="125"/>
      <c r="L403" s="125"/>
      <c r="M403" s="125"/>
      <c r="N403" s="84"/>
      <c r="O403" s="84"/>
      <c r="P403" s="84"/>
      <c r="Q403" s="84"/>
      <c r="R403" s="84"/>
      <c r="S403" s="82"/>
      <c r="T403" s="84"/>
      <c r="U403" s="84"/>
      <c r="V403" s="84"/>
      <c r="W403" s="125"/>
      <c r="X403" s="125">
        <v>72100000</v>
      </c>
      <c r="Y403" s="70">
        <f t="shared" si="163"/>
        <v>72100000</v>
      </c>
    </row>
    <row r="404" spans="2:25" ht="16" hidden="1" x14ac:dyDescent="0.2">
      <c r="B404" s="121" t="s">
        <v>243</v>
      </c>
      <c r="C404" s="81" t="s">
        <v>291</v>
      </c>
      <c r="D404" s="81" t="s">
        <v>210</v>
      </c>
      <c r="E404" s="81" t="s">
        <v>220</v>
      </c>
      <c r="F404" s="124"/>
      <c r="G404" s="81" t="str">
        <f t="shared" si="166"/>
        <v>lending_cashloan_payroll_VNPOST_</v>
      </c>
      <c r="H404" s="125"/>
      <c r="I404" s="84" t="s">
        <v>248</v>
      </c>
      <c r="J404" s="125">
        <f>SUM(M404:X404)</f>
        <v>72100000</v>
      </c>
      <c r="K404" s="125"/>
      <c r="L404" s="125"/>
      <c r="M404" s="84"/>
      <c r="N404" s="84"/>
      <c r="O404" s="84"/>
      <c r="P404" s="84"/>
      <c r="Q404" s="125"/>
      <c r="R404" s="125"/>
      <c r="S404" s="82"/>
      <c r="T404" s="84"/>
      <c r="U404" s="84"/>
      <c r="V404" s="125"/>
      <c r="W404" s="125"/>
      <c r="X404" s="125">
        <v>72100000</v>
      </c>
      <c r="Y404" s="70">
        <f t="shared" si="163"/>
        <v>72100000</v>
      </c>
    </row>
    <row r="405" spans="2:25" ht="16" hidden="1" x14ac:dyDescent="0.2">
      <c r="B405" s="121" t="s">
        <v>243</v>
      </c>
      <c r="C405" s="81" t="s">
        <v>291</v>
      </c>
      <c r="D405" s="81" t="s">
        <v>210</v>
      </c>
      <c r="E405" s="81" t="s">
        <v>220</v>
      </c>
      <c r="F405" s="124"/>
      <c r="G405" s="81" t="str">
        <f t="shared" si="166"/>
        <v>lending_cashloan_payroll_VNPOST_</v>
      </c>
      <c r="H405" s="125"/>
      <c r="I405" s="84" t="s">
        <v>249</v>
      </c>
      <c r="J405" s="125">
        <f>SUM(M405:X405)</f>
        <v>0</v>
      </c>
      <c r="K405" s="125">
        <f t="shared" ref="K405:X405" si="167">K403-K404</f>
        <v>0</v>
      </c>
      <c r="L405" s="125">
        <f t="shared" si="167"/>
        <v>0</v>
      </c>
      <c r="M405" s="125">
        <f t="shared" si="167"/>
        <v>0</v>
      </c>
      <c r="N405" s="125">
        <f t="shared" si="167"/>
        <v>0</v>
      </c>
      <c r="O405" s="125">
        <f t="shared" si="167"/>
        <v>0</v>
      </c>
      <c r="P405" s="125">
        <f t="shared" si="167"/>
        <v>0</v>
      </c>
      <c r="Q405" s="125">
        <f t="shared" si="167"/>
        <v>0</v>
      </c>
      <c r="R405" s="125">
        <f t="shared" si="167"/>
        <v>0</v>
      </c>
      <c r="S405" s="125">
        <f t="shared" si="167"/>
        <v>0</v>
      </c>
      <c r="T405" s="125">
        <f t="shared" si="167"/>
        <v>0</v>
      </c>
      <c r="U405" s="125">
        <f t="shared" si="167"/>
        <v>0</v>
      </c>
      <c r="V405" s="125">
        <f t="shared" si="167"/>
        <v>0</v>
      </c>
      <c r="W405" s="125">
        <f t="shared" si="167"/>
        <v>0</v>
      </c>
      <c r="X405" s="125">
        <f t="shared" si="167"/>
        <v>0</v>
      </c>
      <c r="Y405" s="70">
        <f t="shared" si="163"/>
        <v>0</v>
      </c>
    </row>
    <row r="406" spans="2:25" ht="16" hidden="1" x14ac:dyDescent="0.2">
      <c r="B406" s="121" t="s">
        <v>243</v>
      </c>
      <c r="C406" s="81" t="s">
        <v>291</v>
      </c>
      <c r="D406" s="81" t="s">
        <v>210</v>
      </c>
      <c r="E406" s="81" t="s">
        <v>220</v>
      </c>
      <c r="F406" s="80" t="s">
        <v>295</v>
      </c>
      <c r="G406" s="81" t="str">
        <f t="shared" si="166"/>
        <v>lending_cashloan_payroll_VNPOST_ENR</v>
      </c>
      <c r="H406" s="125"/>
      <c r="I406" s="84" t="s">
        <v>250</v>
      </c>
      <c r="J406" s="125">
        <f>W406</f>
        <v>0</v>
      </c>
      <c r="K406" s="84"/>
      <c r="L406" s="125"/>
      <c r="M406" s="84"/>
      <c r="N406" s="181"/>
      <c r="O406" s="84"/>
      <c r="P406" s="84"/>
      <c r="Q406" s="84"/>
      <c r="R406" s="84"/>
      <c r="S406" s="84"/>
      <c r="T406" s="154"/>
      <c r="U406" s="84"/>
      <c r="V406" s="84"/>
      <c r="W406" s="84"/>
      <c r="X406" s="125">
        <v>72100000</v>
      </c>
      <c r="Y406" s="70">
        <f t="shared" si="163"/>
        <v>72100000</v>
      </c>
    </row>
    <row r="407" spans="2:25" hidden="1" x14ac:dyDescent="0.2">
      <c r="B407" s="121" t="s">
        <v>243</v>
      </c>
      <c r="C407" s="81" t="s">
        <v>291</v>
      </c>
      <c r="D407" s="81" t="s">
        <v>210</v>
      </c>
      <c r="E407" s="81" t="s">
        <v>220</v>
      </c>
      <c r="F407" s="124"/>
      <c r="G407" s="81" t="str">
        <f t="shared" si="166"/>
        <v>lending_cashloan_payroll_VNPOST_</v>
      </c>
      <c r="H407" s="125"/>
      <c r="I407" s="127" t="s">
        <v>251</v>
      </c>
      <c r="J407" s="125">
        <f>X407</f>
        <v>72100000</v>
      </c>
      <c r="K407" s="181">
        <f t="shared" ref="K407:X407" si="168">K406-K408</f>
        <v>0</v>
      </c>
      <c r="L407" s="181">
        <f t="shared" si="168"/>
        <v>0</v>
      </c>
      <c r="M407" s="181">
        <f t="shared" si="168"/>
        <v>0</v>
      </c>
      <c r="N407" s="181">
        <f t="shared" si="168"/>
        <v>0</v>
      </c>
      <c r="O407" s="181">
        <f t="shared" si="168"/>
        <v>0</v>
      </c>
      <c r="P407" s="181">
        <f t="shared" si="168"/>
        <v>0</v>
      </c>
      <c r="Q407" s="181">
        <f t="shared" si="168"/>
        <v>0</v>
      </c>
      <c r="R407" s="181">
        <f t="shared" si="168"/>
        <v>0</v>
      </c>
      <c r="S407" s="181">
        <f t="shared" si="168"/>
        <v>0</v>
      </c>
      <c r="T407" s="181">
        <f t="shared" si="168"/>
        <v>0</v>
      </c>
      <c r="U407" s="181">
        <f t="shared" si="168"/>
        <v>0</v>
      </c>
      <c r="V407" s="181">
        <f t="shared" si="168"/>
        <v>0</v>
      </c>
      <c r="W407" s="181">
        <f t="shared" si="168"/>
        <v>0</v>
      </c>
      <c r="X407" s="181">
        <f t="shared" si="168"/>
        <v>72100000</v>
      </c>
      <c r="Y407" s="70">
        <f t="shared" si="163"/>
        <v>72100000</v>
      </c>
    </row>
    <row r="408" spans="2:25" hidden="1" x14ac:dyDescent="0.2">
      <c r="B408" s="121" t="s">
        <v>243</v>
      </c>
      <c r="C408" s="81" t="s">
        <v>291</v>
      </c>
      <c r="D408" s="81" t="s">
        <v>210</v>
      </c>
      <c r="E408" s="81" t="s">
        <v>220</v>
      </c>
      <c r="F408" s="124"/>
      <c r="G408" s="81" t="str">
        <f t="shared" si="166"/>
        <v>lending_cashloan_payroll_VNPOST_</v>
      </c>
      <c r="H408" s="125"/>
      <c r="I408" s="127" t="s">
        <v>252</v>
      </c>
      <c r="J408" s="125">
        <f>X408</f>
        <v>0</v>
      </c>
      <c r="K408" s="155">
        <v>0</v>
      </c>
      <c r="L408" s="181"/>
      <c r="M408" s="181"/>
      <c r="N408" s="181"/>
      <c r="O408" s="155"/>
      <c r="P408" s="155"/>
      <c r="Q408" s="143"/>
      <c r="R408" s="128"/>
      <c r="S408" s="128"/>
      <c r="T408" s="128"/>
      <c r="U408" s="155"/>
      <c r="V408" s="155"/>
      <c r="W408" s="155"/>
      <c r="X408" s="181"/>
      <c r="Y408" s="70">
        <f t="shared" si="163"/>
        <v>0</v>
      </c>
    </row>
    <row r="409" spans="2:25" hidden="1" x14ac:dyDescent="0.2">
      <c r="B409" s="121" t="s">
        <v>243</v>
      </c>
      <c r="C409" s="81" t="s">
        <v>291</v>
      </c>
      <c r="D409" s="81" t="s">
        <v>210</v>
      </c>
      <c r="E409" s="81" t="s">
        <v>220</v>
      </c>
      <c r="F409" s="124"/>
      <c r="G409" s="81" t="str">
        <f t="shared" si="166"/>
        <v>lending_cashloan_payroll_VNPOST_</v>
      </c>
      <c r="H409" s="125"/>
      <c r="I409" s="126" t="s">
        <v>253</v>
      </c>
      <c r="J409" s="125"/>
      <c r="K409" s="155"/>
      <c r="L409" s="181"/>
      <c r="M409" s="181"/>
      <c r="N409" s="181"/>
      <c r="O409" s="194"/>
      <c r="P409" s="155"/>
      <c r="Q409" s="143"/>
      <c r="R409" s="128"/>
      <c r="S409" s="128"/>
      <c r="T409" s="188"/>
      <c r="U409" s="155"/>
      <c r="V409" s="155"/>
      <c r="W409" s="155"/>
      <c r="X409" s="181"/>
      <c r="Y409" s="70">
        <f t="shared" si="163"/>
        <v>0</v>
      </c>
    </row>
    <row r="410" spans="2:25" ht="16" hidden="1" x14ac:dyDescent="0.2">
      <c r="B410" s="121" t="s">
        <v>243</v>
      </c>
      <c r="C410" s="81" t="s">
        <v>291</v>
      </c>
      <c r="D410" s="81" t="s">
        <v>210</v>
      </c>
      <c r="E410" s="81" t="s">
        <v>220</v>
      </c>
      <c r="F410" s="80" t="s">
        <v>298</v>
      </c>
      <c r="G410" s="81" t="str">
        <f t="shared" si="166"/>
        <v>lending_cashloan_payroll_VNPOST_overdue_balance_10d</v>
      </c>
      <c r="H410" s="125"/>
      <c r="I410" s="84" t="s">
        <v>254</v>
      </c>
      <c r="J410" s="125"/>
      <c r="K410" s="155"/>
      <c r="L410" s="181"/>
      <c r="M410" s="181"/>
      <c r="N410" s="181"/>
      <c r="O410" s="181"/>
      <c r="P410" s="181"/>
      <c r="Q410" s="181"/>
      <c r="R410" s="181"/>
      <c r="S410" s="182"/>
      <c r="T410" s="181"/>
      <c r="U410" s="181"/>
      <c r="V410" s="181"/>
      <c r="W410" s="181"/>
      <c r="X410" s="181"/>
      <c r="Y410" s="70">
        <f t="shared" si="163"/>
        <v>0</v>
      </c>
    </row>
    <row r="411" spans="2:25" ht="16" hidden="1" x14ac:dyDescent="0.2">
      <c r="B411" s="121" t="s">
        <v>243</v>
      </c>
      <c r="C411" s="81" t="s">
        <v>291</v>
      </c>
      <c r="D411" s="81" t="s">
        <v>210</v>
      </c>
      <c r="E411" s="81" t="s">
        <v>220</v>
      </c>
      <c r="F411" s="80" t="s">
        <v>299</v>
      </c>
      <c r="G411" s="81" t="str">
        <f t="shared" si="166"/>
        <v>lending_cashloan_payroll_VNPOST_overdue_balance_90d</v>
      </c>
      <c r="H411" s="125"/>
      <c r="I411" s="84" t="s">
        <v>255</v>
      </c>
      <c r="J411" s="125"/>
      <c r="K411" s="155"/>
      <c r="L411" s="181"/>
      <c r="M411" s="181"/>
      <c r="N411" s="181"/>
      <c r="O411" s="181"/>
      <c r="P411" s="181"/>
      <c r="Q411" s="181"/>
      <c r="R411" s="181"/>
      <c r="S411" s="181"/>
      <c r="T411" s="181"/>
      <c r="U411" s="181"/>
      <c r="V411" s="181"/>
      <c r="W411" s="181"/>
      <c r="X411" s="181"/>
      <c r="Y411" s="70">
        <f t="shared" si="163"/>
        <v>0</v>
      </c>
    </row>
    <row r="412" spans="2:25" ht="16" hidden="1" x14ac:dyDescent="0.2">
      <c r="B412" s="121" t="s">
        <v>243</v>
      </c>
      <c r="C412" s="81" t="s">
        <v>291</v>
      </c>
      <c r="D412" s="81" t="s">
        <v>210</v>
      </c>
      <c r="E412" s="81" t="s">
        <v>220</v>
      </c>
      <c r="F412" s="124"/>
      <c r="G412" s="81" t="str">
        <f t="shared" si="166"/>
        <v>lending_cashloan_payroll_VNPOST_</v>
      </c>
      <c r="H412" s="125"/>
      <c r="I412" s="84" t="s">
        <v>256</v>
      </c>
      <c r="J412" s="125"/>
      <c r="K412" s="84"/>
      <c r="L412" s="84"/>
      <c r="M412" s="84"/>
      <c r="N412" s="84"/>
      <c r="O412" s="84"/>
      <c r="P412" s="84"/>
      <c r="Q412" s="84"/>
      <c r="R412" s="84"/>
      <c r="S412" s="84">
        <f>S410-S411</f>
        <v>0</v>
      </c>
      <c r="T412" s="84">
        <f>T410-T411</f>
        <v>0</v>
      </c>
      <c r="U412" s="84">
        <f>U410-U411</f>
        <v>0</v>
      </c>
      <c r="V412" s="82"/>
      <c r="W412" s="82"/>
      <c r="X412" s="84"/>
      <c r="Y412" s="70">
        <f t="shared" si="163"/>
        <v>0</v>
      </c>
    </row>
    <row r="413" spans="2:25" ht="16" hidden="1" x14ac:dyDescent="0.2">
      <c r="B413" s="121" t="s">
        <v>243</v>
      </c>
      <c r="C413" s="81" t="s">
        <v>291</v>
      </c>
      <c r="D413" s="81" t="s">
        <v>210</v>
      </c>
      <c r="E413" s="81" t="s">
        <v>220</v>
      </c>
      <c r="F413" s="124"/>
      <c r="G413" s="81" t="str">
        <f t="shared" si="166"/>
        <v>lending_cashloan_payroll_VNPOST_</v>
      </c>
      <c r="H413" s="125"/>
      <c r="I413" s="84" t="s">
        <v>257</v>
      </c>
      <c r="J413" s="125"/>
      <c r="K413" s="177"/>
      <c r="L413" s="177"/>
      <c r="M413" s="177"/>
      <c r="N413" s="177"/>
      <c r="O413" s="177"/>
      <c r="P413" s="177" t="e">
        <f t="shared" ref="P413:X413" si="169">P411/P406</f>
        <v>#DIV/0!</v>
      </c>
      <c r="Q413" s="177" t="e">
        <f t="shared" si="169"/>
        <v>#DIV/0!</v>
      </c>
      <c r="R413" s="177" t="e">
        <f t="shared" si="169"/>
        <v>#DIV/0!</v>
      </c>
      <c r="S413" s="177" t="e">
        <f t="shared" si="169"/>
        <v>#DIV/0!</v>
      </c>
      <c r="T413" s="177" t="e">
        <f t="shared" si="169"/>
        <v>#DIV/0!</v>
      </c>
      <c r="U413" s="177" t="e">
        <f t="shared" si="169"/>
        <v>#DIV/0!</v>
      </c>
      <c r="V413" s="177" t="e">
        <f t="shared" si="169"/>
        <v>#DIV/0!</v>
      </c>
      <c r="W413" s="177" t="e">
        <f t="shared" si="169"/>
        <v>#DIV/0!</v>
      </c>
      <c r="X413" s="177">
        <f t="shared" si="169"/>
        <v>0</v>
      </c>
      <c r="Y413" s="70" t="e">
        <f t="shared" si="163"/>
        <v>#DIV/0!</v>
      </c>
    </row>
    <row r="414" spans="2:25" ht="16" hidden="1" x14ac:dyDescent="0.2">
      <c r="B414" s="121" t="s">
        <v>243</v>
      </c>
      <c r="C414" s="81" t="s">
        <v>291</v>
      </c>
      <c r="D414" s="81" t="s">
        <v>210</v>
      </c>
      <c r="E414" s="81" t="s">
        <v>220</v>
      </c>
      <c r="F414" s="80" t="s">
        <v>258</v>
      </c>
      <c r="G414" s="81" t="str">
        <f t="shared" si="166"/>
        <v>lending_cashloan_payroll_VNPOST_npl</v>
      </c>
      <c r="H414" s="125"/>
      <c r="I414" s="84" t="s">
        <v>259</v>
      </c>
      <c r="J414" s="125"/>
      <c r="K414" s="177"/>
      <c r="L414" s="177"/>
      <c r="M414" s="177"/>
      <c r="N414" s="177"/>
      <c r="O414" s="177"/>
      <c r="P414" s="177" t="e">
        <f t="shared" ref="P414:U414" si="170">P412/P406</f>
        <v>#DIV/0!</v>
      </c>
      <c r="Q414" s="177" t="e">
        <f t="shared" si="170"/>
        <v>#DIV/0!</v>
      </c>
      <c r="R414" s="177" t="e">
        <f t="shared" si="170"/>
        <v>#DIV/0!</v>
      </c>
      <c r="S414" s="177" t="e">
        <f t="shared" si="170"/>
        <v>#DIV/0!</v>
      </c>
      <c r="T414" s="177" t="e">
        <f t="shared" si="170"/>
        <v>#DIV/0!</v>
      </c>
      <c r="U414" s="177" t="e">
        <f t="shared" si="170"/>
        <v>#DIV/0!</v>
      </c>
      <c r="V414" s="177" t="e">
        <f>V412/V406</f>
        <v>#DIV/0!</v>
      </c>
      <c r="W414" s="177" t="e">
        <f>W412/W406</f>
        <v>#DIV/0!</v>
      </c>
      <c r="X414" s="177">
        <f>X412/X406</f>
        <v>0</v>
      </c>
      <c r="Y414" s="70" t="e">
        <f t="shared" si="163"/>
        <v>#DIV/0!</v>
      </c>
    </row>
    <row r="415" spans="2:25" hidden="1" x14ac:dyDescent="0.2">
      <c r="B415" s="121" t="s">
        <v>243</v>
      </c>
      <c r="C415" s="81" t="s">
        <v>291</v>
      </c>
      <c r="D415" s="81" t="s">
        <v>210</v>
      </c>
      <c r="E415" s="81" t="s">
        <v>220</v>
      </c>
      <c r="F415" s="80" t="s">
        <v>260</v>
      </c>
      <c r="G415" s="81" t="str">
        <f t="shared" si="166"/>
        <v>lending_cashloan_payroll_VNPOST_TOI</v>
      </c>
      <c r="H415" s="125"/>
      <c r="I415" s="130" t="s">
        <v>260</v>
      </c>
      <c r="J415" s="131">
        <f t="shared" ref="J415:X415" si="171">J416+J421+J425</f>
        <v>1879944</v>
      </c>
      <c r="K415" s="131">
        <f t="shared" si="171"/>
        <v>0</v>
      </c>
      <c r="L415" s="131">
        <f t="shared" si="171"/>
        <v>0</v>
      </c>
      <c r="M415" s="131">
        <f t="shared" si="171"/>
        <v>0</v>
      </c>
      <c r="N415" s="131">
        <f t="shared" si="171"/>
        <v>0</v>
      </c>
      <c r="O415" s="131">
        <f t="shared" si="171"/>
        <v>0</v>
      </c>
      <c r="P415" s="131">
        <f t="shared" si="171"/>
        <v>0</v>
      </c>
      <c r="Q415" s="131">
        <f t="shared" si="171"/>
        <v>0</v>
      </c>
      <c r="R415" s="131">
        <f t="shared" si="171"/>
        <v>0</v>
      </c>
      <c r="S415" s="131">
        <f t="shared" si="171"/>
        <v>0</v>
      </c>
      <c r="T415" s="131">
        <f t="shared" si="171"/>
        <v>0</v>
      </c>
      <c r="U415" s="131">
        <f t="shared" si="171"/>
        <v>0</v>
      </c>
      <c r="V415" s="131">
        <f t="shared" si="171"/>
        <v>0</v>
      </c>
      <c r="W415" s="131">
        <f t="shared" si="171"/>
        <v>0</v>
      </c>
      <c r="X415" s="131">
        <f t="shared" si="171"/>
        <v>1879944</v>
      </c>
      <c r="Y415" s="70">
        <f t="shared" si="163"/>
        <v>1879944</v>
      </c>
    </row>
    <row r="416" spans="2:25" hidden="1" x14ac:dyDescent="0.2">
      <c r="B416" s="121" t="s">
        <v>243</v>
      </c>
      <c r="C416" s="81" t="s">
        <v>291</v>
      </c>
      <c r="D416" s="81" t="s">
        <v>210</v>
      </c>
      <c r="E416" s="81" t="s">
        <v>220</v>
      </c>
      <c r="F416" s="80" t="s">
        <v>300</v>
      </c>
      <c r="G416" s="81" t="str">
        <f t="shared" si="166"/>
        <v>lending_cashloan_payroll_VNPOST_NII</v>
      </c>
      <c r="H416" s="125"/>
      <c r="I416" s="132" t="s">
        <v>261</v>
      </c>
      <c r="J416" s="131">
        <f t="shared" ref="J416:X416" si="172">J417-J420</f>
        <v>100601</v>
      </c>
      <c r="K416" s="131">
        <f t="shared" si="172"/>
        <v>0</v>
      </c>
      <c r="L416" s="131">
        <f t="shared" si="172"/>
        <v>0</v>
      </c>
      <c r="M416" s="131">
        <f t="shared" si="172"/>
        <v>0</v>
      </c>
      <c r="N416" s="131">
        <f t="shared" si="172"/>
        <v>0</v>
      </c>
      <c r="O416" s="131">
        <f t="shared" si="172"/>
        <v>0</v>
      </c>
      <c r="P416" s="131">
        <f t="shared" si="172"/>
        <v>0</v>
      </c>
      <c r="Q416" s="131">
        <f t="shared" si="172"/>
        <v>0</v>
      </c>
      <c r="R416" s="131">
        <f t="shared" si="172"/>
        <v>0</v>
      </c>
      <c r="S416" s="131">
        <f t="shared" si="172"/>
        <v>0</v>
      </c>
      <c r="T416" s="131">
        <f t="shared" si="172"/>
        <v>0</v>
      </c>
      <c r="U416" s="131">
        <f t="shared" si="172"/>
        <v>0</v>
      </c>
      <c r="V416" s="131">
        <f t="shared" si="172"/>
        <v>0</v>
      </c>
      <c r="W416" s="131">
        <f t="shared" si="172"/>
        <v>0</v>
      </c>
      <c r="X416" s="131">
        <f t="shared" si="172"/>
        <v>100601</v>
      </c>
      <c r="Y416" s="70">
        <f t="shared" si="163"/>
        <v>100601</v>
      </c>
    </row>
    <row r="417" spans="2:27" ht="16" hidden="1" x14ac:dyDescent="0.2">
      <c r="B417" s="121" t="s">
        <v>243</v>
      </c>
      <c r="C417" s="81" t="s">
        <v>291</v>
      </c>
      <c r="D417" s="81" t="s">
        <v>210</v>
      </c>
      <c r="E417" s="81" t="s">
        <v>220</v>
      </c>
      <c r="F417" s="80" t="s">
        <v>301</v>
      </c>
      <c r="G417" s="81" t="str">
        <f t="shared" si="166"/>
        <v>lending_cashloan_payroll_VNPOST_CII</v>
      </c>
      <c r="H417" s="125"/>
      <c r="I417" s="134" t="s">
        <v>262</v>
      </c>
      <c r="J417" s="125">
        <f>SUM(M417:X417)</f>
        <v>186669</v>
      </c>
      <c r="K417" s="125">
        <f>K418+0-K419</f>
        <v>0</v>
      </c>
      <c r="L417" s="125">
        <f t="shared" ref="L417:W417" si="173">L418+K419-L419</f>
        <v>0</v>
      </c>
      <c r="M417" s="125">
        <f t="shared" si="173"/>
        <v>0</v>
      </c>
      <c r="N417" s="125">
        <f t="shared" si="173"/>
        <v>0</v>
      </c>
      <c r="O417" s="125">
        <f t="shared" si="173"/>
        <v>0</v>
      </c>
      <c r="P417" s="125">
        <f t="shared" si="173"/>
        <v>0</v>
      </c>
      <c r="Q417" s="125">
        <f t="shared" si="173"/>
        <v>0</v>
      </c>
      <c r="R417" s="125">
        <f t="shared" si="173"/>
        <v>0</v>
      </c>
      <c r="S417" s="125">
        <f t="shared" si="173"/>
        <v>0</v>
      </c>
      <c r="T417" s="125">
        <f t="shared" si="173"/>
        <v>0</v>
      </c>
      <c r="U417" s="125">
        <f t="shared" si="173"/>
        <v>0</v>
      </c>
      <c r="V417" s="125">
        <f t="shared" si="173"/>
        <v>0</v>
      </c>
      <c r="W417" s="125">
        <f t="shared" si="173"/>
        <v>0</v>
      </c>
      <c r="X417" s="125">
        <f>X418+W419-X419</f>
        <v>186669</v>
      </c>
      <c r="Y417" s="70">
        <f t="shared" si="163"/>
        <v>186669</v>
      </c>
    </row>
    <row r="418" spans="2:27" ht="16" hidden="1" x14ac:dyDescent="0.2">
      <c r="B418" s="121" t="s">
        <v>243</v>
      </c>
      <c r="C418" s="81" t="s">
        <v>291</v>
      </c>
      <c r="D418" s="81" t="s">
        <v>210</v>
      </c>
      <c r="E418" s="81" t="s">
        <v>220</v>
      </c>
      <c r="F418" s="80"/>
      <c r="G418" s="81" t="str">
        <f t="shared" si="166"/>
        <v>lending_cashloan_payroll_VNPOST_</v>
      </c>
      <c r="H418" s="125"/>
      <c r="I418" s="183" t="s">
        <v>263</v>
      </c>
      <c r="J418" s="136">
        <f>SUM(M418:X418)</f>
        <v>186669</v>
      </c>
      <c r="K418" s="136"/>
      <c r="L418" s="136"/>
      <c r="M418" s="136"/>
      <c r="N418" s="136"/>
      <c r="O418" s="136">
        <v>0</v>
      </c>
      <c r="P418" s="136">
        <v>0</v>
      </c>
      <c r="Q418" s="136"/>
      <c r="R418" s="136"/>
      <c r="S418" s="136"/>
      <c r="T418" s="136"/>
      <c r="U418" s="136"/>
      <c r="V418" s="136"/>
      <c r="W418" s="125"/>
      <c r="X418" s="136">
        <v>186669</v>
      </c>
      <c r="Y418" s="70">
        <f t="shared" si="163"/>
        <v>186669</v>
      </c>
    </row>
    <row r="419" spans="2:27" ht="16" hidden="1" x14ac:dyDescent="0.2">
      <c r="B419" s="121" t="s">
        <v>243</v>
      </c>
      <c r="C419" s="81" t="s">
        <v>291</v>
      </c>
      <c r="D419" s="81" t="s">
        <v>210</v>
      </c>
      <c r="E419" s="81" t="s">
        <v>220</v>
      </c>
      <c r="F419" s="124"/>
      <c r="G419" s="81" t="str">
        <f t="shared" si="166"/>
        <v>lending_cashloan_payroll_VNPOST_</v>
      </c>
      <c r="H419" s="125"/>
      <c r="I419" s="183" t="s">
        <v>264</v>
      </c>
      <c r="J419" s="136">
        <f>SUM(M419:X419)</f>
        <v>0</v>
      </c>
      <c r="K419" s="136"/>
      <c r="L419" s="136"/>
      <c r="M419" s="136"/>
      <c r="N419" s="136"/>
      <c r="O419" s="136"/>
      <c r="P419" s="136"/>
      <c r="Q419" s="136"/>
      <c r="R419" s="136"/>
      <c r="S419" s="136"/>
      <c r="T419" s="136"/>
      <c r="U419" s="136"/>
      <c r="V419" s="125"/>
      <c r="W419" s="136"/>
      <c r="X419" s="136"/>
      <c r="Y419" s="70">
        <f t="shared" si="163"/>
        <v>0</v>
      </c>
      <c r="Z419" s="70"/>
      <c r="AA419" s="70"/>
    </row>
    <row r="420" spans="2:27" ht="16" hidden="1" x14ac:dyDescent="0.2">
      <c r="B420" s="121" t="s">
        <v>243</v>
      </c>
      <c r="C420" s="81" t="s">
        <v>291</v>
      </c>
      <c r="D420" s="81" t="s">
        <v>210</v>
      </c>
      <c r="E420" s="81" t="s">
        <v>220</v>
      </c>
      <c r="F420" s="80" t="s">
        <v>62</v>
      </c>
      <c r="G420" s="81" t="str">
        <f t="shared" si="166"/>
        <v>lending_cashloan_payroll_VNPOST_COF</v>
      </c>
      <c r="H420" s="125"/>
      <c r="I420" s="134" t="s">
        <v>62</v>
      </c>
      <c r="J420" s="125">
        <f>SUM(M420:X420)</f>
        <v>86068</v>
      </c>
      <c r="K420" s="154"/>
      <c r="L420" s="143"/>
      <c r="M420" s="84"/>
      <c r="N420" s="84"/>
      <c r="O420" s="84"/>
      <c r="P420" s="125">
        <v>0</v>
      </c>
      <c r="Q420" s="84"/>
      <c r="R420" s="84"/>
      <c r="S420" s="82"/>
      <c r="T420" s="82"/>
      <c r="U420" s="82"/>
      <c r="V420" s="125"/>
      <c r="W420" s="154"/>
      <c r="X420" s="143">
        <v>86068</v>
      </c>
      <c r="Y420" s="70">
        <f t="shared" si="163"/>
        <v>86068</v>
      </c>
    </row>
    <row r="421" spans="2:27" hidden="1" x14ac:dyDescent="0.2">
      <c r="B421" s="121" t="s">
        <v>243</v>
      </c>
      <c r="C421" s="81" t="s">
        <v>291</v>
      </c>
      <c r="D421" s="81" t="s">
        <v>210</v>
      </c>
      <c r="E421" s="81" t="s">
        <v>220</v>
      </c>
      <c r="F421" s="80" t="s">
        <v>302</v>
      </c>
      <c r="G421" s="81" t="str">
        <f t="shared" si="166"/>
        <v>lending_cashloan_payroll_VNPOST_NFI</v>
      </c>
      <c r="H421" s="125"/>
      <c r="I421" s="132" t="s">
        <v>265</v>
      </c>
      <c r="J421" s="131">
        <f t="shared" ref="J421:X421" si="174">SUM(J422:J424)</f>
        <v>1779343</v>
      </c>
      <c r="K421" s="131">
        <f t="shared" si="174"/>
        <v>0</v>
      </c>
      <c r="L421" s="131">
        <f t="shared" si="174"/>
        <v>0</v>
      </c>
      <c r="M421" s="131">
        <f t="shared" si="174"/>
        <v>0</v>
      </c>
      <c r="N421" s="131">
        <f t="shared" si="174"/>
        <v>0</v>
      </c>
      <c r="O421" s="131">
        <f t="shared" si="174"/>
        <v>0</v>
      </c>
      <c r="P421" s="131">
        <f t="shared" si="174"/>
        <v>0</v>
      </c>
      <c r="Q421" s="131">
        <f t="shared" si="174"/>
        <v>0</v>
      </c>
      <c r="R421" s="131">
        <f t="shared" si="174"/>
        <v>0</v>
      </c>
      <c r="S421" s="131">
        <f t="shared" si="174"/>
        <v>0</v>
      </c>
      <c r="T421" s="131">
        <f t="shared" si="174"/>
        <v>0</v>
      </c>
      <c r="U421" s="131">
        <f t="shared" si="174"/>
        <v>0</v>
      </c>
      <c r="V421" s="131">
        <f t="shared" si="174"/>
        <v>0</v>
      </c>
      <c r="W421" s="131">
        <f t="shared" si="174"/>
        <v>0</v>
      </c>
      <c r="X421" s="131">
        <f t="shared" si="174"/>
        <v>1779343</v>
      </c>
      <c r="Y421" s="70">
        <f t="shared" si="163"/>
        <v>1779343</v>
      </c>
    </row>
    <row r="422" spans="2:27" ht="16" hidden="1" x14ac:dyDescent="0.2">
      <c r="B422" s="121" t="s">
        <v>243</v>
      </c>
      <c r="C422" s="81" t="s">
        <v>291</v>
      </c>
      <c r="D422" s="81" t="s">
        <v>210</v>
      </c>
      <c r="E422" s="81" t="s">
        <v>220</v>
      </c>
      <c r="F422" s="80" t="s">
        <v>303</v>
      </c>
      <c r="G422" s="81" t="str">
        <f t="shared" si="166"/>
        <v>lending_cashloan_payroll_VNPOST_insurance_fee</v>
      </c>
      <c r="H422" s="125"/>
      <c r="I422" s="134" t="s">
        <v>266</v>
      </c>
      <c r="J422" s="136">
        <f>SUM(M422:X422)</f>
        <v>1779343</v>
      </c>
      <c r="K422" s="136"/>
      <c r="L422" s="164"/>
      <c r="M422" s="164"/>
      <c r="N422" s="64"/>
      <c r="O422" s="162">
        <v>0</v>
      </c>
      <c r="P422" s="162"/>
      <c r="Q422" s="125"/>
      <c r="R422" s="125"/>
      <c r="S422" s="125"/>
      <c r="T422" s="136"/>
      <c r="U422" s="136"/>
      <c r="V422" s="136"/>
      <c r="W422" s="136"/>
      <c r="X422" s="164">
        <v>1779343</v>
      </c>
      <c r="Y422" s="70">
        <f t="shared" si="163"/>
        <v>1779343</v>
      </c>
    </row>
    <row r="423" spans="2:27" ht="16" hidden="1" x14ac:dyDescent="0.2">
      <c r="B423" s="121" t="s">
        <v>243</v>
      </c>
      <c r="C423" s="81" t="s">
        <v>291</v>
      </c>
      <c r="D423" s="81" t="s">
        <v>210</v>
      </c>
      <c r="E423" s="81" t="s">
        <v>220</v>
      </c>
      <c r="F423" s="80" t="s">
        <v>304</v>
      </c>
      <c r="G423" s="81" t="str">
        <f t="shared" si="166"/>
        <v>lending_cashloan_payroll_VNPOST_early_terminate_fee</v>
      </c>
      <c r="H423" s="125"/>
      <c r="I423" s="134" t="s">
        <v>267</v>
      </c>
      <c r="J423" s="136">
        <f>SUM(M423:X423)</f>
        <v>0</v>
      </c>
      <c r="K423" s="136"/>
      <c r="L423" s="136"/>
      <c r="M423" s="162">
        <v>0</v>
      </c>
      <c r="N423" s="162"/>
      <c r="O423" s="162">
        <v>0</v>
      </c>
      <c r="P423" s="162"/>
      <c r="Q423" s="143"/>
      <c r="R423" s="136"/>
      <c r="S423" s="125"/>
      <c r="T423" s="125"/>
      <c r="U423" s="125"/>
      <c r="V423" s="125"/>
      <c r="W423" s="136"/>
      <c r="X423" s="136"/>
      <c r="Y423" s="70">
        <f t="shared" si="163"/>
        <v>0</v>
      </c>
    </row>
    <row r="424" spans="2:27" ht="16" hidden="1" x14ac:dyDescent="0.2">
      <c r="B424" s="121" t="s">
        <v>243</v>
      </c>
      <c r="C424" s="81" t="s">
        <v>291</v>
      </c>
      <c r="D424" s="81" t="s">
        <v>210</v>
      </c>
      <c r="E424" s="81" t="s">
        <v>220</v>
      </c>
      <c r="F424" s="80" t="s">
        <v>305</v>
      </c>
      <c r="G424" s="81" t="str">
        <f t="shared" si="166"/>
        <v>lending_cashloan_payroll_VNPOST_loan_grant_fee</v>
      </c>
      <c r="H424" s="125"/>
      <c r="I424" s="134" t="s">
        <v>187</v>
      </c>
      <c r="J424" s="136">
        <f>SUM(M424:X424)</f>
        <v>0</v>
      </c>
      <c r="K424" s="136"/>
      <c r="L424" s="136"/>
      <c r="M424" s="162"/>
      <c r="N424" s="162"/>
      <c r="O424" s="162"/>
      <c r="P424" s="162"/>
      <c r="Q424" s="162"/>
      <c r="R424" s="136"/>
      <c r="S424" s="164"/>
      <c r="T424" s="136"/>
      <c r="U424" s="136"/>
      <c r="V424" s="136"/>
      <c r="W424" s="136"/>
      <c r="X424" s="136"/>
      <c r="Y424" s="70">
        <f t="shared" si="163"/>
        <v>0</v>
      </c>
    </row>
    <row r="425" spans="2:27" hidden="1" x14ac:dyDescent="0.2">
      <c r="B425" s="121" t="s">
        <v>243</v>
      </c>
      <c r="C425" s="81" t="s">
        <v>291</v>
      </c>
      <c r="D425" s="81" t="s">
        <v>210</v>
      </c>
      <c r="E425" s="81" t="s">
        <v>220</v>
      </c>
      <c r="F425" s="80" t="s">
        <v>306</v>
      </c>
      <c r="G425" s="81" t="str">
        <f t="shared" si="166"/>
        <v>lending_cashloan_payroll_VNPOST_other_TOI</v>
      </c>
      <c r="H425" s="125"/>
      <c r="I425" s="132" t="s">
        <v>269</v>
      </c>
      <c r="J425" s="178">
        <f>SUM(M425:X425)</f>
        <v>0</v>
      </c>
      <c r="K425" s="136"/>
      <c r="L425" s="136"/>
      <c r="M425" s="162"/>
      <c r="N425" s="162"/>
      <c r="O425" s="162"/>
      <c r="P425" s="162"/>
      <c r="Q425" s="162"/>
      <c r="R425" s="136"/>
      <c r="S425" s="164"/>
      <c r="T425" s="136"/>
      <c r="U425" s="140"/>
      <c r="V425" s="136"/>
      <c r="W425" s="136"/>
      <c r="X425" s="136"/>
      <c r="Y425" s="70">
        <f t="shared" si="163"/>
        <v>0</v>
      </c>
    </row>
    <row r="426" spans="2:27" s="54" customFormat="1" hidden="1" x14ac:dyDescent="0.2">
      <c r="B426" s="121" t="s">
        <v>243</v>
      </c>
      <c r="C426" s="81" t="s">
        <v>291</v>
      </c>
      <c r="D426" s="81" t="s">
        <v>210</v>
      </c>
      <c r="E426" s="81" t="s">
        <v>220</v>
      </c>
      <c r="F426" s="80" t="s">
        <v>307</v>
      </c>
      <c r="G426" s="81" t="str">
        <f t="shared" si="166"/>
        <v>lending_cashloan_payroll_VNPOST_provision</v>
      </c>
      <c r="H426" s="125"/>
      <c r="I426" s="140" t="s">
        <v>270</v>
      </c>
      <c r="J426" s="131">
        <f>SUM(M426:X426)</f>
        <v>540750</v>
      </c>
      <c r="K426" s="131"/>
      <c r="L426" s="168"/>
      <c r="M426" s="168"/>
      <c r="N426" s="184"/>
      <c r="O426" s="184">
        <v>0</v>
      </c>
      <c r="P426" s="140"/>
      <c r="Q426" s="131"/>
      <c r="R426" s="131"/>
      <c r="S426" s="131"/>
      <c r="T426" s="168"/>
      <c r="U426" s="168"/>
      <c r="V426" s="168"/>
      <c r="W426" s="131"/>
      <c r="X426" s="168">
        <v>540750</v>
      </c>
      <c r="Y426" s="70">
        <f t="shared" si="163"/>
        <v>540750</v>
      </c>
    </row>
    <row r="427" spans="2:27" hidden="1" x14ac:dyDescent="0.2">
      <c r="B427" s="121" t="s">
        <v>243</v>
      </c>
      <c r="C427" s="81" t="s">
        <v>291</v>
      </c>
      <c r="D427" s="81" t="s">
        <v>210</v>
      </c>
      <c r="E427" s="81" t="s">
        <v>220</v>
      </c>
      <c r="F427" s="80" t="s">
        <v>308</v>
      </c>
      <c r="G427" s="81" t="str">
        <f t="shared" si="166"/>
        <v>lending_cashloan_payroll_VNPOST_variable_cost</v>
      </c>
      <c r="H427" s="125"/>
      <c r="I427" s="140" t="s">
        <v>271</v>
      </c>
      <c r="J427" s="131">
        <f t="shared" ref="J427:X427" si="175">SUM(J428:J435)</f>
        <v>406270.44850578834</v>
      </c>
      <c r="K427" s="131">
        <f t="shared" si="175"/>
        <v>0</v>
      </c>
      <c r="L427" s="131">
        <f t="shared" si="175"/>
        <v>0</v>
      </c>
      <c r="M427" s="131">
        <f t="shared" si="175"/>
        <v>0</v>
      </c>
      <c r="N427" s="131">
        <f t="shared" si="175"/>
        <v>0</v>
      </c>
      <c r="O427" s="131">
        <f t="shared" si="175"/>
        <v>0</v>
      </c>
      <c r="P427" s="131">
        <f t="shared" si="175"/>
        <v>0</v>
      </c>
      <c r="Q427" s="131">
        <f t="shared" si="175"/>
        <v>0</v>
      </c>
      <c r="R427" s="131">
        <f t="shared" si="175"/>
        <v>0</v>
      </c>
      <c r="S427" s="131">
        <f t="shared" si="175"/>
        <v>0</v>
      </c>
      <c r="T427" s="131">
        <f t="shared" si="175"/>
        <v>0</v>
      </c>
      <c r="U427" s="131">
        <f t="shared" si="175"/>
        <v>0</v>
      </c>
      <c r="V427" s="131">
        <f t="shared" si="175"/>
        <v>0</v>
      </c>
      <c r="W427" s="131">
        <f t="shared" si="175"/>
        <v>0</v>
      </c>
      <c r="X427" s="131">
        <f t="shared" si="175"/>
        <v>406270.44850578834</v>
      </c>
      <c r="Y427" s="70">
        <f t="shared" si="163"/>
        <v>406270.44850578834</v>
      </c>
    </row>
    <row r="428" spans="2:27" ht="16" hidden="1" x14ac:dyDescent="0.2">
      <c r="B428" s="121" t="s">
        <v>243</v>
      </c>
      <c r="C428" s="81" t="s">
        <v>291</v>
      </c>
      <c r="D428" s="81" t="s">
        <v>210</v>
      </c>
      <c r="E428" s="81" t="s">
        <v>220</v>
      </c>
      <c r="F428" s="80" t="s">
        <v>198</v>
      </c>
      <c r="G428" s="81" t="str">
        <f t="shared" si="166"/>
        <v>lending_cashloan_payroll_VNPOST_marketing_acquisition_cost</v>
      </c>
      <c r="H428" s="125"/>
      <c r="I428" s="142" t="s">
        <v>272</v>
      </c>
      <c r="J428" s="125">
        <f t="shared" ref="J428:J433" si="176">SUM(M428:X428)</f>
        <v>0</v>
      </c>
      <c r="K428" s="122"/>
      <c r="L428" s="122"/>
      <c r="M428" s="84"/>
      <c r="N428" s="84"/>
      <c r="O428" s="84"/>
      <c r="P428" s="122"/>
      <c r="Q428" s="84"/>
      <c r="R428" s="143"/>
      <c r="S428" s="125"/>
      <c r="T428" s="125"/>
      <c r="U428" s="190"/>
      <c r="V428" s="122"/>
      <c r="W428" s="122"/>
      <c r="X428" s="122"/>
      <c r="Y428" s="70">
        <f t="shared" si="163"/>
        <v>0</v>
      </c>
    </row>
    <row r="429" spans="2:27" ht="16" hidden="1" x14ac:dyDescent="0.2">
      <c r="B429" s="121" t="s">
        <v>243</v>
      </c>
      <c r="C429" s="81" t="s">
        <v>291</v>
      </c>
      <c r="D429" s="81" t="s">
        <v>210</v>
      </c>
      <c r="E429" s="81" t="s">
        <v>220</v>
      </c>
      <c r="F429" s="80" t="s">
        <v>309</v>
      </c>
      <c r="G429" s="81" t="str">
        <f t="shared" si="166"/>
        <v>lending_cashloan_payroll_VNPOST_partner_acquisition_cost</v>
      </c>
      <c r="H429" s="125"/>
      <c r="I429" s="142" t="s">
        <v>202</v>
      </c>
      <c r="J429" s="131">
        <f t="shared" si="176"/>
        <v>0</v>
      </c>
      <c r="K429" s="187"/>
      <c r="L429" s="140"/>
      <c r="M429" s="168"/>
      <c r="N429" s="184"/>
      <c r="O429" s="140"/>
      <c r="P429" s="131"/>
      <c r="Q429" s="191"/>
      <c r="R429" s="191"/>
      <c r="S429" s="125"/>
      <c r="T429" s="125"/>
      <c r="U429" s="125"/>
      <c r="V429" s="125"/>
      <c r="W429" s="125"/>
      <c r="X429" s="140"/>
      <c r="Y429" s="70">
        <f t="shared" si="163"/>
        <v>0</v>
      </c>
    </row>
    <row r="430" spans="2:27" ht="16" hidden="1" x14ac:dyDescent="0.2">
      <c r="B430" s="121" t="s">
        <v>243</v>
      </c>
      <c r="C430" s="81" t="s">
        <v>291</v>
      </c>
      <c r="D430" s="81" t="s">
        <v>210</v>
      </c>
      <c r="E430" s="81" t="s">
        <v>220</v>
      </c>
      <c r="F430" s="80" t="s">
        <v>310</v>
      </c>
      <c r="G430" s="81" t="str">
        <f t="shared" si="166"/>
        <v>lending_cashloan_payroll_VNPOST_underwritting</v>
      </c>
      <c r="H430" s="125"/>
      <c r="I430" s="142" t="s">
        <v>273</v>
      </c>
      <c r="J430" s="125">
        <f t="shared" si="176"/>
        <v>394187.43703958369</v>
      </c>
      <c r="K430" s="125"/>
      <c r="L430" s="125"/>
      <c r="M430" s="170">
        <v>0</v>
      </c>
      <c r="N430" s="170">
        <v>0</v>
      </c>
      <c r="O430" s="170">
        <v>0</v>
      </c>
      <c r="P430" s="170">
        <v>0</v>
      </c>
      <c r="Q430" s="170"/>
      <c r="R430" s="170"/>
      <c r="S430" s="125"/>
      <c r="T430" s="125"/>
      <c r="U430" s="125"/>
      <c r="V430" s="125"/>
      <c r="W430" s="125"/>
      <c r="X430" s="125">
        <v>394187.43703958369</v>
      </c>
      <c r="Y430" s="70">
        <f t="shared" si="163"/>
        <v>394187.43703958369</v>
      </c>
    </row>
    <row r="431" spans="2:27" ht="16" hidden="1" x14ac:dyDescent="0.2">
      <c r="B431" s="121" t="s">
        <v>243</v>
      </c>
      <c r="C431" s="81" t="s">
        <v>291</v>
      </c>
      <c r="D431" s="81" t="s">
        <v>210</v>
      </c>
      <c r="E431" s="81" t="s">
        <v>220</v>
      </c>
      <c r="F431" s="80" t="s">
        <v>311</v>
      </c>
      <c r="G431" s="81" t="str">
        <f t="shared" si="166"/>
        <v>lending_cashloan_payroll_VNPOST_e_contract</v>
      </c>
      <c r="H431" s="125"/>
      <c r="I431" s="142" t="s">
        <v>274</v>
      </c>
      <c r="J431" s="125">
        <f t="shared" si="176"/>
        <v>1385</v>
      </c>
      <c r="K431" s="125"/>
      <c r="L431" s="125"/>
      <c r="M431" s="84"/>
      <c r="N431" s="153"/>
      <c r="O431" s="153"/>
      <c r="P431" s="153"/>
      <c r="Q431" s="153"/>
      <c r="R431" s="143"/>
      <c r="S431" s="125"/>
      <c r="T431" s="125"/>
      <c r="U431" s="125"/>
      <c r="V431" s="125"/>
      <c r="W431" s="125"/>
      <c r="X431" s="125">
        <v>1385</v>
      </c>
      <c r="Y431" s="70">
        <f t="shared" si="163"/>
        <v>1385</v>
      </c>
    </row>
    <row r="432" spans="2:27" ht="16" hidden="1" x14ac:dyDescent="0.2">
      <c r="B432" s="121" t="s">
        <v>243</v>
      </c>
      <c r="C432" s="81" t="s">
        <v>291</v>
      </c>
      <c r="D432" s="81" t="s">
        <v>210</v>
      </c>
      <c r="E432" s="81" t="s">
        <v>220</v>
      </c>
      <c r="F432" s="80" t="s">
        <v>312</v>
      </c>
      <c r="G432" s="81" t="str">
        <f t="shared" si="166"/>
        <v>lending_cashloan_payroll_VNPOST_nfc</v>
      </c>
      <c r="H432" s="125"/>
      <c r="I432" s="142" t="s">
        <v>275</v>
      </c>
      <c r="J432" s="125">
        <f t="shared" si="176"/>
        <v>3416.0738912680554</v>
      </c>
      <c r="K432" s="125"/>
      <c r="L432" s="125"/>
      <c r="M432" s="84"/>
      <c r="N432" s="84"/>
      <c r="O432" s="84"/>
      <c r="P432" s="122"/>
      <c r="Q432" s="84"/>
      <c r="R432" s="84"/>
      <c r="S432" s="125"/>
      <c r="T432" s="125"/>
      <c r="U432" s="125"/>
      <c r="V432" s="125"/>
      <c r="W432" s="125"/>
      <c r="X432" s="125">
        <v>3416.0738912680554</v>
      </c>
      <c r="Y432" s="70">
        <f t="shared" si="163"/>
        <v>3416.0738912680554</v>
      </c>
    </row>
    <row r="433" spans="2:25" ht="16" hidden="1" x14ac:dyDescent="0.2">
      <c r="B433" s="121" t="s">
        <v>243</v>
      </c>
      <c r="C433" s="81" t="s">
        <v>291</v>
      </c>
      <c r="D433" s="81" t="s">
        <v>210</v>
      </c>
      <c r="E433" s="81" t="s">
        <v>220</v>
      </c>
      <c r="F433" s="80" t="s">
        <v>313</v>
      </c>
      <c r="G433" s="81" t="str">
        <f t="shared" si="166"/>
        <v>lending_cashloan_payroll_VNPOST_collection</v>
      </c>
      <c r="H433" s="125"/>
      <c r="I433" s="142" t="s">
        <v>196</v>
      </c>
      <c r="J433" s="125">
        <f t="shared" si="176"/>
        <v>0</v>
      </c>
      <c r="K433" s="125"/>
      <c r="L433" s="125"/>
      <c r="M433" s="84"/>
      <c r="N433" s="84"/>
      <c r="O433" s="84"/>
      <c r="P433" s="170"/>
      <c r="Q433" s="84"/>
      <c r="R433" s="84"/>
      <c r="S433" s="84"/>
      <c r="T433" s="125"/>
      <c r="U433" s="125"/>
      <c r="V433" s="125"/>
      <c r="W433" s="125"/>
      <c r="X433" s="125"/>
      <c r="Y433" s="70">
        <f t="shared" si="163"/>
        <v>0</v>
      </c>
    </row>
    <row r="434" spans="2:25" ht="16" hidden="1" x14ac:dyDescent="0.2">
      <c r="B434" s="121" t="s">
        <v>243</v>
      </c>
      <c r="C434" s="81" t="s">
        <v>291</v>
      </c>
      <c r="D434" s="81" t="s">
        <v>210</v>
      </c>
      <c r="E434" s="81" t="s">
        <v>220</v>
      </c>
      <c r="F434" s="80" t="s">
        <v>314</v>
      </c>
      <c r="G434" s="81" t="str">
        <f t="shared" si="166"/>
        <v>lending_cashloan_payroll_VNPOST_promotion</v>
      </c>
      <c r="H434" s="125"/>
      <c r="I434" s="142" t="s">
        <v>276</v>
      </c>
      <c r="J434" s="125"/>
      <c r="K434" s="125"/>
      <c r="L434" s="125"/>
      <c r="M434" s="84"/>
      <c r="N434" s="153"/>
      <c r="O434" s="153"/>
      <c r="P434" s="153"/>
      <c r="Q434" s="153"/>
      <c r="R434" s="143"/>
      <c r="S434" s="125"/>
      <c r="T434" s="125"/>
      <c r="U434" s="125"/>
      <c r="V434" s="125"/>
      <c r="W434" s="125"/>
      <c r="X434" s="125"/>
      <c r="Y434" s="70">
        <f t="shared" si="163"/>
        <v>0</v>
      </c>
    </row>
    <row r="435" spans="2:25" ht="16" hidden="1" x14ac:dyDescent="0.2">
      <c r="B435" s="121" t="s">
        <v>243</v>
      </c>
      <c r="C435" s="81" t="s">
        <v>291</v>
      </c>
      <c r="D435" s="81" t="s">
        <v>210</v>
      </c>
      <c r="E435" s="81" t="s">
        <v>220</v>
      </c>
      <c r="F435" s="80" t="s">
        <v>315</v>
      </c>
      <c r="G435" s="81" t="str">
        <f t="shared" si="166"/>
        <v>lending_cashloan_payroll_VNPOST_sms</v>
      </c>
      <c r="H435" s="125"/>
      <c r="I435" s="144" t="s">
        <v>197</v>
      </c>
      <c r="J435" s="125">
        <f>SUM(M435:X435)</f>
        <v>7281.9375749366181</v>
      </c>
      <c r="K435" s="143"/>
      <c r="L435" s="143"/>
      <c r="M435" s="143"/>
      <c r="N435" s="143"/>
      <c r="O435" s="143"/>
      <c r="P435" s="143"/>
      <c r="Q435" s="143"/>
      <c r="R435" s="170"/>
      <c r="S435" s="125"/>
      <c r="T435" s="125"/>
      <c r="U435" s="125"/>
      <c r="V435" s="125"/>
      <c r="W435" s="125"/>
      <c r="X435" s="125">
        <v>7281.9375749366181</v>
      </c>
      <c r="Y435" s="70">
        <f t="shared" si="163"/>
        <v>7281.9375749366181</v>
      </c>
    </row>
    <row r="436" spans="2:25" ht="16" hidden="1" thickTop="1" x14ac:dyDescent="0.2">
      <c r="B436" s="121" t="s">
        <v>243</v>
      </c>
      <c r="C436" s="81" t="s">
        <v>291</v>
      </c>
      <c r="D436" s="81" t="s">
        <v>210</v>
      </c>
      <c r="E436" s="81" t="s">
        <v>220</v>
      </c>
      <c r="F436" s="80" t="s">
        <v>316</v>
      </c>
      <c r="G436" s="81" t="str">
        <f t="shared" si="166"/>
        <v>lending_cashloan_payroll_VNPOST_profit_before_overhead</v>
      </c>
      <c r="H436" s="125"/>
      <c r="I436" s="145" t="s">
        <v>289</v>
      </c>
      <c r="J436" s="145">
        <f t="shared" ref="J436:X436" si="177">J415-J426-J427</f>
        <v>932923.55149421166</v>
      </c>
      <c r="K436" s="145">
        <f t="shared" si="177"/>
        <v>0</v>
      </c>
      <c r="L436" s="145">
        <f t="shared" si="177"/>
        <v>0</v>
      </c>
      <c r="M436" s="145">
        <f t="shared" si="177"/>
        <v>0</v>
      </c>
      <c r="N436" s="145">
        <f t="shared" si="177"/>
        <v>0</v>
      </c>
      <c r="O436" s="145">
        <f t="shared" si="177"/>
        <v>0</v>
      </c>
      <c r="P436" s="145">
        <f t="shared" si="177"/>
        <v>0</v>
      </c>
      <c r="Q436" s="145">
        <f t="shared" si="177"/>
        <v>0</v>
      </c>
      <c r="R436" s="145">
        <f t="shared" si="177"/>
        <v>0</v>
      </c>
      <c r="S436" s="145">
        <f t="shared" si="177"/>
        <v>0</v>
      </c>
      <c r="T436" s="145">
        <f t="shared" si="177"/>
        <v>0</v>
      </c>
      <c r="U436" s="145">
        <f t="shared" si="177"/>
        <v>0</v>
      </c>
      <c r="V436" s="145">
        <f t="shared" si="177"/>
        <v>0</v>
      </c>
      <c r="W436" s="145">
        <f t="shared" si="177"/>
        <v>0</v>
      </c>
      <c r="X436" s="145">
        <f t="shared" si="177"/>
        <v>932923.55149421166</v>
      </c>
      <c r="Y436" s="70">
        <f t="shared" si="163"/>
        <v>932923.55149421166</v>
      </c>
    </row>
    <row r="437" spans="2:25" hidden="1" x14ac:dyDescent="0.2">
      <c r="B437" s="121"/>
      <c r="C437" s="81"/>
      <c r="D437" s="81"/>
      <c r="E437" s="81"/>
      <c r="F437" s="80"/>
      <c r="G437" s="81"/>
      <c r="H437" s="125"/>
      <c r="I437" s="147"/>
      <c r="J437" s="147"/>
      <c r="K437" s="147"/>
      <c r="L437" s="147"/>
      <c r="M437" s="147"/>
      <c r="N437" s="147"/>
      <c r="O437" s="147"/>
      <c r="P437" s="147"/>
      <c r="Q437" s="147"/>
      <c r="R437" s="147"/>
      <c r="S437" s="147"/>
      <c r="T437" s="147"/>
      <c r="U437" s="147"/>
      <c r="V437" s="147"/>
      <c r="W437" s="147"/>
      <c r="X437" s="147"/>
      <c r="Y437" s="70"/>
    </row>
    <row r="438" spans="2:25" hidden="1" x14ac:dyDescent="0.2">
      <c r="B438" s="121" t="s">
        <v>243</v>
      </c>
      <c r="C438" s="81" t="s">
        <v>291</v>
      </c>
      <c r="D438" s="81" t="s">
        <v>291</v>
      </c>
      <c r="E438" s="81" t="s">
        <v>328</v>
      </c>
      <c r="F438" s="81"/>
      <c r="G438" s="81" t="str">
        <f t="shared" ref="G438:G475" si="178">B438&amp;"_"&amp;C438&amp;"_"&amp;D438&amp;"_"&amp;E438&amp;"_"&amp;F438</f>
        <v>lending_cashloan_cashloan_MISA_</v>
      </c>
      <c r="H438" s="125"/>
      <c r="I438" s="123" t="s">
        <v>329</v>
      </c>
      <c r="J438" s="123"/>
      <c r="K438" s="123"/>
      <c r="L438" s="123"/>
      <c r="M438" s="123"/>
      <c r="N438" s="123"/>
      <c r="O438" s="123"/>
      <c r="P438" s="123"/>
      <c r="Q438" s="123"/>
      <c r="R438" s="123"/>
      <c r="S438" s="123"/>
      <c r="T438" s="123"/>
      <c r="U438" s="123"/>
      <c r="V438" s="123"/>
      <c r="W438" s="123"/>
      <c r="X438" s="123"/>
      <c r="Y438" s="70">
        <f t="shared" ref="Y438:Y475" si="179">W438-V438</f>
        <v>0</v>
      </c>
    </row>
    <row r="439" spans="2:25" ht="16" hidden="1" x14ac:dyDescent="0.2">
      <c r="B439" s="121" t="s">
        <v>243</v>
      </c>
      <c r="C439" s="81" t="s">
        <v>291</v>
      </c>
      <c r="D439" s="81" t="s">
        <v>291</v>
      </c>
      <c r="E439" s="81" t="s">
        <v>328</v>
      </c>
      <c r="F439" s="80" t="s">
        <v>292</v>
      </c>
      <c r="G439" s="81" t="str">
        <f t="shared" si="178"/>
        <v>lending_cashloan_cashloan_MISA_new_account</v>
      </c>
      <c r="H439" s="125"/>
      <c r="I439" s="126" t="s">
        <v>245</v>
      </c>
      <c r="J439" s="125">
        <f>SUM(M439:X439)</f>
        <v>9</v>
      </c>
      <c r="K439" s="84"/>
      <c r="L439" s="84"/>
      <c r="M439" s="84"/>
      <c r="N439" s="175"/>
      <c r="O439" s="84"/>
      <c r="P439" s="84"/>
      <c r="Q439" s="175"/>
      <c r="R439" s="84"/>
      <c r="S439" s="152"/>
      <c r="T439" s="84"/>
      <c r="U439" s="84"/>
      <c r="V439" s="84"/>
      <c r="W439" s="84"/>
      <c r="X439" s="152">
        <v>9</v>
      </c>
      <c r="Y439" s="70">
        <f t="shared" si="179"/>
        <v>0</v>
      </c>
    </row>
    <row r="440" spans="2:25" ht="16" hidden="1" x14ac:dyDescent="0.2">
      <c r="B440" s="121" t="s">
        <v>243</v>
      </c>
      <c r="C440" s="81" t="s">
        <v>291</v>
      </c>
      <c r="D440" s="81" t="s">
        <v>291</v>
      </c>
      <c r="E440" s="81" t="s">
        <v>328</v>
      </c>
      <c r="F440" s="126" t="s">
        <v>246</v>
      </c>
      <c r="G440" s="81" t="str">
        <f t="shared" si="178"/>
        <v>lending_cashloan_cashloan_MISA_Repeat account</v>
      </c>
      <c r="H440" s="125"/>
      <c r="I440" s="126" t="s">
        <v>246</v>
      </c>
      <c r="J440" s="125"/>
      <c r="K440" s="84"/>
      <c r="L440" s="84"/>
      <c r="M440" s="84"/>
      <c r="N440" s="175"/>
      <c r="O440" s="84"/>
      <c r="P440" s="84"/>
      <c r="Q440" s="175"/>
      <c r="R440" s="84"/>
      <c r="S440" s="84"/>
      <c r="T440" s="84"/>
      <c r="U440" s="84"/>
      <c r="V440" s="84"/>
      <c r="W440" s="84"/>
      <c r="X440" s="84"/>
      <c r="Y440" s="70">
        <f t="shared" si="179"/>
        <v>0</v>
      </c>
    </row>
    <row r="441" spans="2:25" ht="16" hidden="1" x14ac:dyDescent="0.2">
      <c r="B441" s="121" t="s">
        <v>243</v>
      </c>
      <c r="C441" s="81" t="s">
        <v>291</v>
      </c>
      <c r="D441" s="81" t="s">
        <v>291</v>
      </c>
      <c r="E441" s="81" t="s">
        <v>328</v>
      </c>
      <c r="F441" s="80" t="s">
        <v>293</v>
      </c>
      <c r="G441" s="81" t="str">
        <f t="shared" si="178"/>
        <v>lending_cashloan_cashloan_MISA_active_account</v>
      </c>
      <c r="H441" s="125"/>
      <c r="I441" s="126" t="s">
        <v>247</v>
      </c>
      <c r="J441" s="125">
        <f>SUM(M441:X441)</f>
        <v>9</v>
      </c>
      <c r="K441" s="84"/>
      <c r="L441" s="84"/>
      <c r="M441" s="84"/>
      <c r="N441" s="175"/>
      <c r="O441" s="175"/>
      <c r="P441" s="84"/>
      <c r="Q441" s="175"/>
      <c r="R441" s="143"/>
      <c r="S441" s="152"/>
      <c r="T441" s="84"/>
      <c r="U441" s="84"/>
      <c r="V441" s="84"/>
      <c r="W441" s="84"/>
      <c r="X441" s="84">
        <v>9</v>
      </c>
      <c r="Y441" s="70">
        <f t="shared" si="179"/>
        <v>0</v>
      </c>
    </row>
    <row r="442" spans="2:25" ht="16" hidden="1" x14ac:dyDescent="0.2">
      <c r="B442" s="121" t="s">
        <v>243</v>
      </c>
      <c r="C442" s="81" t="s">
        <v>291</v>
      </c>
      <c r="D442" s="81" t="s">
        <v>291</v>
      </c>
      <c r="E442" s="81" t="s">
        <v>328</v>
      </c>
      <c r="F442" s="80" t="s">
        <v>294</v>
      </c>
      <c r="G442" s="81" t="str">
        <f t="shared" si="178"/>
        <v>lending_cashloan_cashloan_MISA_disburse/spend</v>
      </c>
      <c r="H442" s="125"/>
      <c r="I442" s="84" t="s">
        <v>191</v>
      </c>
      <c r="J442" s="125">
        <f>SUM(M442:X442)</f>
        <v>640000000</v>
      </c>
      <c r="K442" s="125"/>
      <c r="L442" s="125"/>
      <c r="M442" s="125"/>
      <c r="N442" s="84"/>
      <c r="O442" s="84"/>
      <c r="P442" s="84"/>
      <c r="Q442" s="84"/>
      <c r="R442" s="84"/>
      <c r="S442" s="82"/>
      <c r="T442" s="84"/>
      <c r="U442" s="84"/>
      <c r="V442" s="84"/>
      <c r="W442" s="125"/>
      <c r="X442" s="125">
        <v>640000000</v>
      </c>
      <c r="Y442" s="70">
        <f t="shared" si="179"/>
        <v>0</v>
      </c>
    </row>
    <row r="443" spans="2:25" ht="16" hidden="1" x14ac:dyDescent="0.2">
      <c r="B443" s="121" t="s">
        <v>243</v>
      </c>
      <c r="C443" s="81" t="s">
        <v>291</v>
      </c>
      <c r="D443" s="81" t="s">
        <v>291</v>
      </c>
      <c r="E443" s="81" t="s">
        <v>328</v>
      </c>
      <c r="F443" s="124"/>
      <c r="G443" s="81" t="str">
        <f t="shared" si="178"/>
        <v>lending_cashloan_cashloan_MISA_</v>
      </c>
      <c r="H443" s="125"/>
      <c r="I443" s="84" t="s">
        <v>248</v>
      </c>
      <c r="J443" s="125">
        <f>SUM(M443:X443)</f>
        <v>0</v>
      </c>
      <c r="K443" s="125"/>
      <c r="L443" s="125"/>
      <c r="M443" s="84"/>
      <c r="N443" s="84"/>
      <c r="O443" s="84"/>
      <c r="P443" s="84"/>
      <c r="Q443" s="125"/>
      <c r="R443" s="125"/>
      <c r="S443" s="82"/>
      <c r="T443" s="84"/>
      <c r="U443" s="84"/>
      <c r="V443" s="125"/>
      <c r="W443" s="125"/>
      <c r="X443" s="125"/>
      <c r="Y443" s="70">
        <f t="shared" si="179"/>
        <v>0</v>
      </c>
    </row>
    <row r="444" spans="2:25" ht="16" hidden="1" x14ac:dyDescent="0.2">
      <c r="B444" s="121" t="s">
        <v>243</v>
      </c>
      <c r="C444" s="81" t="s">
        <v>291</v>
      </c>
      <c r="D444" s="81" t="s">
        <v>291</v>
      </c>
      <c r="E444" s="81" t="s">
        <v>328</v>
      </c>
      <c r="F444" s="124"/>
      <c r="G444" s="81" t="str">
        <f t="shared" si="178"/>
        <v>lending_cashloan_cashloan_MISA_</v>
      </c>
      <c r="H444" s="125"/>
      <c r="I444" s="84" t="s">
        <v>249</v>
      </c>
      <c r="J444" s="125">
        <f>SUM(M444:X444)</f>
        <v>640000000</v>
      </c>
      <c r="K444" s="125">
        <f t="shared" ref="K444:X444" si="180">K442-K443</f>
        <v>0</v>
      </c>
      <c r="L444" s="125">
        <f t="shared" si="180"/>
        <v>0</v>
      </c>
      <c r="M444" s="125">
        <f t="shared" si="180"/>
        <v>0</v>
      </c>
      <c r="N444" s="125">
        <f t="shared" si="180"/>
        <v>0</v>
      </c>
      <c r="O444" s="125">
        <f t="shared" si="180"/>
        <v>0</v>
      </c>
      <c r="P444" s="125">
        <f t="shared" si="180"/>
        <v>0</v>
      </c>
      <c r="Q444" s="125">
        <f t="shared" si="180"/>
        <v>0</v>
      </c>
      <c r="R444" s="125">
        <f t="shared" si="180"/>
        <v>0</v>
      </c>
      <c r="S444" s="125">
        <f t="shared" si="180"/>
        <v>0</v>
      </c>
      <c r="T444" s="125">
        <f t="shared" si="180"/>
        <v>0</v>
      </c>
      <c r="U444" s="125">
        <f t="shared" si="180"/>
        <v>0</v>
      </c>
      <c r="V444" s="125">
        <f t="shared" si="180"/>
        <v>0</v>
      </c>
      <c r="W444" s="125">
        <f t="shared" si="180"/>
        <v>0</v>
      </c>
      <c r="X444" s="125">
        <f t="shared" si="180"/>
        <v>640000000</v>
      </c>
      <c r="Y444" s="70">
        <f t="shared" si="179"/>
        <v>0</v>
      </c>
    </row>
    <row r="445" spans="2:25" ht="16" hidden="1" x14ac:dyDescent="0.2">
      <c r="B445" s="121" t="s">
        <v>243</v>
      </c>
      <c r="C445" s="81" t="s">
        <v>291</v>
      </c>
      <c r="D445" s="81" t="s">
        <v>291</v>
      </c>
      <c r="E445" s="81" t="s">
        <v>328</v>
      </c>
      <c r="F445" s="80" t="s">
        <v>295</v>
      </c>
      <c r="G445" s="81" t="str">
        <f t="shared" si="178"/>
        <v>lending_cashloan_cashloan_MISA_ENR</v>
      </c>
      <c r="H445" s="125"/>
      <c r="I445" s="84" t="s">
        <v>250</v>
      </c>
      <c r="J445" s="125">
        <f>W445</f>
        <v>0</v>
      </c>
      <c r="K445" s="84"/>
      <c r="L445" s="125"/>
      <c r="M445" s="84"/>
      <c r="N445" s="181"/>
      <c r="O445" s="84"/>
      <c r="P445" s="84"/>
      <c r="Q445" s="84"/>
      <c r="R445" s="84"/>
      <c r="S445" s="84"/>
      <c r="T445" s="154"/>
      <c r="U445" s="84"/>
      <c r="V445" s="84"/>
      <c r="W445" s="84"/>
      <c r="X445" s="125">
        <v>640000000</v>
      </c>
      <c r="Y445" s="70">
        <f t="shared" si="179"/>
        <v>0</v>
      </c>
    </row>
    <row r="446" spans="2:25" hidden="1" x14ac:dyDescent="0.2">
      <c r="B446" s="121" t="s">
        <v>243</v>
      </c>
      <c r="C446" s="81" t="s">
        <v>291</v>
      </c>
      <c r="D446" s="81" t="s">
        <v>291</v>
      </c>
      <c r="E446" s="81" t="s">
        <v>328</v>
      </c>
      <c r="F446" s="124"/>
      <c r="G446" s="81" t="str">
        <f t="shared" si="178"/>
        <v>lending_cashloan_cashloan_MISA_</v>
      </c>
      <c r="H446" s="125"/>
      <c r="I446" s="127" t="s">
        <v>251</v>
      </c>
      <c r="J446" s="125">
        <f>X446</f>
        <v>640000000</v>
      </c>
      <c r="K446" s="181">
        <f t="shared" ref="K446:X446" si="181">K445-K447</f>
        <v>0</v>
      </c>
      <c r="L446" s="181">
        <f t="shared" si="181"/>
        <v>0</v>
      </c>
      <c r="M446" s="181">
        <f t="shared" si="181"/>
        <v>0</v>
      </c>
      <c r="N446" s="181">
        <f t="shared" si="181"/>
        <v>0</v>
      </c>
      <c r="O446" s="181">
        <f t="shared" si="181"/>
        <v>0</v>
      </c>
      <c r="P446" s="181">
        <f t="shared" si="181"/>
        <v>0</v>
      </c>
      <c r="Q446" s="181">
        <f t="shared" si="181"/>
        <v>0</v>
      </c>
      <c r="R446" s="181">
        <f t="shared" si="181"/>
        <v>0</v>
      </c>
      <c r="S446" s="181">
        <f t="shared" si="181"/>
        <v>0</v>
      </c>
      <c r="T446" s="181">
        <f t="shared" si="181"/>
        <v>0</v>
      </c>
      <c r="U446" s="181">
        <f t="shared" si="181"/>
        <v>0</v>
      </c>
      <c r="V446" s="181">
        <f t="shared" si="181"/>
        <v>0</v>
      </c>
      <c r="W446" s="181">
        <f t="shared" si="181"/>
        <v>0</v>
      </c>
      <c r="X446" s="181">
        <f t="shared" si="181"/>
        <v>640000000</v>
      </c>
      <c r="Y446" s="70">
        <f t="shared" si="179"/>
        <v>0</v>
      </c>
    </row>
    <row r="447" spans="2:25" hidden="1" x14ac:dyDescent="0.2">
      <c r="B447" s="121" t="s">
        <v>243</v>
      </c>
      <c r="C447" s="81" t="s">
        <v>291</v>
      </c>
      <c r="D447" s="81" t="s">
        <v>291</v>
      </c>
      <c r="E447" s="81" t="s">
        <v>328</v>
      </c>
      <c r="F447" s="124"/>
      <c r="G447" s="81" t="str">
        <f t="shared" si="178"/>
        <v>lending_cashloan_cashloan_MISA_</v>
      </c>
      <c r="H447" s="125"/>
      <c r="I447" s="127" t="s">
        <v>252</v>
      </c>
      <c r="J447" s="125">
        <f>X447</f>
        <v>0</v>
      </c>
      <c r="K447" s="155">
        <v>0</v>
      </c>
      <c r="L447" s="181"/>
      <c r="M447" s="181"/>
      <c r="N447" s="181"/>
      <c r="O447" s="155"/>
      <c r="P447" s="155"/>
      <c r="Q447" s="143"/>
      <c r="R447" s="128"/>
      <c r="S447" s="128"/>
      <c r="T447" s="128"/>
      <c r="U447" s="155"/>
      <c r="V447" s="155"/>
      <c r="W447" s="155"/>
      <c r="X447" s="181"/>
      <c r="Y447" s="70">
        <f t="shared" si="179"/>
        <v>0</v>
      </c>
    </row>
    <row r="448" spans="2:25" hidden="1" x14ac:dyDescent="0.2">
      <c r="B448" s="121" t="s">
        <v>243</v>
      </c>
      <c r="C448" s="81" t="s">
        <v>291</v>
      </c>
      <c r="D448" s="81" t="s">
        <v>291</v>
      </c>
      <c r="E448" s="81" t="s">
        <v>328</v>
      </c>
      <c r="F448" s="124"/>
      <c r="G448" s="81" t="str">
        <f t="shared" si="178"/>
        <v>lending_cashloan_cashloan_MISA_</v>
      </c>
      <c r="H448" s="125"/>
      <c r="I448" s="126" t="s">
        <v>253</v>
      </c>
      <c r="J448" s="125"/>
      <c r="K448" s="155"/>
      <c r="L448" s="181"/>
      <c r="M448" s="181"/>
      <c r="N448" s="181"/>
      <c r="O448" s="194"/>
      <c r="P448" s="155"/>
      <c r="Q448" s="143"/>
      <c r="R448" s="128"/>
      <c r="S448" s="128"/>
      <c r="T448" s="188"/>
      <c r="U448" s="155"/>
      <c r="V448" s="155"/>
      <c r="W448" s="155"/>
      <c r="X448" s="181"/>
      <c r="Y448" s="70">
        <f t="shared" si="179"/>
        <v>0</v>
      </c>
    </row>
    <row r="449" spans="2:27" ht="16" hidden="1" x14ac:dyDescent="0.2">
      <c r="B449" s="121" t="s">
        <v>243</v>
      </c>
      <c r="C449" s="81" t="s">
        <v>291</v>
      </c>
      <c r="D449" s="81" t="s">
        <v>291</v>
      </c>
      <c r="E449" s="81" t="s">
        <v>328</v>
      </c>
      <c r="F449" s="80" t="s">
        <v>298</v>
      </c>
      <c r="G449" s="81" t="str">
        <f t="shared" si="178"/>
        <v>lending_cashloan_cashloan_MISA_overdue_balance_10d</v>
      </c>
      <c r="H449" s="125"/>
      <c r="I449" s="84" t="s">
        <v>254</v>
      </c>
      <c r="J449" s="125"/>
      <c r="K449" s="155"/>
      <c r="L449" s="181"/>
      <c r="M449" s="181"/>
      <c r="N449" s="181"/>
      <c r="O449" s="181"/>
      <c r="P449" s="181"/>
      <c r="Q449" s="181"/>
      <c r="R449" s="181"/>
      <c r="S449" s="182"/>
      <c r="T449" s="181"/>
      <c r="U449" s="181"/>
      <c r="V449" s="181"/>
      <c r="W449" s="181"/>
      <c r="X449" s="181"/>
      <c r="Y449" s="70">
        <f t="shared" si="179"/>
        <v>0</v>
      </c>
    </row>
    <row r="450" spans="2:27" ht="16" hidden="1" x14ac:dyDescent="0.2">
      <c r="B450" s="121" t="s">
        <v>243</v>
      </c>
      <c r="C450" s="81" t="s">
        <v>291</v>
      </c>
      <c r="D450" s="81" t="s">
        <v>291</v>
      </c>
      <c r="E450" s="81" t="s">
        <v>328</v>
      </c>
      <c r="F450" s="80" t="s">
        <v>299</v>
      </c>
      <c r="G450" s="81" t="str">
        <f t="shared" si="178"/>
        <v>lending_cashloan_cashloan_MISA_overdue_balance_90d</v>
      </c>
      <c r="H450" s="125"/>
      <c r="I450" s="84" t="s">
        <v>255</v>
      </c>
      <c r="J450" s="125"/>
      <c r="K450" s="155"/>
      <c r="L450" s="181"/>
      <c r="M450" s="181"/>
      <c r="N450" s="181"/>
      <c r="O450" s="181"/>
      <c r="P450" s="181"/>
      <c r="Q450" s="181"/>
      <c r="R450" s="181"/>
      <c r="S450" s="181"/>
      <c r="T450" s="181"/>
      <c r="U450" s="181"/>
      <c r="V450" s="181"/>
      <c r="W450" s="181"/>
      <c r="X450" s="181"/>
      <c r="Y450" s="70">
        <f t="shared" si="179"/>
        <v>0</v>
      </c>
    </row>
    <row r="451" spans="2:27" ht="16" hidden="1" x14ac:dyDescent="0.2">
      <c r="B451" s="121" t="s">
        <v>243</v>
      </c>
      <c r="C451" s="81" t="s">
        <v>291</v>
      </c>
      <c r="D451" s="81" t="s">
        <v>291</v>
      </c>
      <c r="E451" s="81" t="s">
        <v>328</v>
      </c>
      <c r="F451" s="124"/>
      <c r="G451" s="81" t="str">
        <f t="shared" si="178"/>
        <v>lending_cashloan_cashloan_MISA_</v>
      </c>
      <c r="H451" s="125"/>
      <c r="I451" s="84" t="s">
        <v>256</v>
      </c>
      <c r="J451" s="125"/>
      <c r="K451" s="84"/>
      <c r="L451" s="84"/>
      <c r="M451" s="84"/>
      <c r="N451" s="84"/>
      <c r="O451" s="84"/>
      <c r="P451" s="84"/>
      <c r="Q451" s="84"/>
      <c r="R451" s="84"/>
      <c r="S451" s="84">
        <f>S449-S450</f>
        <v>0</v>
      </c>
      <c r="T451" s="84">
        <f>T449-T450</f>
        <v>0</v>
      </c>
      <c r="U451" s="84">
        <f>U449-U450</f>
        <v>0</v>
      </c>
      <c r="V451" s="82"/>
      <c r="W451" s="82"/>
      <c r="X451" s="84"/>
      <c r="Y451" s="70">
        <f t="shared" si="179"/>
        <v>0</v>
      </c>
    </row>
    <row r="452" spans="2:27" ht="16" hidden="1" x14ac:dyDescent="0.2">
      <c r="B452" s="121" t="s">
        <v>243</v>
      </c>
      <c r="C452" s="81" t="s">
        <v>291</v>
      </c>
      <c r="D452" s="81" t="s">
        <v>291</v>
      </c>
      <c r="E452" s="81" t="s">
        <v>328</v>
      </c>
      <c r="F452" s="124"/>
      <c r="G452" s="81" t="str">
        <f t="shared" si="178"/>
        <v>lending_cashloan_cashloan_MISA_</v>
      </c>
      <c r="H452" s="125"/>
      <c r="I452" s="84" t="s">
        <v>257</v>
      </c>
      <c r="J452" s="125"/>
      <c r="K452" s="177"/>
      <c r="L452" s="177"/>
      <c r="M452" s="177"/>
      <c r="N452" s="177"/>
      <c r="O452" s="177"/>
      <c r="P452" s="177" t="e">
        <f t="shared" ref="P452:X452" si="182">P450/P445</f>
        <v>#DIV/0!</v>
      </c>
      <c r="Q452" s="177" t="e">
        <f t="shared" si="182"/>
        <v>#DIV/0!</v>
      </c>
      <c r="R452" s="177" t="e">
        <f t="shared" si="182"/>
        <v>#DIV/0!</v>
      </c>
      <c r="S452" s="177" t="e">
        <f t="shared" si="182"/>
        <v>#DIV/0!</v>
      </c>
      <c r="T452" s="177" t="e">
        <f t="shared" si="182"/>
        <v>#DIV/0!</v>
      </c>
      <c r="U452" s="177" t="e">
        <f t="shared" si="182"/>
        <v>#DIV/0!</v>
      </c>
      <c r="V452" s="177" t="e">
        <f t="shared" si="182"/>
        <v>#DIV/0!</v>
      </c>
      <c r="W452" s="177" t="e">
        <f t="shared" si="182"/>
        <v>#DIV/0!</v>
      </c>
      <c r="X452" s="177">
        <f t="shared" si="182"/>
        <v>0</v>
      </c>
      <c r="Y452" s="70" t="e">
        <f t="shared" si="179"/>
        <v>#DIV/0!</v>
      </c>
    </row>
    <row r="453" spans="2:27" ht="16" hidden="1" x14ac:dyDescent="0.2">
      <c r="B453" s="121" t="s">
        <v>243</v>
      </c>
      <c r="C453" s="81" t="s">
        <v>291</v>
      </c>
      <c r="D453" s="81" t="s">
        <v>291</v>
      </c>
      <c r="E453" s="81" t="s">
        <v>328</v>
      </c>
      <c r="F453" s="80" t="s">
        <v>258</v>
      </c>
      <c r="G453" s="81" t="str">
        <f t="shared" si="178"/>
        <v>lending_cashloan_cashloan_MISA_npl</v>
      </c>
      <c r="H453" s="125"/>
      <c r="I453" s="84" t="s">
        <v>259</v>
      </c>
      <c r="J453" s="125"/>
      <c r="K453" s="177"/>
      <c r="L453" s="177"/>
      <c r="M453" s="177"/>
      <c r="N453" s="177"/>
      <c r="O453" s="177"/>
      <c r="P453" s="177" t="e">
        <f t="shared" ref="P453:U453" si="183">P451/P445</f>
        <v>#DIV/0!</v>
      </c>
      <c r="Q453" s="177" t="e">
        <f t="shared" si="183"/>
        <v>#DIV/0!</v>
      </c>
      <c r="R453" s="177" t="e">
        <f t="shared" si="183"/>
        <v>#DIV/0!</v>
      </c>
      <c r="S453" s="177" t="e">
        <f t="shared" si="183"/>
        <v>#DIV/0!</v>
      </c>
      <c r="T453" s="177" t="e">
        <f t="shared" si="183"/>
        <v>#DIV/0!</v>
      </c>
      <c r="U453" s="177" t="e">
        <f t="shared" si="183"/>
        <v>#DIV/0!</v>
      </c>
      <c r="V453" s="177" t="e">
        <f>V451/V445</f>
        <v>#DIV/0!</v>
      </c>
      <c r="W453" s="177" t="e">
        <f>W451/W445</f>
        <v>#DIV/0!</v>
      </c>
      <c r="X453" s="177">
        <f>X451/X445</f>
        <v>0</v>
      </c>
      <c r="Y453" s="70" t="e">
        <f t="shared" si="179"/>
        <v>#DIV/0!</v>
      </c>
    </row>
    <row r="454" spans="2:27" hidden="1" x14ac:dyDescent="0.2">
      <c r="B454" s="121" t="s">
        <v>243</v>
      </c>
      <c r="C454" s="81" t="s">
        <v>291</v>
      </c>
      <c r="D454" s="81" t="s">
        <v>291</v>
      </c>
      <c r="E454" s="81" t="s">
        <v>328</v>
      </c>
      <c r="F454" s="80" t="s">
        <v>260</v>
      </c>
      <c r="G454" s="81" t="str">
        <f t="shared" si="178"/>
        <v>lending_cashloan_cashloan_MISA_TOI</v>
      </c>
      <c r="H454" s="125"/>
      <c r="I454" s="130" t="s">
        <v>260</v>
      </c>
      <c r="J454" s="131">
        <f t="shared" ref="J454:X454" si="184">J455+J460+J464</f>
        <v>4213535</v>
      </c>
      <c r="K454" s="131">
        <f t="shared" si="184"/>
        <v>0</v>
      </c>
      <c r="L454" s="131">
        <f t="shared" si="184"/>
        <v>0</v>
      </c>
      <c r="M454" s="131">
        <f t="shared" si="184"/>
        <v>0</v>
      </c>
      <c r="N454" s="131">
        <f t="shared" si="184"/>
        <v>0</v>
      </c>
      <c r="O454" s="131">
        <f t="shared" si="184"/>
        <v>0</v>
      </c>
      <c r="P454" s="131">
        <f t="shared" si="184"/>
        <v>0</v>
      </c>
      <c r="Q454" s="131">
        <f t="shared" si="184"/>
        <v>0</v>
      </c>
      <c r="R454" s="131">
        <f t="shared" si="184"/>
        <v>0</v>
      </c>
      <c r="S454" s="131">
        <f t="shared" si="184"/>
        <v>0</v>
      </c>
      <c r="T454" s="131">
        <f t="shared" si="184"/>
        <v>0</v>
      </c>
      <c r="U454" s="131">
        <f t="shared" si="184"/>
        <v>0</v>
      </c>
      <c r="V454" s="131">
        <f t="shared" si="184"/>
        <v>0</v>
      </c>
      <c r="W454" s="131">
        <f t="shared" si="184"/>
        <v>0</v>
      </c>
      <c r="X454" s="131">
        <f t="shared" si="184"/>
        <v>4213535</v>
      </c>
      <c r="Y454" s="70">
        <f t="shared" si="179"/>
        <v>0</v>
      </c>
    </row>
    <row r="455" spans="2:27" hidden="1" x14ac:dyDescent="0.2">
      <c r="B455" s="121" t="s">
        <v>243</v>
      </c>
      <c r="C455" s="81" t="s">
        <v>291</v>
      </c>
      <c r="D455" s="81" t="s">
        <v>291</v>
      </c>
      <c r="E455" s="81" t="s">
        <v>328</v>
      </c>
      <c r="F455" s="80" t="s">
        <v>300</v>
      </c>
      <c r="G455" s="81" t="str">
        <f t="shared" si="178"/>
        <v>lending_cashloan_cashloan_MISA_NII</v>
      </c>
      <c r="H455" s="125"/>
      <c r="I455" s="132" t="s">
        <v>261</v>
      </c>
      <c r="J455" s="131">
        <f t="shared" ref="J455:X455" si="185">J456-J459</f>
        <v>4213535</v>
      </c>
      <c r="K455" s="131">
        <f t="shared" si="185"/>
        <v>0</v>
      </c>
      <c r="L455" s="131">
        <f t="shared" si="185"/>
        <v>0</v>
      </c>
      <c r="M455" s="131">
        <f t="shared" si="185"/>
        <v>0</v>
      </c>
      <c r="N455" s="131">
        <f t="shared" si="185"/>
        <v>0</v>
      </c>
      <c r="O455" s="131">
        <f t="shared" si="185"/>
        <v>0</v>
      </c>
      <c r="P455" s="131">
        <f t="shared" si="185"/>
        <v>0</v>
      </c>
      <c r="Q455" s="131">
        <f t="shared" si="185"/>
        <v>0</v>
      </c>
      <c r="R455" s="131">
        <f t="shared" si="185"/>
        <v>0</v>
      </c>
      <c r="S455" s="131">
        <f t="shared" si="185"/>
        <v>0</v>
      </c>
      <c r="T455" s="131">
        <f t="shared" si="185"/>
        <v>0</v>
      </c>
      <c r="U455" s="131">
        <f t="shared" si="185"/>
        <v>0</v>
      </c>
      <c r="V455" s="131">
        <f t="shared" si="185"/>
        <v>0</v>
      </c>
      <c r="W455" s="131">
        <f t="shared" si="185"/>
        <v>0</v>
      </c>
      <c r="X455" s="131">
        <f t="shared" si="185"/>
        <v>4213535</v>
      </c>
      <c r="Y455" s="70">
        <f t="shared" si="179"/>
        <v>0</v>
      </c>
    </row>
    <row r="456" spans="2:27" ht="16" hidden="1" x14ac:dyDescent="0.2">
      <c r="B456" s="121" t="s">
        <v>243</v>
      </c>
      <c r="C456" s="81" t="s">
        <v>291</v>
      </c>
      <c r="D456" s="81" t="s">
        <v>291</v>
      </c>
      <c r="E456" s="81" t="s">
        <v>328</v>
      </c>
      <c r="F456" s="80" t="s">
        <v>301</v>
      </c>
      <c r="G456" s="81" t="str">
        <f t="shared" si="178"/>
        <v>lending_cashloan_cashloan_MISA_CII</v>
      </c>
      <c r="H456" s="125"/>
      <c r="I456" s="134" t="s">
        <v>262</v>
      </c>
      <c r="J456" s="125">
        <f>SUM(M456:X456)</f>
        <v>4865754</v>
      </c>
      <c r="K456" s="125">
        <f>K457+0-K458</f>
        <v>0</v>
      </c>
      <c r="L456" s="125">
        <f t="shared" ref="L456:W456" si="186">L457+K458-L458</f>
        <v>0</v>
      </c>
      <c r="M456" s="125">
        <f t="shared" si="186"/>
        <v>0</v>
      </c>
      <c r="N456" s="125">
        <f t="shared" si="186"/>
        <v>0</v>
      </c>
      <c r="O456" s="125">
        <f t="shared" si="186"/>
        <v>0</v>
      </c>
      <c r="P456" s="125">
        <f t="shared" si="186"/>
        <v>0</v>
      </c>
      <c r="Q456" s="125">
        <f t="shared" si="186"/>
        <v>0</v>
      </c>
      <c r="R456" s="125">
        <f t="shared" si="186"/>
        <v>0</v>
      </c>
      <c r="S456" s="125">
        <f t="shared" si="186"/>
        <v>0</v>
      </c>
      <c r="T456" s="125">
        <f t="shared" si="186"/>
        <v>0</v>
      </c>
      <c r="U456" s="125">
        <f t="shared" si="186"/>
        <v>0</v>
      </c>
      <c r="V456" s="125">
        <f t="shared" si="186"/>
        <v>0</v>
      </c>
      <c r="W456" s="125">
        <f t="shared" si="186"/>
        <v>0</v>
      </c>
      <c r="X456" s="125">
        <f>X457+W458-X458</f>
        <v>4865754</v>
      </c>
      <c r="Y456" s="70">
        <f t="shared" si="179"/>
        <v>0</v>
      </c>
    </row>
    <row r="457" spans="2:27" ht="16" hidden="1" x14ac:dyDescent="0.2">
      <c r="B457" s="121" t="s">
        <v>243</v>
      </c>
      <c r="C457" s="81" t="s">
        <v>291</v>
      </c>
      <c r="D457" s="81" t="s">
        <v>291</v>
      </c>
      <c r="E457" s="81" t="s">
        <v>328</v>
      </c>
      <c r="F457" s="80"/>
      <c r="G457" s="81" t="str">
        <f t="shared" si="178"/>
        <v>lending_cashloan_cashloan_MISA_</v>
      </c>
      <c r="H457" s="125"/>
      <c r="I457" s="183" t="s">
        <v>263</v>
      </c>
      <c r="J457" s="136">
        <f>SUM(M457:X457)</f>
        <v>4865754</v>
      </c>
      <c r="K457" s="136"/>
      <c r="L457" s="136"/>
      <c r="M457" s="136"/>
      <c r="N457" s="136"/>
      <c r="O457" s="136">
        <v>0</v>
      </c>
      <c r="P457" s="136">
        <v>0</v>
      </c>
      <c r="Q457" s="136"/>
      <c r="R457" s="136"/>
      <c r="S457" s="136"/>
      <c r="T457" s="136"/>
      <c r="U457" s="136"/>
      <c r="V457" s="136"/>
      <c r="W457" s="125"/>
      <c r="X457" s="136">
        <v>4865754</v>
      </c>
      <c r="Y457" s="70">
        <f t="shared" si="179"/>
        <v>0</v>
      </c>
    </row>
    <row r="458" spans="2:27" ht="16" hidden="1" x14ac:dyDescent="0.2">
      <c r="B458" s="121" t="s">
        <v>243</v>
      </c>
      <c r="C458" s="81" t="s">
        <v>291</v>
      </c>
      <c r="D458" s="81" t="s">
        <v>291</v>
      </c>
      <c r="E458" s="81" t="s">
        <v>328</v>
      </c>
      <c r="F458" s="124"/>
      <c r="G458" s="81" t="str">
        <f t="shared" si="178"/>
        <v>lending_cashloan_cashloan_MISA_</v>
      </c>
      <c r="H458" s="125"/>
      <c r="I458" s="183" t="s">
        <v>264</v>
      </c>
      <c r="J458" s="136">
        <f>SUM(M458:X458)</f>
        <v>0</v>
      </c>
      <c r="K458" s="136"/>
      <c r="L458" s="136"/>
      <c r="M458" s="136"/>
      <c r="N458" s="136"/>
      <c r="O458" s="136"/>
      <c r="P458" s="136"/>
      <c r="Q458" s="136"/>
      <c r="R458" s="136"/>
      <c r="S458" s="136"/>
      <c r="T458" s="136"/>
      <c r="U458" s="136"/>
      <c r="V458" s="125"/>
      <c r="W458" s="136"/>
      <c r="X458" s="136"/>
      <c r="Y458" s="70">
        <f t="shared" si="179"/>
        <v>0</v>
      </c>
      <c r="Z458" s="70"/>
      <c r="AA458" s="70"/>
    </row>
    <row r="459" spans="2:27" ht="16" hidden="1" x14ac:dyDescent="0.2">
      <c r="B459" s="121" t="s">
        <v>243</v>
      </c>
      <c r="C459" s="81" t="s">
        <v>291</v>
      </c>
      <c r="D459" s="81" t="s">
        <v>291</v>
      </c>
      <c r="E459" s="81" t="s">
        <v>328</v>
      </c>
      <c r="F459" s="80" t="s">
        <v>62</v>
      </c>
      <c r="G459" s="81" t="str">
        <f t="shared" si="178"/>
        <v>lending_cashloan_cashloan_MISA_COF</v>
      </c>
      <c r="H459" s="125"/>
      <c r="I459" s="134" t="s">
        <v>62</v>
      </c>
      <c r="J459" s="125">
        <f>SUM(M459:X459)</f>
        <v>652219</v>
      </c>
      <c r="K459" s="154"/>
      <c r="L459" s="143"/>
      <c r="M459" s="84"/>
      <c r="N459" s="84"/>
      <c r="O459" s="84"/>
      <c r="P459" s="125">
        <v>0</v>
      </c>
      <c r="Q459" s="84"/>
      <c r="R459" s="84"/>
      <c r="S459" s="82"/>
      <c r="T459" s="82"/>
      <c r="U459" s="82"/>
      <c r="V459" s="125"/>
      <c r="W459" s="154"/>
      <c r="X459" s="143">
        <v>652219</v>
      </c>
      <c r="Y459" s="70">
        <f t="shared" si="179"/>
        <v>0</v>
      </c>
    </row>
    <row r="460" spans="2:27" hidden="1" x14ac:dyDescent="0.2">
      <c r="B460" s="121" t="s">
        <v>243</v>
      </c>
      <c r="C460" s="81" t="s">
        <v>291</v>
      </c>
      <c r="D460" s="81" t="s">
        <v>291</v>
      </c>
      <c r="E460" s="81" t="s">
        <v>328</v>
      </c>
      <c r="F460" s="80" t="s">
        <v>302</v>
      </c>
      <c r="G460" s="81" t="str">
        <f t="shared" si="178"/>
        <v>lending_cashloan_cashloan_MISA_NFI</v>
      </c>
      <c r="H460" s="125"/>
      <c r="I460" s="132" t="s">
        <v>265</v>
      </c>
      <c r="J460" s="131">
        <f t="shared" ref="J460:X460" si="187">SUM(J461:J463)</f>
        <v>0</v>
      </c>
      <c r="K460" s="131">
        <f t="shared" si="187"/>
        <v>0</v>
      </c>
      <c r="L460" s="131">
        <f t="shared" si="187"/>
        <v>0</v>
      </c>
      <c r="M460" s="131">
        <f t="shared" si="187"/>
        <v>0</v>
      </c>
      <c r="N460" s="131">
        <f t="shared" si="187"/>
        <v>0</v>
      </c>
      <c r="O460" s="131">
        <f t="shared" si="187"/>
        <v>0</v>
      </c>
      <c r="P460" s="131">
        <f t="shared" si="187"/>
        <v>0</v>
      </c>
      <c r="Q460" s="131">
        <f t="shared" si="187"/>
        <v>0</v>
      </c>
      <c r="R460" s="131">
        <f t="shared" si="187"/>
        <v>0</v>
      </c>
      <c r="S460" s="131">
        <f t="shared" si="187"/>
        <v>0</v>
      </c>
      <c r="T460" s="131">
        <f t="shared" si="187"/>
        <v>0</v>
      </c>
      <c r="U460" s="131">
        <f t="shared" si="187"/>
        <v>0</v>
      </c>
      <c r="V460" s="131">
        <f t="shared" si="187"/>
        <v>0</v>
      </c>
      <c r="W460" s="131">
        <f t="shared" si="187"/>
        <v>0</v>
      </c>
      <c r="X460" s="131">
        <f t="shared" si="187"/>
        <v>0</v>
      </c>
      <c r="Y460" s="70">
        <f t="shared" si="179"/>
        <v>0</v>
      </c>
    </row>
    <row r="461" spans="2:27" ht="16" hidden="1" x14ac:dyDescent="0.2">
      <c r="B461" s="121" t="s">
        <v>243</v>
      </c>
      <c r="C461" s="81" t="s">
        <v>291</v>
      </c>
      <c r="D461" s="81" t="s">
        <v>291</v>
      </c>
      <c r="E461" s="81" t="s">
        <v>328</v>
      </c>
      <c r="F461" s="80" t="s">
        <v>303</v>
      </c>
      <c r="G461" s="81" t="str">
        <f t="shared" si="178"/>
        <v>lending_cashloan_cashloan_MISA_insurance_fee</v>
      </c>
      <c r="H461" s="125"/>
      <c r="I461" s="134" t="s">
        <v>266</v>
      </c>
      <c r="J461" s="136">
        <f>SUM(M461:X461)</f>
        <v>0</v>
      </c>
      <c r="K461" s="136"/>
      <c r="L461" s="164"/>
      <c r="M461" s="164"/>
      <c r="N461" s="64"/>
      <c r="O461" s="162">
        <v>0</v>
      </c>
      <c r="P461" s="162"/>
      <c r="Q461" s="125"/>
      <c r="R461" s="125"/>
      <c r="S461" s="125"/>
      <c r="T461" s="136"/>
      <c r="U461" s="136"/>
      <c r="V461" s="136"/>
      <c r="W461" s="136"/>
      <c r="X461" s="164"/>
      <c r="Y461" s="70">
        <f t="shared" si="179"/>
        <v>0</v>
      </c>
    </row>
    <row r="462" spans="2:27" ht="16" hidden="1" x14ac:dyDescent="0.2">
      <c r="B462" s="121" t="s">
        <v>243</v>
      </c>
      <c r="C462" s="81" t="s">
        <v>291</v>
      </c>
      <c r="D462" s="81" t="s">
        <v>291</v>
      </c>
      <c r="E462" s="81" t="s">
        <v>328</v>
      </c>
      <c r="F462" s="80" t="s">
        <v>304</v>
      </c>
      <c r="G462" s="81" t="str">
        <f t="shared" si="178"/>
        <v>lending_cashloan_cashloan_MISA_early_terminate_fee</v>
      </c>
      <c r="H462" s="125"/>
      <c r="I462" s="134" t="s">
        <v>267</v>
      </c>
      <c r="J462" s="136">
        <f>SUM(M462:X462)</f>
        <v>0</v>
      </c>
      <c r="K462" s="136"/>
      <c r="L462" s="136"/>
      <c r="M462" s="162">
        <v>0</v>
      </c>
      <c r="N462" s="162"/>
      <c r="O462" s="162">
        <v>0</v>
      </c>
      <c r="P462" s="162"/>
      <c r="Q462" s="143"/>
      <c r="R462" s="136"/>
      <c r="S462" s="125"/>
      <c r="T462" s="125"/>
      <c r="U462" s="125"/>
      <c r="V462" s="125"/>
      <c r="W462" s="136"/>
      <c r="X462" s="136"/>
      <c r="Y462" s="70">
        <f t="shared" si="179"/>
        <v>0</v>
      </c>
    </row>
    <row r="463" spans="2:27" ht="16" hidden="1" x14ac:dyDescent="0.2">
      <c r="B463" s="121" t="s">
        <v>243</v>
      </c>
      <c r="C463" s="81" t="s">
        <v>291</v>
      </c>
      <c r="D463" s="81" t="s">
        <v>291</v>
      </c>
      <c r="E463" s="81" t="s">
        <v>328</v>
      </c>
      <c r="F463" s="80" t="s">
        <v>305</v>
      </c>
      <c r="G463" s="81" t="str">
        <f t="shared" si="178"/>
        <v>lending_cashloan_cashloan_MISA_loan_grant_fee</v>
      </c>
      <c r="H463" s="125"/>
      <c r="I463" s="134" t="s">
        <v>187</v>
      </c>
      <c r="J463" s="136">
        <f>SUM(M463:X463)</f>
        <v>0</v>
      </c>
      <c r="K463" s="136"/>
      <c r="L463" s="136"/>
      <c r="M463" s="162"/>
      <c r="N463" s="162"/>
      <c r="O463" s="162"/>
      <c r="P463" s="162"/>
      <c r="Q463" s="162"/>
      <c r="R463" s="136"/>
      <c r="S463" s="164"/>
      <c r="T463" s="136"/>
      <c r="U463" s="136"/>
      <c r="V463" s="136"/>
      <c r="W463" s="136"/>
      <c r="X463" s="136"/>
      <c r="Y463" s="70">
        <f t="shared" si="179"/>
        <v>0</v>
      </c>
    </row>
    <row r="464" spans="2:27" hidden="1" x14ac:dyDescent="0.2">
      <c r="B464" s="121" t="s">
        <v>243</v>
      </c>
      <c r="C464" s="81" t="s">
        <v>291</v>
      </c>
      <c r="D464" s="81" t="s">
        <v>291</v>
      </c>
      <c r="E464" s="81" t="s">
        <v>328</v>
      </c>
      <c r="F464" s="80" t="s">
        <v>306</v>
      </c>
      <c r="G464" s="81" t="str">
        <f t="shared" si="178"/>
        <v>lending_cashloan_cashloan_MISA_other_TOI</v>
      </c>
      <c r="H464" s="125"/>
      <c r="I464" s="132" t="s">
        <v>269</v>
      </c>
      <c r="J464" s="178">
        <f>SUM(M464:X464)</f>
        <v>0</v>
      </c>
      <c r="K464" s="136"/>
      <c r="L464" s="136"/>
      <c r="M464" s="162"/>
      <c r="N464" s="162"/>
      <c r="O464" s="162"/>
      <c r="P464" s="162"/>
      <c r="Q464" s="162"/>
      <c r="R464" s="136"/>
      <c r="S464" s="164"/>
      <c r="T464" s="136"/>
      <c r="U464" s="140"/>
      <c r="V464" s="136"/>
      <c r="W464" s="136"/>
      <c r="X464" s="136"/>
      <c r="Y464" s="70">
        <f t="shared" si="179"/>
        <v>0</v>
      </c>
    </row>
    <row r="465" spans="2:26" s="54" customFormat="1" hidden="1" x14ac:dyDescent="0.2">
      <c r="B465" s="121" t="s">
        <v>243</v>
      </c>
      <c r="C465" s="81" t="s">
        <v>291</v>
      </c>
      <c r="D465" s="81" t="s">
        <v>291</v>
      </c>
      <c r="E465" s="81" t="s">
        <v>328</v>
      </c>
      <c r="F465" s="80" t="s">
        <v>307</v>
      </c>
      <c r="G465" s="81" t="str">
        <f t="shared" si="178"/>
        <v>lending_cashloan_cashloan_MISA_provision</v>
      </c>
      <c r="H465" s="125"/>
      <c r="I465" s="140" t="s">
        <v>270</v>
      </c>
      <c r="J465" s="131">
        <f>SUM(M465:X465)</f>
        <v>4800000</v>
      </c>
      <c r="K465" s="131"/>
      <c r="L465" s="168"/>
      <c r="M465" s="168"/>
      <c r="N465" s="184"/>
      <c r="O465" s="184">
        <v>0</v>
      </c>
      <c r="P465" s="140"/>
      <c r="Q465" s="131"/>
      <c r="R465" s="131"/>
      <c r="S465" s="131"/>
      <c r="T465" s="168"/>
      <c r="U465" s="168"/>
      <c r="V465" s="168"/>
      <c r="W465" s="131"/>
      <c r="X465" s="168">
        <v>4800000</v>
      </c>
      <c r="Y465" s="70">
        <f t="shared" si="179"/>
        <v>0</v>
      </c>
    </row>
    <row r="466" spans="2:26" hidden="1" x14ac:dyDescent="0.2">
      <c r="B466" s="121" t="s">
        <v>243</v>
      </c>
      <c r="C466" s="81" t="s">
        <v>291</v>
      </c>
      <c r="D466" s="81" t="s">
        <v>291</v>
      </c>
      <c r="E466" s="81" t="s">
        <v>328</v>
      </c>
      <c r="F466" s="80" t="s">
        <v>308</v>
      </c>
      <c r="G466" s="81" t="str">
        <f t="shared" si="178"/>
        <v>lending_cashloan_cashloan_MISA_variable_cost</v>
      </c>
      <c r="H466" s="125"/>
      <c r="I466" s="140" t="s">
        <v>271</v>
      </c>
      <c r="J466" s="131">
        <f t="shared" ref="J466:X466" si="188">SUM(J467:J474)</f>
        <v>19803414.960934918</v>
      </c>
      <c r="K466" s="131">
        <f t="shared" si="188"/>
        <v>0</v>
      </c>
      <c r="L466" s="131">
        <f t="shared" si="188"/>
        <v>0</v>
      </c>
      <c r="M466" s="131">
        <f t="shared" si="188"/>
        <v>0</v>
      </c>
      <c r="N466" s="131">
        <f t="shared" si="188"/>
        <v>0</v>
      </c>
      <c r="O466" s="131">
        <f t="shared" si="188"/>
        <v>0</v>
      </c>
      <c r="P466" s="131">
        <f t="shared" si="188"/>
        <v>0</v>
      </c>
      <c r="Q466" s="131">
        <f t="shared" si="188"/>
        <v>0</v>
      </c>
      <c r="R466" s="131">
        <f t="shared" si="188"/>
        <v>0</v>
      </c>
      <c r="S466" s="131">
        <f t="shared" si="188"/>
        <v>0</v>
      </c>
      <c r="T466" s="131">
        <f t="shared" si="188"/>
        <v>0</v>
      </c>
      <c r="U466" s="131">
        <f t="shared" si="188"/>
        <v>0</v>
      </c>
      <c r="V466" s="131">
        <f t="shared" si="188"/>
        <v>0</v>
      </c>
      <c r="W466" s="131">
        <f t="shared" si="188"/>
        <v>0</v>
      </c>
      <c r="X466" s="131">
        <f t="shared" si="188"/>
        <v>19803414.960934918</v>
      </c>
      <c r="Y466" s="70">
        <f t="shared" si="179"/>
        <v>0</v>
      </c>
    </row>
    <row r="467" spans="2:26" ht="16" hidden="1" x14ac:dyDescent="0.2">
      <c r="B467" s="121" t="s">
        <v>243</v>
      </c>
      <c r="C467" s="81" t="s">
        <v>291</v>
      </c>
      <c r="D467" s="81" t="s">
        <v>291</v>
      </c>
      <c r="E467" s="81" t="s">
        <v>328</v>
      </c>
      <c r="F467" s="80" t="s">
        <v>198</v>
      </c>
      <c r="G467" s="81" t="str">
        <f t="shared" si="178"/>
        <v>lending_cashloan_cashloan_MISA_marketing_acquisition_cost</v>
      </c>
      <c r="H467" s="125"/>
      <c r="I467" s="142" t="s">
        <v>272</v>
      </c>
      <c r="J467" s="125">
        <f t="shared" ref="J467:J472" si="189">SUM(M467:X467)</f>
        <v>0</v>
      </c>
      <c r="K467" s="122"/>
      <c r="L467" s="122"/>
      <c r="M467" s="84"/>
      <c r="N467" s="84"/>
      <c r="O467" s="84"/>
      <c r="P467" s="122"/>
      <c r="Q467" s="84"/>
      <c r="R467" s="143"/>
      <c r="S467" s="125"/>
      <c r="T467" s="125"/>
      <c r="U467" s="190"/>
      <c r="V467" s="122"/>
      <c r="W467" s="122"/>
      <c r="X467" s="122"/>
      <c r="Y467" s="70">
        <f t="shared" si="179"/>
        <v>0</v>
      </c>
    </row>
    <row r="468" spans="2:26" ht="16" hidden="1" x14ac:dyDescent="0.2">
      <c r="B468" s="121" t="s">
        <v>243</v>
      </c>
      <c r="C468" s="81" t="s">
        <v>291</v>
      </c>
      <c r="D468" s="81" t="s">
        <v>291</v>
      </c>
      <c r="E468" s="81" t="s">
        <v>328</v>
      </c>
      <c r="F468" s="80" t="s">
        <v>309</v>
      </c>
      <c r="G468" s="81" t="str">
        <f t="shared" si="178"/>
        <v>lending_cashloan_cashloan_MISA_partner_acquisition_cost</v>
      </c>
      <c r="H468" s="125"/>
      <c r="I468" s="142" t="s">
        <v>202</v>
      </c>
      <c r="J468" s="131">
        <f t="shared" si="189"/>
        <v>19200000</v>
      </c>
      <c r="K468" s="187"/>
      <c r="L468" s="140"/>
      <c r="M468" s="168"/>
      <c r="N468" s="184"/>
      <c r="O468" s="140"/>
      <c r="P468" s="131"/>
      <c r="Q468" s="191"/>
      <c r="R468" s="191"/>
      <c r="S468" s="125"/>
      <c r="T468" s="125"/>
      <c r="U468" s="125"/>
      <c r="V468" s="125"/>
      <c r="W468" s="125"/>
      <c r="X468" s="125">
        <v>19200000</v>
      </c>
      <c r="Y468" s="70">
        <f t="shared" si="179"/>
        <v>0</v>
      </c>
      <c r="Z468" s="115"/>
    </row>
    <row r="469" spans="2:26" ht="16" hidden="1" x14ac:dyDescent="0.2">
      <c r="B469" s="121" t="s">
        <v>243</v>
      </c>
      <c r="C469" s="81" t="s">
        <v>291</v>
      </c>
      <c r="D469" s="81" t="s">
        <v>291</v>
      </c>
      <c r="E469" s="81" t="s">
        <v>328</v>
      </c>
      <c r="F469" s="80" t="s">
        <v>310</v>
      </c>
      <c r="G469" s="81" t="str">
        <f t="shared" si="178"/>
        <v>lending_cashloan_cashloan_MISA_underwritting</v>
      </c>
      <c r="H469" s="125"/>
      <c r="I469" s="142" t="s">
        <v>273</v>
      </c>
      <c r="J469" s="125">
        <f t="shared" si="189"/>
        <v>567629.90933700057</v>
      </c>
      <c r="K469" s="125"/>
      <c r="L469" s="125"/>
      <c r="M469" s="170">
        <v>0</v>
      </c>
      <c r="N469" s="170">
        <v>0</v>
      </c>
      <c r="O469" s="170">
        <v>0</v>
      </c>
      <c r="P469" s="170">
        <v>0</v>
      </c>
      <c r="Q469" s="170"/>
      <c r="R469" s="170"/>
      <c r="S469" s="125"/>
      <c r="T469" s="125"/>
      <c r="U469" s="125"/>
      <c r="V469" s="125"/>
      <c r="W469" s="125"/>
      <c r="X469" s="125">
        <v>567629.90933700057</v>
      </c>
      <c r="Y469" s="70">
        <f t="shared" si="179"/>
        <v>0</v>
      </c>
    </row>
    <row r="470" spans="2:26" ht="16" hidden="1" x14ac:dyDescent="0.2">
      <c r="B470" s="121" t="s">
        <v>243</v>
      </c>
      <c r="C470" s="81" t="s">
        <v>291</v>
      </c>
      <c r="D470" s="81" t="s">
        <v>291</v>
      </c>
      <c r="E470" s="81" t="s">
        <v>328</v>
      </c>
      <c r="F470" s="80" t="s">
        <v>311</v>
      </c>
      <c r="G470" s="81" t="str">
        <f t="shared" si="178"/>
        <v>lending_cashloan_cashloan_MISA_e_contract</v>
      </c>
      <c r="H470" s="125"/>
      <c r="I470" s="142" t="s">
        <v>274</v>
      </c>
      <c r="J470" s="125">
        <f t="shared" si="189"/>
        <v>6699</v>
      </c>
      <c r="K470" s="125"/>
      <c r="L470" s="125"/>
      <c r="M470" s="84"/>
      <c r="N470" s="153"/>
      <c r="O470" s="153"/>
      <c r="P470" s="153"/>
      <c r="Q470" s="153"/>
      <c r="R470" s="143"/>
      <c r="S470" s="125"/>
      <c r="T470" s="125"/>
      <c r="U470" s="125"/>
      <c r="V470" s="125"/>
      <c r="W470" s="125"/>
      <c r="X470" s="125">
        <v>6699</v>
      </c>
      <c r="Y470" s="70">
        <f t="shared" si="179"/>
        <v>0</v>
      </c>
    </row>
    <row r="471" spans="2:26" ht="16" hidden="1" x14ac:dyDescent="0.2">
      <c r="B471" s="121" t="s">
        <v>243</v>
      </c>
      <c r="C471" s="81" t="s">
        <v>291</v>
      </c>
      <c r="D471" s="81" t="s">
        <v>291</v>
      </c>
      <c r="E471" s="81" t="s">
        <v>328</v>
      </c>
      <c r="F471" s="80" t="s">
        <v>312</v>
      </c>
      <c r="G471" s="81" t="str">
        <f t="shared" si="178"/>
        <v>lending_cashloan_cashloan_MISA_nfc</v>
      </c>
      <c r="H471" s="125"/>
      <c r="I471" s="142" t="s">
        <v>275</v>
      </c>
      <c r="J471" s="125">
        <f t="shared" si="189"/>
        <v>15372.332510706248</v>
      </c>
      <c r="K471" s="125"/>
      <c r="L471" s="125"/>
      <c r="M471" s="84"/>
      <c r="N471" s="84"/>
      <c r="O471" s="84"/>
      <c r="P471" s="122"/>
      <c r="Q471" s="84"/>
      <c r="R471" s="84"/>
      <c r="S471" s="125"/>
      <c r="T471" s="125"/>
      <c r="U471" s="125"/>
      <c r="V471" s="125"/>
      <c r="W471" s="125"/>
      <c r="X471" s="125">
        <v>15372.332510706248</v>
      </c>
      <c r="Y471" s="70">
        <f t="shared" si="179"/>
        <v>0</v>
      </c>
    </row>
    <row r="472" spans="2:26" ht="16" hidden="1" x14ac:dyDescent="0.2">
      <c r="B472" s="121" t="s">
        <v>243</v>
      </c>
      <c r="C472" s="81" t="s">
        <v>291</v>
      </c>
      <c r="D472" s="81" t="s">
        <v>291</v>
      </c>
      <c r="E472" s="81" t="s">
        <v>328</v>
      </c>
      <c r="F472" s="80" t="s">
        <v>313</v>
      </c>
      <c r="G472" s="81" t="str">
        <f t="shared" si="178"/>
        <v>lending_cashloan_cashloan_MISA_collection</v>
      </c>
      <c r="H472" s="125"/>
      <c r="I472" s="142" t="s">
        <v>196</v>
      </c>
      <c r="J472" s="125">
        <f t="shared" si="189"/>
        <v>0</v>
      </c>
      <c r="K472" s="125"/>
      <c r="L472" s="125"/>
      <c r="M472" s="84"/>
      <c r="N472" s="84"/>
      <c r="O472" s="84"/>
      <c r="P472" s="170"/>
      <c r="Q472" s="84"/>
      <c r="R472" s="84"/>
      <c r="S472" s="84"/>
      <c r="T472" s="125"/>
      <c r="U472" s="125"/>
      <c r="V472" s="125"/>
      <c r="W472" s="125"/>
      <c r="X472" s="125"/>
      <c r="Y472" s="70">
        <f t="shared" si="179"/>
        <v>0</v>
      </c>
    </row>
    <row r="473" spans="2:26" ht="16" hidden="1" x14ac:dyDescent="0.2">
      <c r="B473" s="121" t="s">
        <v>243</v>
      </c>
      <c r="C473" s="81" t="s">
        <v>291</v>
      </c>
      <c r="D473" s="81" t="s">
        <v>291</v>
      </c>
      <c r="E473" s="81" t="s">
        <v>328</v>
      </c>
      <c r="F473" s="80" t="s">
        <v>314</v>
      </c>
      <c r="G473" s="81" t="str">
        <f t="shared" si="178"/>
        <v>lending_cashloan_cashloan_MISA_promotion</v>
      </c>
      <c r="H473" s="125"/>
      <c r="I473" s="142" t="s">
        <v>276</v>
      </c>
      <c r="J473" s="125"/>
      <c r="K473" s="125"/>
      <c r="L473" s="125"/>
      <c r="M473" s="84"/>
      <c r="N473" s="153"/>
      <c r="O473" s="153"/>
      <c r="P473" s="153"/>
      <c r="Q473" s="153"/>
      <c r="R473" s="143"/>
      <c r="S473" s="125"/>
      <c r="T473" s="125"/>
      <c r="U473" s="125"/>
      <c r="V473" s="125"/>
      <c r="W473" s="125"/>
      <c r="X473" s="125"/>
      <c r="Y473" s="70">
        <f t="shared" si="179"/>
        <v>0</v>
      </c>
    </row>
    <row r="474" spans="2:26" ht="16" hidden="1" x14ac:dyDescent="0.2">
      <c r="B474" s="121" t="s">
        <v>243</v>
      </c>
      <c r="C474" s="81" t="s">
        <v>291</v>
      </c>
      <c r="D474" s="81" t="s">
        <v>291</v>
      </c>
      <c r="E474" s="81" t="s">
        <v>328</v>
      </c>
      <c r="F474" s="80" t="s">
        <v>315</v>
      </c>
      <c r="G474" s="81" t="str">
        <f t="shared" si="178"/>
        <v>lending_cashloan_cashloan_MISA_sms</v>
      </c>
      <c r="H474" s="125"/>
      <c r="I474" s="144" t="s">
        <v>197</v>
      </c>
      <c r="J474" s="125">
        <f>SUM(M474:X474)</f>
        <v>13713.719087214784</v>
      </c>
      <c r="K474" s="143"/>
      <c r="L474" s="143"/>
      <c r="M474" s="143"/>
      <c r="N474" s="143"/>
      <c r="O474" s="143"/>
      <c r="P474" s="143"/>
      <c r="Q474" s="143"/>
      <c r="R474" s="170"/>
      <c r="S474" s="125"/>
      <c r="T474" s="125"/>
      <c r="U474" s="125"/>
      <c r="V474" s="125"/>
      <c r="W474" s="125"/>
      <c r="X474" s="125">
        <v>13713.719087214784</v>
      </c>
      <c r="Y474" s="70">
        <f t="shared" si="179"/>
        <v>0</v>
      </c>
    </row>
    <row r="475" spans="2:26" ht="16" hidden="1" thickTop="1" x14ac:dyDescent="0.2">
      <c r="B475" s="121" t="s">
        <v>243</v>
      </c>
      <c r="C475" s="81" t="s">
        <v>291</v>
      </c>
      <c r="D475" s="81" t="s">
        <v>291</v>
      </c>
      <c r="E475" s="81" t="s">
        <v>328</v>
      </c>
      <c r="F475" s="80" t="s">
        <v>316</v>
      </c>
      <c r="G475" s="81" t="str">
        <f t="shared" si="178"/>
        <v>lending_cashloan_cashloan_MISA_profit_before_overhead</v>
      </c>
      <c r="H475" s="125"/>
      <c r="I475" s="145" t="s">
        <v>289</v>
      </c>
      <c r="J475" s="145">
        <f t="shared" ref="J475:X475" si="190">J454-J465-J466</f>
        <v>-20389879.960934918</v>
      </c>
      <c r="K475" s="145">
        <f t="shared" si="190"/>
        <v>0</v>
      </c>
      <c r="L475" s="145">
        <f t="shared" si="190"/>
        <v>0</v>
      </c>
      <c r="M475" s="145">
        <f t="shared" si="190"/>
        <v>0</v>
      </c>
      <c r="N475" s="145">
        <f t="shared" si="190"/>
        <v>0</v>
      </c>
      <c r="O475" s="145">
        <f t="shared" si="190"/>
        <v>0</v>
      </c>
      <c r="P475" s="145">
        <f t="shared" si="190"/>
        <v>0</v>
      </c>
      <c r="Q475" s="145">
        <f t="shared" si="190"/>
        <v>0</v>
      </c>
      <c r="R475" s="145">
        <f t="shared" si="190"/>
        <v>0</v>
      </c>
      <c r="S475" s="145">
        <f t="shared" si="190"/>
        <v>0</v>
      </c>
      <c r="T475" s="145">
        <f t="shared" si="190"/>
        <v>0</v>
      </c>
      <c r="U475" s="145">
        <f t="shared" si="190"/>
        <v>0</v>
      </c>
      <c r="V475" s="145">
        <f t="shared" si="190"/>
        <v>0</v>
      </c>
      <c r="W475" s="145">
        <f t="shared" si="190"/>
        <v>0</v>
      </c>
      <c r="X475" s="145">
        <f t="shared" si="190"/>
        <v>-20389879.960934918</v>
      </c>
      <c r="Y475" s="70">
        <f t="shared" si="179"/>
        <v>0</v>
      </c>
    </row>
    <row r="476" spans="2:26" hidden="1" x14ac:dyDescent="0.2">
      <c r="B476" s="121"/>
      <c r="C476" s="81"/>
      <c r="D476" s="81"/>
      <c r="E476" s="81"/>
      <c r="F476" s="80"/>
      <c r="G476" s="81"/>
      <c r="H476" s="125"/>
      <c r="I476" s="147"/>
      <c r="J476" s="147"/>
      <c r="K476" s="147"/>
      <c r="L476" s="147"/>
      <c r="M476" s="147"/>
      <c r="N476" s="147"/>
      <c r="O476" s="147"/>
      <c r="P476" s="147"/>
      <c r="Q476" s="147"/>
      <c r="R476" s="147"/>
      <c r="S476" s="147"/>
      <c r="T476" s="147"/>
      <c r="U476" s="147"/>
      <c r="V476" s="147"/>
      <c r="W476" s="147"/>
      <c r="X476" s="147"/>
      <c r="Y476" s="70"/>
    </row>
    <row r="477" spans="2:26" hidden="1" x14ac:dyDescent="0.2">
      <c r="B477" s="121" t="s">
        <v>243</v>
      </c>
      <c r="C477" s="81" t="s">
        <v>330</v>
      </c>
      <c r="D477" s="81"/>
      <c r="E477" s="81" t="s">
        <v>211</v>
      </c>
      <c r="F477" s="81"/>
      <c r="G477" s="81" t="str">
        <f t="shared" ref="G477:G514" si="191">B477&amp;"_"&amp;C477&amp;"_"&amp;D477&amp;"_"&amp;E477&amp;"_"&amp;F477</f>
        <v>lending_overdraft__CAKE_</v>
      </c>
      <c r="H477" s="125"/>
      <c r="I477" s="123" t="s">
        <v>331</v>
      </c>
      <c r="J477" s="123"/>
      <c r="K477" s="123"/>
      <c r="L477" s="123"/>
      <c r="M477" s="123"/>
      <c r="N477" s="123"/>
      <c r="O477" s="123"/>
      <c r="P477" s="123"/>
      <c r="Q477" s="123"/>
      <c r="R477" s="123"/>
      <c r="S477" s="123"/>
      <c r="T477" s="123"/>
      <c r="U477" s="123"/>
      <c r="V477" s="123"/>
      <c r="W477" s="123"/>
      <c r="X477" s="123"/>
      <c r="Y477" s="70">
        <f t="shared" ref="Y477:Y540" si="192">W477-V477</f>
        <v>0</v>
      </c>
    </row>
    <row r="478" spans="2:26" hidden="1" x14ac:dyDescent="0.2">
      <c r="B478" s="121" t="s">
        <v>243</v>
      </c>
      <c r="C478" s="81" t="s">
        <v>330</v>
      </c>
      <c r="D478" s="81"/>
      <c r="E478" s="81" t="s">
        <v>211</v>
      </c>
      <c r="F478" s="80" t="s">
        <v>292</v>
      </c>
      <c r="G478" s="81" t="str">
        <f t="shared" si="191"/>
        <v>lending_overdraft__CAKE_new_account</v>
      </c>
      <c r="H478" s="125"/>
      <c r="I478" s="126" t="s">
        <v>245</v>
      </c>
      <c r="J478" s="125">
        <f>SUM(M478:X478)</f>
        <v>26379</v>
      </c>
      <c r="K478" s="125">
        <v>3790</v>
      </c>
      <c r="L478" s="125">
        <v>4842</v>
      </c>
      <c r="M478" s="175">
        <v>3884</v>
      </c>
      <c r="N478" s="180">
        <v>2863</v>
      </c>
      <c r="O478" s="125">
        <v>3422</v>
      </c>
      <c r="P478" s="125">
        <v>3436</v>
      </c>
      <c r="Q478" s="175">
        <v>3461</v>
      </c>
      <c r="R478" s="176">
        <v>3613</v>
      </c>
      <c r="S478" s="125">
        <v>2855</v>
      </c>
      <c r="T478" s="125">
        <v>532</v>
      </c>
      <c r="U478" s="125">
        <v>585</v>
      </c>
      <c r="V478" s="125">
        <v>691</v>
      </c>
      <c r="W478" s="125">
        <v>562</v>
      </c>
      <c r="X478" s="125">
        <v>475</v>
      </c>
      <c r="Y478" s="70">
        <f t="shared" si="192"/>
        <v>-129</v>
      </c>
    </row>
    <row r="479" spans="2:26" ht="16" hidden="1" x14ac:dyDescent="0.2">
      <c r="B479" s="121" t="s">
        <v>243</v>
      </c>
      <c r="C479" s="81" t="s">
        <v>330</v>
      </c>
      <c r="D479" s="81"/>
      <c r="E479" s="81" t="s">
        <v>211</v>
      </c>
      <c r="F479" s="126" t="s">
        <v>246</v>
      </c>
      <c r="G479" s="81" t="str">
        <f t="shared" si="191"/>
        <v>lending_overdraft__CAKE_Repeat account</v>
      </c>
      <c r="H479" s="125"/>
      <c r="I479" s="126" t="s">
        <v>246</v>
      </c>
      <c r="J479" s="125"/>
      <c r="K479" s="125">
        <v>1007</v>
      </c>
      <c r="L479" s="125">
        <v>1474</v>
      </c>
      <c r="M479" s="175">
        <v>1212</v>
      </c>
      <c r="N479" s="180">
        <v>920</v>
      </c>
      <c r="O479" s="125">
        <v>1168</v>
      </c>
      <c r="P479" s="125">
        <v>1358</v>
      </c>
      <c r="Q479" s="175">
        <v>1249</v>
      </c>
      <c r="R479" s="176">
        <v>1326</v>
      </c>
      <c r="S479" s="125">
        <v>1417</v>
      </c>
      <c r="T479" s="125">
        <v>512</v>
      </c>
      <c r="U479" s="82">
        <v>582</v>
      </c>
      <c r="V479" s="82">
        <v>701</v>
      </c>
      <c r="W479" s="125">
        <v>569</v>
      </c>
      <c r="X479" s="125">
        <v>466</v>
      </c>
      <c r="Y479" s="70">
        <f t="shared" si="192"/>
        <v>-132</v>
      </c>
    </row>
    <row r="480" spans="2:26" hidden="1" x14ac:dyDescent="0.2">
      <c r="B480" s="121" t="s">
        <v>243</v>
      </c>
      <c r="C480" s="81" t="s">
        <v>330</v>
      </c>
      <c r="D480" s="81"/>
      <c r="E480" s="81" t="s">
        <v>211</v>
      </c>
      <c r="F480" s="80" t="s">
        <v>293</v>
      </c>
      <c r="G480" s="81" t="str">
        <f t="shared" si="191"/>
        <v>lending_overdraft__CAKE_active_account</v>
      </c>
      <c r="H480" s="125"/>
      <c r="I480" s="126" t="s">
        <v>247</v>
      </c>
      <c r="J480" s="125">
        <f>W480</f>
        <v>23772</v>
      </c>
      <c r="K480" s="125">
        <v>29599</v>
      </c>
      <c r="L480" s="125">
        <v>29700</v>
      </c>
      <c r="M480" s="125">
        <f>31404-1006</f>
        <v>30398</v>
      </c>
      <c r="N480" s="125">
        <f>32341-2353</f>
        <v>29988</v>
      </c>
      <c r="O480" s="125">
        <f>33536-2850</f>
        <v>30686</v>
      </c>
      <c r="P480" s="125">
        <f>34544-3257</f>
        <v>31287</v>
      </c>
      <c r="Q480" s="143">
        <v>35795</v>
      </c>
      <c r="R480" s="125">
        <v>34885</v>
      </c>
      <c r="S480" s="125">
        <v>34906</v>
      </c>
      <c r="T480" s="125">
        <v>31923</v>
      </c>
      <c r="U480" s="125">
        <v>28809</v>
      </c>
      <c r="V480" s="125">
        <v>25993</v>
      </c>
      <c r="W480" s="125">
        <v>23772</v>
      </c>
      <c r="X480" s="125">
        <v>20084</v>
      </c>
      <c r="Y480" s="70">
        <f t="shared" si="192"/>
        <v>-2221</v>
      </c>
    </row>
    <row r="481" spans="2:25" ht="16" hidden="1" x14ac:dyDescent="0.2">
      <c r="B481" s="121" t="s">
        <v>243</v>
      </c>
      <c r="C481" s="81" t="s">
        <v>330</v>
      </c>
      <c r="D481" s="81"/>
      <c r="E481" s="81" t="s">
        <v>211</v>
      </c>
      <c r="F481" s="80" t="s">
        <v>294</v>
      </c>
      <c r="G481" s="81" t="str">
        <f t="shared" si="191"/>
        <v>lending_overdraft__CAKE_disburse/spend</v>
      </c>
      <c r="H481" s="125"/>
      <c r="I481" s="84" t="s">
        <v>191</v>
      </c>
      <c r="J481" s="125">
        <f>SUM(M481:X481)</f>
        <v>1199135070862</v>
      </c>
      <c r="K481" s="125">
        <v>105677557155</v>
      </c>
      <c r="L481" s="125">
        <v>113502140448</v>
      </c>
      <c r="M481" s="125">
        <v>109061423275</v>
      </c>
      <c r="N481" s="154">
        <v>95253172206</v>
      </c>
      <c r="O481" s="125">
        <v>112073329818</v>
      </c>
      <c r="P481" s="125">
        <v>114487336129</v>
      </c>
      <c r="Q481" s="125">
        <v>119537601659</v>
      </c>
      <c r="R481" s="125">
        <v>118759501319</v>
      </c>
      <c r="S481" s="125">
        <v>118080713257</v>
      </c>
      <c r="T481" s="125">
        <v>97304269148</v>
      </c>
      <c r="U481" s="64">
        <v>86259163136</v>
      </c>
      <c r="V481" s="64">
        <v>84239414747</v>
      </c>
      <c r="W481" s="125">
        <v>73074848767</v>
      </c>
      <c r="X481" s="125">
        <v>71004297401</v>
      </c>
      <c r="Y481" s="70">
        <f t="shared" si="192"/>
        <v>-11164565980</v>
      </c>
    </row>
    <row r="482" spans="2:25" ht="16" hidden="1" x14ac:dyDescent="0.2">
      <c r="B482" s="121" t="s">
        <v>243</v>
      </c>
      <c r="C482" s="81" t="s">
        <v>330</v>
      </c>
      <c r="D482" s="81"/>
      <c r="E482" s="81" t="s">
        <v>211</v>
      </c>
      <c r="F482" s="80" t="s">
        <v>295</v>
      </c>
      <c r="G482" s="81" t="str">
        <f t="shared" si="191"/>
        <v>lending_overdraft__CAKE_ENR</v>
      </c>
      <c r="H482" s="125"/>
      <c r="I482" s="84" t="s">
        <v>250</v>
      </c>
      <c r="J482" s="131">
        <f>W482</f>
        <v>183797394363</v>
      </c>
      <c r="K482" s="168">
        <v>237493673143</v>
      </c>
      <c r="L482" s="168">
        <v>243580183359</v>
      </c>
      <c r="M482" s="131">
        <v>252285832879</v>
      </c>
      <c r="N482" s="131">
        <v>245084140681</v>
      </c>
      <c r="O482" s="131">
        <v>249773690332</v>
      </c>
      <c r="P482" s="131">
        <v>253637572799</v>
      </c>
      <c r="Q482" s="131">
        <v>257497813381</v>
      </c>
      <c r="R482" s="131">
        <v>261239727060</v>
      </c>
      <c r="S482" s="84">
        <v>260970710242</v>
      </c>
      <c r="T482" s="84">
        <v>240633099019</v>
      </c>
      <c r="U482" s="84">
        <v>219495167003</v>
      </c>
      <c r="V482" s="82">
        <v>200076316602</v>
      </c>
      <c r="W482" s="82">
        <v>183797394363</v>
      </c>
      <c r="X482" s="82">
        <v>156024064745</v>
      </c>
      <c r="Y482" s="70">
        <f t="shared" si="192"/>
        <v>-16278922239</v>
      </c>
    </row>
    <row r="483" spans="2:25" hidden="1" x14ac:dyDescent="0.2">
      <c r="B483" s="121" t="s">
        <v>243</v>
      </c>
      <c r="C483" s="81" t="s">
        <v>330</v>
      </c>
      <c r="D483" s="81"/>
      <c r="E483" s="81" t="s">
        <v>211</v>
      </c>
      <c r="F483" s="195" t="s">
        <v>332</v>
      </c>
      <c r="G483" s="81" t="str">
        <f t="shared" si="191"/>
        <v>lending_overdraft__CAKE_ENR_staff</v>
      </c>
      <c r="H483" s="125"/>
      <c r="I483" s="127" t="s">
        <v>333</v>
      </c>
      <c r="J483" s="125">
        <f>V483</f>
        <v>12971428713</v>
      </c>
      <c r="K483" s="64">
        <v>16144536045</v>
      </c>
      <c r="L483" s="64">
        <v>15670833005</v>
      </c>
      <c r="M483" s="64">
        <v>14489382141</v>
      </c>
      <c r="N483" s="125">
        <v>13113413889</v>
      </c>
      <c r="O483" s="125">
        <v>12990673185</v>
      </c>
      <c r="P483" s="125">
        <v>13002165181</v>
      </c>
      <c r="Q483" s="125">
        <v>11973560878</v>
      </c>
      <c r="R483" s="125">
        <v>12004251953</v>
      </c>
      <c r="S483" s="125">
        <v>11627065174</v>
      </c>
      <c r="T483" s="125">
        <v>12186414762</v>
      </c>
      <c r="U483" s="125">
        <v>12447511641</v>
      </c>
      <c r="V483" s="125">
        <v>12971428713</v>
      </c>
      <c r="W483" s="64">
        <v>12985927616</v>
      </c>
      <c r="X483" s="64">
        <v>12689814252</v>
      </c>
      <c r="Y483" s="70">
        <f t="shared" si="192"/>
        <v>14498903</v>
      </c>
    </row>
    <row r="484" spans="2:25" hidden="1" x14ac:dyDescent="0.2">
      <c r="B484" s="121" t="s">
        <v>243</v>
      </c>
      <c r="C484" s="81" t="s">
        <v>330</v>
      </c>
      <c r="D484" s="81"/>
      <c r="E484" s="81" t="s">
        <v>211</v>
      </c>
      <c r="F484" s="195" t="s">
        <v>334</v>
      </c>
      <c r="G484" s="81" t="str">
        <f t="shared" si="191"/>
        <v>lending_overdraft__CAKE_ENR_mass</v>
      </c>
      <c r="H484" s="125"/>
      <c r="I484" s="127" t="s">
        <v>335</v>
      </c>
      <c r="J484" s="125">
        <f>V484</f>
        <v>187104887889</v>
      </c>
      <c r="K484" s="154">
        <f t="shared" ref="K484:X484" si="193">K482-K483</f>
        <v>221349137098</v>
      </c>
      <c r="L484" s="154">
        <f t="shared" si="193"/>
        <v>227909350354</v>
      </c>
      <c r="M484" s="125">
        <f t="shared" si="193"/>
        <v>237796450738</v>
      </c>
      <c r="N484" s="125">
        <f t="shared" si="193"/>
        <v>231970726792</v>
      </c>
      <c r="O484" s="125">
        <f t="shared" si="193"/>
        <v>236783017147</v>
      </c>
      <c r="P484" s="125">
        <f t="shared" si="193"/>
        <v>240635407618</v>
      </c>
      <c r="Q484" s="125">
        <f t="shared" si="193"/>
        <v>245524252503</v>
      </c>
      <c r="R484" s="125">
        <f t="shared" si="193"/>
        <v>249235475107</v>
      </c>
      <c r="S484" s="125">
        <f t="shared" si="193"/>
        <v>249343645068</v>
      </c>
      <c r="T484" s="125">
        <f t="shared" si="193"/>
        <v>228446684257</v>
      </c>
      <c r="U484" s="125">
        <f t="shared" si="193"/>
        <v>207047655362</v>
      </c>
      <c r="V484" s="125">
        <f t="shared" si="193"/>
        <v>187104887889</v>
      </c>
      <c r="W484" s="125">
        <f t="shared" si="193"/>
        <v>170811466747</v>
      </c>
      <c r="X484" s="125">
        <f t="shared" si="193"/>
        <v>143334250493</v>
      </c>
      <c r="Y484" s="70">
        <f t="shared" si="192"/>
        <v>-16293421142</v>
      </c>
    </row>
    <row r="485" spans="2:25" ht="16" hidden="1" x14ac:dyDescent="0.2">
      <c r="B485" s="121" t="s">
        <v>243</v>
      </c>
      <c r="C485" s="81" t="s">
        <v>330</v>
      </c>
      <c r="D485" s="81"/>
      <c r="E485" s="81" t="s">
        <v>211</v>
      </c>
      <c r="F485" s="124"/>
      <c r="G485" s="81" t="str">
        <f t="shared" si="191"/>
        <v>lending_overdraft__CAKE_</v>
      </c>
      <c r="H485" s="125"/>
      <c r="I485" s="127" t="s">
        <v>251</v>
      </c>
      <c r="J485" s="125"/>
      <c r="K485" s="154">
        <f t="shared" ref="K485:X485" si="194">K482-K486</f>
        <v>201998923233</v>
      </c>
      <c r="L485" s="154">
        <f t="shared" si="194"/>
        <v>209237173615</v>
      </c>
      <c r="M485" s="84">
        <f t="shared" si="194"/>
        <v>214027657950</v>
      </c>
      <c r="N485" s="84">
        <f t="shared" si="194"/>
        <v>214717126064</v>
      </c>
      <c r="O485" s="84">
        <f t="shared" si="194"/>
        <v>218480842159</v>
      </c>
      <c r="P485" s="84">
        <f t="shared" si="194"/>
        <v>221797116651</v>
      </c>
      <c r="Q485" s="84">
        <f t="shared" si="194"/>
        <v>225099713309</v>
      </c>
      <c r="R485" s="84">
        <f t="shared" si="194"/>
        <v>226568599753</v>
      </c>
      <c r="S485" s="84">
        <f t="shared" si="194"/>
        <v>221687598740</v>
      </c>
      <c r="T485" s="84">
        <f t="shared" si="194"/>
        <v>204562601520</v>
      </c>
      <c r="U485" s="84">
        <f t="shared" si="194"/>
        <v>186022719018</v>
      </c>
      <c r="V485" s="84">
        <f t="shared" si="194"/>
        <v>166491753385</v>
      </c>
      <c r="W485" s="84">
        <f t="shared" si="194"/>
        <v>149215750595</v>
      </c>
      <c r="X485" s="84">
        <f t="shared" si="194"/>
        <v>127608384586</v>
      </c>
      <c r="Y485" s="70">
        <f t="shared" si="192"/>
        <v>-17276002790</v>
      </c>
    </row>
    <row r="486" spans="2:25" ht="16" hidden="1" x14ac:dyDescent="0.2">
      <c r="B486" s="121" t="s">
        <v>243</v>
      </c>
      <c r="C486" s="81" t="s">
        <v>330</v>
      </c>
      <c r="D486" s="81"/>
      <c r="E486" s="81" t="s">
        <v>211</v>
      </c>
      <c r="F486" s="124"/>
      <c r="G486" s="81" t="str">
        <f t="shared" si="191"/>
        <v>lending_overdraft__CAKE_</v>
      </c>
      <c r="H486" s="125"/>
      <c r="I486" s="127" t="s">
        <v>252</v>
      </c>
      <c r="J486" s="125"/>
      <c r="K486" s="155">
        <v>35494749910</v>
      </c>
      <c r="L486" s="125">
        <v>34343009744</v>
      </c>
      <c r="M486" s="180">
        <v>38258174929</v>
      </c>
      <c r="N486" s="180">
        <v>30367014617</v>
      </c>
      <c r="O486" s="84">
        <v>31292848173</v>
      </c>
      <c r="P486" s="84">
        <v>31840456148</v>
      </c>
      <c r="Q486" s="84">
        <v>32398100072</v>
      </c>
      <c r="R486" s="84">
        <v>34671127307</v>
      </c>
      <c r="S486" s="84">
        <v>39283111502</v>
      </c>
      <c r="T486" s="125">
        <v>36070497499</v>
      </c>
      <c r="U486" s="155">
        <v>33472447985</v>
      </c>
      <c r="V486" s="155">
        <v>33584563217</v>
      </c>
      <c r="W486" s="155">
        <v>34581643768</v>
      </c>
      <c r="X486" s="125">
        <v>28415680159</v>
      </c>
      <c r="Y486" s="70">
        <f t="shared" si="192"/>
        <v>997080551</v>
      </c>
    </row>
    <row r="487" spans="2:25" hidden="1" x14ac:dyDescent="0.2">
      <c r="B487" s="121" t="s">
        <v>243</v>
      </c>
      <c r="C487" s="81" t="s">
        <v>330</v>
      </c>
      <c r="D487" s="81"/>
      <c r="E487" s="81" t="s">
        <v>211</v>
      </c>
      <c r="F487" s="124"/>
      <c r="G487" s="81" t="str">
        <f t="shared" si="191"/>
        <v>lending_overdraft__CAKE_</v>
      </c>
      <c r="H487" s="125"/>
      <c r="I487" s="126" t="s">
        <v>253</v>
      </c>
      <c r="J487" s="125"/>
      <c r="K487" s="180">
        <v>21345590407</v>
      </c>
      <c r="L487" s="180">
        <v>24581023762</v>
      </c>
      <c r="M487" s="180">
        <v>24449645194</v>
      </c>
      <c r="N487" s="180">
        <f>12880116043</f>
        <v>12880116043</v>
      </c>
      <c r="O487" s="180">
        <v>13577866016</v>
      </c>
      <c r="P487" s="180">
        <v>14848479153</v>
      </c>
      <c r="Q487" s="180">
        <v>15453857163</v>
      </c>
      <c r="R487" s="180">
        <v>16026505894</v>
      </c>
      <c r="S487" s="196">
        <v>18881240402</v>
      </c>
      <c r="T487" s="180">
        <v>15174118707</v>
      </c>
      <c r="U487" s="180">
        <v>12263671217</v>
      </c>
      <c r="V487" s="180">
        <v>16730684543</v>
      </c>
      <c r="W487" s="180">
        <v>13564259298</v>
      </c>
      <c r="X487" s="180">
        <v>8902743876</v>
      </c>
      <c r="Y487" s="70">
        <f t="shared" si="192"/>
        <v>-3166425245</v>
      </c>
    </row>
    <row r="488" spans="2:25" ht="16" hidden="1" x14ac:dyDescent="0.2">
      <c r="B488" s="121" t="s">
        <v>243</v>
      </c>
      <c r="C488" s="81" t="s">
        <v>330</v>
      </c>
      <c r="D488" s="81"/>
      <c r="E488" s="81" t="s">
        <v>211</v>
      </c>
      <c r="F488" s="80" t="s">
        <v>298</v>
      </c>
      <c r="G488" s="81" t="str">
        <f t="shared" si="191"/>
        <v>lending_overdraft__CAKE_overdue_balance_10d</v>
      </c>
      <c r="H488" s="125"/>
      <c r="I488" s="84" t="s">
        <v>254</v>
      </c>
      <c r="J488" s="125"/>
      <c r="K488" s="155">
        <v>48385345941</v>
      </c>
      <c r="L488" s="64">
        <v>51863298428</v>
      </c>
      <c r="M488" s="180">
        <v>54017568669</v>
      </c>
      <c r="N488" s="180">
        <v>48175965453</v>
      </c>
      <c r="O488" s="84">
        <v>53067500729</v>
      </c>
      <c r="P488" s="84">
        <v>50978865870</v>
      </c>
      <c r="Q488" s="143">
        <v>51943261383</v>
      </c>
      <c r="R488" s="143">
        <v>57339814824</v>
      </c>
      <c r="S488" s="143">
        <v>60758074243</v>
      </c>
      <c r="T488" s="125">
        <v>56117785707</v>
      </c>
      <c r="U488" s="125">
        <v>55787887200</v>
      </c>
      <c r="V488" s="125">
        <v>50726100749</v>
      </c>
      <c r="W488" s="155">
        <v>50197491390</v>
      </c>
      <c r="X488" s="64"/>
      <c r="Y488" s="70">
        <f t="shared" si="192"/>
        <v>-528609359</v>
      </c>
    </row>
    <row r="489" spans="2:25" ht="16" hidden="1" x14ac:dyDescent="0.2">
      <c r="B489" s="121" t="s">
        <v>243</v>
      </c>
      <c r="C489" s="81" t="s">
        <v>330</v>
      </c>
      <c r="D489" s="81"/>
      <c r="E489" s="81" t="s">
        <v>211</v>
      </c>
      <c r="F489" s="80" t="s">
        <v>299</v>
      </c>
      <c r="G489" s="81" t="str">
        <f t="shared" si="191"/>
        <v>lending_overdraft__CAKE_overdue_balance_90d</v>
      </c>
      <c r="H489" s="125"/>
      <c r="I489" s="84" t="s">
        <v>255</v>
      </c>
      <c r="J489" s="125"/>
      <c r="K489" s="64">
        <v>28282846120</v>
      </c>
      <c r="L489" s="143">
        <v>27752345364</v>
      </c>
      <c r="M489" s="64">
        <v>29974229260</v>
      </c>
      <c r="N489" s="64">
        <v>22196631906</v>
      </c>
      <c r="O489" s="84">
        <v>25852387079</v>
      </c>
      <c r="P489" s="125">
        <v>25755732016</v>
      </c>
      <c r="Q489" s="125">
        <v>27127538258</v>
      </c>
      <c r="R489" s="84">
        <v>30972482056</v>
      </c>
      <c r="S489" s="82">
        <v>31862731534</v>
      </c>
      <c r="T489" s="125">
        <v>28471915116</v>
      </c>
      <c r="U489" s="64">
        <v>28277737800</v>
      </c>
      <c r="V489" s="64">
        <v>24897549157</v>
      </c>
      <c r="W489" s="64">
        <v>27055380858</v>
      </c>
      <c r="X489" s="143"/>
      <c r="Y489" s="70">
        <f t="shared" si="192"/>
        <v>2157831701</v>
      </c>
    </row>
    <row r="490" spans="2:25" ht="16" hidden="1" x14ac:dyDescent="0.2">
      <c r="B490" s="121" t="s">
        <v>243</v>
      </c>
      <c r="C490" s="81" t="s">
        <v>330</v>
      </c>
      <c r="D490" s="81"/>
      <c r="E490" s="81" t="s">
        <v>211</v>
      </c>
      <c r="F490" s="195"/>
      <c r="G490" s="81" t="str">
        <f t="shared" si="191"/>
        <v>lending_overdraft__CAKE_</v>
      </c>
      <c r="H490" s="125"/>
      <c r="I490" s="84" t="s">
        <v>256</v>
      </c>
      <c r="J490" s="125"/>
      <c r="K490" s="180">
        <f t="shared" ref="K490:X490" si="195">K488-K489</f>
        <v>20102499821</v>
      </c>
      <c r="L490" s="180">
        <f t="shared" si="195"/>
        <v>24110953064</v>
      </c>
      <c r="M490" s="180">
        <f t="shared" si="195"/>
        <v>24043339409</v>
      </c>
      <c r="N490" s="180">
        <f t="shared" si="195"/>
        <v>25979333547</v>
      </c>
      <c r="O490" s="180">
        <f t="shared" si="195"/>
        <v>27215113650</v>
      </c>
      <c r="P490" s="180">
        <f t="shared" si="195"/>
        <v>25223133854</v>
      </c>
      <c r="Q490" s="180">
        <f t="shared" si="195"/>
        <v>24815723125</v>
      </c>
      <c r="R490" s="180">
        <f t="shared" si="195"/>
        <v>26367332768</v>
      </c>
      <c r="S490" s="180">
        <f t="shared" si="195"/>
        <v>28895342709</v>
      </c>
      <c r="T490" s="180">
        <f t="shared" si="195"/>
        <v>27645870591</v>
      </c>
      <c r="U490" s="180">
        <f t="shared" si="195"/>
        <v>27510149400</v>
      </c>
      <c r="V490" s="180">
        <f t="shared" si="195"/>
        <v>25828551592</v>
      </c>
      <c r="W490" s="180">
        <f>W488-W489</f>
        <v>23142110532</v>
      </c>
      <c r="X490" s="180">
        <f t="shared" si="195"/>
        <v>0</v>
      </c>
      <c r="Y490" s="70">
        <f t="shared" si="192"/>
        <v>-2686441060</v>
      </c>
    </row>
    <row r="491" spans="2:25" ht="16" hidden="1" x14ac:dyDescent="0.2">
      <c r="B491" s="121" t="s">
        <v>243</v>
      </c>
      <c r="C491" s="81" t="s">
        <v>330</v>
      </c>
      <c r="D491" s="81"/>
      <c r="E491" s="81" t="s">
        <v>211</v>
      </c>
      <c r="F491" s="195"/>
      <c r="G491" s="81" t="str">
        <f t="shared" si="191"/>
        <v>lending_overdraft__CAKE_</v>
      </c>
      <c r="H491" s="125"/>
      <c r="I491" s="84" t="s">
        <v>257</v>
      </c>
      <c r="J491" s="125"/>
      <c r="K491" s="177">
        <f t="shared" ref="K491:X491" si="196">K487/K482</f>
        <v>8.9878564445577319E-2</v>
      </c>
      <c r="L491" s="177">
        <f t="shared" si="196"/>
        <v>0.10091553189189995</v>
      </c>
      <c r="M491" s="177">
        <f t="shared" si="196"/>
        <v>9.6912477862862834E-2</v>
      </c>
      <c r="N491" s="177">
        <f t="shared" si="196"/>
        <v>5.2553853575391808E-2</v>
      </c>
      <c r="O491" s="177">
        <f t="shared" si="196"/>
        <v>5.436067344784095E-2</v>
      </c>
      <c r="P491" s="177">
        <f t="shared" si="196"/>
        <v>5.8542111837535063E-2</v>
      </c>
      <c r="Q491" s="177">
        <f t="shared" si="196"/>
        <v>6.0015488908770259E-2</v>
      </c>
      <c r="R491" s="177">
        <f t="shared" si="196"/>
        <v>6.1347889443779453E-2</v>
      </c>
      <c r="S491" s="177">
        <f t="shared" si="196"/>
        <v>7.2350036463828801E-2</v>
      </c>
      <c r="T491" s="177">
        <f t="shared" si="196"/>
        <v>6.3059150087253282E-2</v>
      </c>
      <c r="U491" s="177">
        <f t="shared" si="196"/>
        <v>5.5872169690334837E-2</v>
      </c>
      <c r="V491" s="177">
        <f t="shared" si="196"/>
        <v>8.362151416592381E-2</v>
      </c>
      <c r="W491" s="177">
        <f t="shared" si="196"/>
        <v>7.38000630803861E-2</v>
      </c>
      <c r="X491" s="177">
        <f t="shared" si="196"/>
        <v>5.7060068846112408E-2</v>
      </c>
      <c r="Y491" s="70">
        <f t="shared" si="192"/>
        <v>-9.8214510855377107E-3</v>
      </c>
    </row>
    <row r="492" spans="2:25" ht="16" hidden="1" x14ac:dyDescent="0.2">
      <c r="B492" s="121" t="s">
        <v>243</v>
      </c>
      <c r="C492" s="81" t="s">
        <v>330</v>
      </c>
      <c r="D492" s="81"/>
      <c r="E492" s="81" t="s">
        <v>211</v>
      </c>
      <c r="F492" s="195" t="s">
        <v>258</v>
      </c>
      <c r="G492" s="81" t="str">
        <f t="shared" si="191"/>
        <v>lending_overdraft__CAKE_npl</v>
      </c>
      <c r="H492" s="125"/>
      <c r="I492" s="84" t="s">
        <v>259</v>
      </c>
      <c r="J492" s="125"/>
      <c r="K492" s="177">
        <f t="shared" ref="K492:X492" si="197">K489/K482</f>
        <v>0.11908884032868655</v>
      </c>
      <c r="L492" s="177">
        <f t="shared" si="197"/>
        <v>0.11393515261090546</v>
      </c>
      <c r="M492" s="177">
        <f t="shared" si="197"/>
        <v>0.11881059240601942</v>
      </c>
      <c r="N492" s="197">
        <f t="shared" si="197"/>
        <v>9.0567393893067116E-2</v>
      </c>
      <c r="O492" s="177">
        <f t="shared" si="197"/>
        <v>0.10350324345465259</v>
      </c>
      <c r="P492" s="177">
        <f t="shared" si="197"/>
        <v>0.10154541273902912</v>
      </c>
      <c r="Q492" s="197">
        <f t="shared" si="197"/>
        <v>0.10535055774575235</v>
      </c>
      <c r="R492" s="197">
        <f t="shared" si="197"/>
        <v>0.11855961727018044</v>
      </c>
      <c r="S492" s="197">
        <f t="shared" si="197"/>
        <v>0.12209313261420587</v>
      </c>
      <c r="T492" s="197">
        <f t="shared" si="197"/>
        <v>0.11832085956617258</v>
      </c>
      <c r="U492" s="197">
        <f t="shared" si="197"/>
        <v>0.12883079926590596</v>
      </c>
      <c r="V492" s="197">
        <f t="shared" si="197"/>
        <v>0.12444026149545338</v>
      </c>
      <c r="W492" s="197">
        <f>W489/W482</f>
        <v>0.14720220029107486</v>
      </c>
      <c r="X492" s="197">
        <f t="shared" si="197"/>
        <v>0</v>
      </c>
      <c r="Y492" s="70">
        <f t="shared" si="192"/>
        <v>2.2761938795621481E-2</v>
      </c>
    </row>
    <row r="493" spans="2:25" hidden="1" x14ac:dyDescent="0.2">
      <c r="B493" s="121" t="s">
        <v>243</v>
      </c>
      <c r="C493" s="81" t="s">
        <v>330</v>
      </c>
      <c r="D493" s="81"/>
      <c r="E493" s="81" t="s">
        <v>211</v>
      </c>
      <c r="F493" s="80" t="s">
        <v>260</v>
      </c>
      <c r="G493" s="81" t="str">
        <f t="shared" si="191"/>
        <v>lending_overdraft__CAKE_TOI</v>
      </c>
      <c r="H493" s="125"/>
      <c r="I493" s="130" t="s">
        <v>260</v>
      </c>
      <c r="J493" s="131">
        <f t="shared" ref="J493:X493" si="198">J494+J499+J503</f>
        <v>68552146389.586136</v>
      </c>
      <c r="K493" s="131">
        <f t="shared" si="198"/>
        <v>5212706437</v>
      </c>
      <c r="L493" s="131">
        <f t="shared" si="198"/>
        <v>5788217071</v>
      </c>
      <c r="M493" s="131">
        <f t="shared" si="198"/>
        <v>6003360211</v>
      </c>
      <c r="N493" s="131">
        <f t="shared" si="198"/>
        <v>5473897111</v>
      </c>
      <c r="O493" s="131">
        <f t="shared" si="198"/>
        <v>6374695426.5861349</v>
      </c>
      <c r="P493" s="131">
        <f t="shared" si="198"/>
        <v>6334492443</v>
      </c>
      <c r="Q493" s="131">
        <f t="shared" si="198"/>
        <v>6749510274</v>
      </c>
      <c r="R493" s="131">
        <f t="shared" si="198"/>
        <v>6590258090</v>
      </c>
      <c r="S493" s="131">
        <f t="shared" si="198"/>
        <v>6599789304</v>
      </c>
      <c r="T493" s="131">
        <f t="shared" si="198"/>
        <v>6044743535</v>
      </c>
      <c r="U493" s="131">
        <f t="shared" si="198"/>
        <v>5343250849</v>
      </c>
      <c r="V493" s="131">
        <f t="shared" si="198"/>
        <v>4929862944</v>
      </c>
      <c r="W493" s="131">
        <f>W494+W499+W542</f>
        <v>4400527864</v>
      </c>
      <c r="X493" s="131">
        <f t="shared" si="198"/>
        <v>3846738840</v>
      </c>
      <c r="Y493" s="70">
        <f t="shared" si="192"/>
        <v>-529335080</v>
      </c>
    </row>
    <row r="494" spans="2:25" hidden="1" x14ac:dyDescent="0.2">
      <c r="B494" s="121" t="s">
        <v>243</v>
      </c>
      <c r="C494" s="81" t="s">
        <v>330</v>
      </c>
      <c r="D494" s="81"/>
      <c r="E494" s="81" t="s">
        <v>211</v>
      </c>
      <c r="F494" s="80" t="s">
        <v>300</v>
      </c>
      <c r="G494" s="81" t="str">
        <f t="shared" si="191"/>
        <v>lending_overdraft__CAKE_NII</v>
      </c>
      <c r="H494" s="125"/>
      <c r="I494" s="132" t="s">
        <v>261</v>
      </c>
      <c r="J494" s="131">
        <f t="shared" ref="J494:X494" si="199">J495-J498</f>
        <v>62177695792.586136</v>
      </c>
      <c r="K494" s="131">
        <f t="shared" si="199"/>
        <v>4762456437</v>
      </c>
      <c r="L494" s="131">
        <f t="shared" si="199"/>
        <v>5062778071</v>
      </c>
      <c r="M494" s="131">
        <f t="shared" si="199"/>
        <v>5416655225</v>
      </c>
      <c r="N494" s="131">
        <f t="shared" si="199"/>
        <v>5020094918</v>
      </c>
      <c r="O494" s="131">
        <f t="shared" si="199"/>
        <v>5724321187.5861349</v>
      </c>
      <c r="P494" s="131">
        <f t="shared" si="199"/>
        <v>5712628637</v>
      </c>
      <c r="Q494" s="131">
        <f t="shared" si="199"/>
        <v>6058947241</v>
      </c>
      <c r="R494" s="131">
        <f t="shared" si="199"/>
        <v>5960486036</v>
      </c>
      <c r="S494" s="131">
        <f t="shared" si="199"/>
        <v>5983092739</v>
      </c>
      <c r="T494" s="131">
        <f t="shared" si="199"/>
        <v>5638503226</v>
      </c>
      <c r="U494" s="131">
        <f t="shared" si="199"/>
        <v>4886337845</v>
      </c>
      <c r="V494" s="131">
        <f t="shared" si="199"/>
        <v>4496922068</v>
      </c>
      <c r="W494" s="131">
        <f t="shared" si="199"/>
        <v>3840891704</v>
      </c>
      <c r="X494" s="131">
        <f t="shared" si="199"/>
        <v>3438814966</v>
      </c>
      <c r="Y494" s="70">
        <f t="shared" si="192"/>
        <v>-656030364</v>
      </c>
    </row>
    <row r="495" spans="2:25" ht="16" hidden="1" x14ac:dyDescent="0.2">
      <c r="B495" s="121" t="s">
        <v>243</v>
      </c>
      <c r="C495" s="81" t="s">
        <v>330</v>
      </c>
      <c r="D495" s="81"/>
      <c r="E495" s="81" t="s">
        <v>211</v>
      </c>
      <c r="F495" s="80" t="s">
        <v>301</v>
      </c>
      <c r="G495" s="81" t="str">
        <f t="shared" si="191"/>
        <v>lending_overdraft__CAKE_CII</v>
      </c>
      <c r="H495" s="125"/>
      <c r="I495" s="134" t="s">
        <v>262</v>
      </c>
      <c r="J495" s="125">
        <f>SUM(M495:X495)</f>
        <v>73320202282</v>
      </c>
      <c r="K495" s="198">
        <f>K496+452554320-K497</f>
        <v>5481470202</v>
      </c>
      <c r="L495" s="198">
        <f t="shared" ref="L495:W495" si="200">L496+K497-L497</f>
        <v>5851882378</v>
      </c>
      <c r="M495" s="198">
        <f t="shared" si="200"/>
        <v>6308893834</v>
      </c>
      <c r="N495" s="198">
        <f t="shared" si="200"/>
        <v>5810865707</v>
      </c>
      <c r="O495" s="198">
        <f t="shared" si="200"/>
        <v>6602976196</v>
      </c>
      <c r="P495" s="198">
        <f t="shared" si="200"/>
        <v>6582850394</v>
      </c>
      <c r="Q495" s="198">
        <f t="shared" si="200"/>
        <v>6981389116</v>
      </c>
      <c r="R495" s="198">
        <f t="shared" si="200"/>
        <v>6867980147</v>
      </c>
      <c r="S495" s="198">
        <f t="shared" si="200"/>
        <v>7030778386</v>
      </c>
      <c r="T495" s="198">
        <f t="shared" si="200"/>
        <v>6745465887</v>
      </c>
      <c r="U495" s="198">
        <f t="shared" si="200"/>
        <v>5877436339</v>
      </c>
      <c r="V495" s="198">
        <f t="shared" si="200"/>
        <v>5473389776</v>
      </c>
      <c r="W495" s="198">
        <f t="shared" si="200"/>
        <v>4686926034</v>
      </c>
      <c r="X495" s="198">
        <f>X496+W497-X497</f>
        <v>4351250466</v>
      </c>
      <c r="Y495" s="70">
        <f t="shared" si="192"/>
        <v>-786463742</v>
      </c>
    </row>
    <row r="496" spans="2:25" ht="16" hidden="1" x14ac:dyDescent="0.2">
      <c r="B496" s="121" t="s">
        <v>243</v>
      </c>
      <c r="C496" s="81" t="s">
        <v>330</v>
      </c>
      <c r="D496" s="81"/>
      <c r="E496" s="81" t="s">
        <v>211</v>
      </c>
      <c r="F496" s="80"/>
      <c r="G496" s="81" t="str">
        <f t="shared" si="191"/>
        <v>lending_overdraft__CAKE_</v>
      </c>
      <c r="H496" s="125"/>
      <c r="I496" s="183" t="s">
        <v>263</v>
      </c>
      <c r="J496" s="136">
        <f>SUM(M496:X496)</f>
        <v>73189743732</v>
      </c>
      <c r="K496" s="136">
        <v>5519088510</v>
      </c>
      <c r="L496" s="136">
        <v>6030673570</v>
      </c>
      <c r="M496" s="136">
        <v>6315784098</v>
      </c>
      <c r="N496" s="136">
        <v>5782731762</v>
      </c>
      <c r="O496" s="136">
        <v>6661805416</v>
      </c>
      <c r="P496" s="84">
        <v>6652479627</v>
      </c>
      <c r="Q496" s="84">
        <v>7025486893</v>
      </c>
      <c r="R496" s="84">
        <v>6866999476</v>
      </c>
      <c r="S496" s="84">
        <v>7097575425</v>
      </c>
      <c r="T496" s="84">
        <v>6741642587</v>
      </c>
      <c r="U496" s="84">
        <v>5833786603</v>
      </c>
      <c r="V496" s="84">
        <v>5382453284</v>
      </c>
      <c r="W496" s="198">
        <v>4598346041</v>
      </c>
      <c r="X496" s="136">
        <v>4230652520</v>
      </c>
      <c r="Y496" s="70">
        <f t="shared" si="192"/>
        <v>-784107243</v>
      </c>
    </row>
    <row r="497" spans="2:27" ht="16" hidden="1" x14ac:dyDescent="0.2">
      <c r="B497" s="121" t="s">
        <v>243</v>
      </c>
      <c r="C497" s="81" t="s">
        <v>330</v>
      </c>
      <c r="D497" s="81"/>
      <c r="E497" s="81" t="s">
        <v>211</v>
      </c>
      <c r="F497" s="124"/>
      <c r="G497" s="81" t="str">
        <f t="shared" si="191"/>
        <v>lending_overdraft__CAKE_</v>
      </c>
      <c r="H497" s="125"/>
      <c r="I497" s="183" t="s">
        <v>264</v>
      </c>
      <c r="J497" s="136"/>
      <c r="K497" s="136">
        <v>490172628</v>
      </c>
      <c r="L497" s="136">
        <f>570769443+ 98194377</f>
        <v>668963820</v>
      </c>
      <c r="M497" s="136">
        <v>675854084</v>
      </c>
      <c r="N497" s="136">
        <v>647720139</v>
      </c>
      <c r="O497" s="136">
        <v>706549359</v>
      </c>
      <c r="P497" s="136">
        <v>776178592</v>
      </c>
      <c r="Q497" s="136">
        <v>820276369</v>
      </c>
      <c r="R497" s="136">
        <v>819295698</v>
      </c>
      <c r="S497" s="136">
        <v>886092737</v>
      </c>
      <c r="T497" s="136">
        <v>882269437</v>
      </c>
      <c r="U497" s="136">
        <v>838619701</v>
      </c>
      <c r="V497" s="125">
        <v>747683209</v>
      </c>
      <c r="W497" s="125">
        <v>659103216</v>
      </c>
      <c r="X497" s="136">
        <v>538505270</v>
      </c>
      <c r="Y497" s="70">
        <f t="shared" si="192"/>
        <v>-88579993</v>
      </c>
      <c r="Z497" s="70"/>
      <c r="AA497" s="70"/>
    </row>
    <row r="498" spans="2:27" ht="16" hidden="1" x14ac:dyDescent="0.2">
      <c r="B498" s="121" t="s">
        <v>243</v>
      </c>
      <c r="C498" s="81" t="s">
        <v>330</v>
      </c>
      <c r="D498" s="81"/>
      <c r="E498" s="81" t="s">
        <v>211</v>
      </c>
      <c r="F498" s="80" t="s">
        <v>62</v>
      </c>
      <c r="G498" s="81" t="str">
        <f t="shared" si="191"/>
        <v>lending_overdraft__CAKE_COF</v>
      </c>
      <c r="H498" s="125"/>
      <c r="I498" s="134" t="s">
        <v>62</v>
      </c>
      <c r="J498" s="125">
        <f>SUM(M498:X498)</f>
        <v>11142506489.413864</v>
      </c>
      <c r="K498" s="125">
        <v>719013765</v>
      </c>
      <c r="L498" s="198">
        <f>390959116+398145191</f>
        <v>789104307</v>
      </c>
      <c r="M498" s="84">
        <v>892238609</v>
      </c>
      <c r="N498" s="84">
        <v>790770789</v>
      </c>
      <c r="O498" s="84">
        <v>878655008.41386521</v>
      </c>
      <c r="P498" s="84">
        <v>870221757</v>
      </c>
      <c r="Q498" s="84">
        <v>922441875</v>
      </c>
      <c r="R498" s="84">
        <v>907494111</v>
      </c>
      <c r="S498" s="82">
        <v>1047685647</v>
      </c>
      <c r="T498" s="82">
        <v>1106962661</v>
      </c>
      <c r="U498" s="82">
        <v>991098494</v>
      </c>
      <c r="V498" s="125">
        <v>976467708</v>
      </c>
      <c r="W498" s="125">
        <v>846034330</v>
      </c>
      <c r="X498" s="198">
        <v>912435500</v>
      </c>
      <c r="Y498" s="70">
        <f t="shared" si="192"/>
        <v>-130433378</v>
      </c>
    </row>
    <row r="499" spans="2:27" hidden="1" x14ac:dyDescent="0.2">
      <c r="B499" s="121" t="s">
        <v>243</v>
      </c>
      <c r="C499" s="81" t="s">
        <v>330</v>
      </c>
      <c r="D499" s="81"/>
      <c r="E499" s="81" t="s">
        <v>211</v>
      </c>
      <c r="F499" s="80" t="s">
        <v>302</v>
      </c>
      <c r="G499" s="81" t="str">
        <f t="shared" si="191"/>
        <v>lending_overdraft__CAKE_NFI</v>
      </c>
      <c r="H499" s="125"/>
      <c r="I499" s="132" t="s">
        <v>265</v>
      </c>
      <c r="J499" s="131">
        <f t="shared" ref="J499:X499" si="201">SUM(J500:J502)</f>
        <v>3930450000</v>
      </c>
      <c r="K499" s="131">
        <f t="shared" si="201"/>
        <v>450250000</v>
      </c>
      <c r="L499" s="131">
        <f t="shared" si="201"/>
        <v>724600000</v>
      </c>
      <c r="M499" s="131">
        <f t="shared" si="201"/>
        <v>581050000</v>
      </c>
      <c r="N499" s="131">
        <f t="shared" si="201"/>
        <v>427800000</v>
      </c>
      <c r="O499" s="131">
        <f t="shared" si="201"/>
        <v>512350000</v>
      </c>
      <c r="P499" s="131">
        <f t="shared" si="201"/>
        <v>514550000</v>
      </c>
      <c r="Q499" s="131">
        <f t="shared" si="201"/>
        <v>517850000</v>
      </c>
      <c r="R499" s="131">
        <f t="shared" si="201"/>
        <v>527000000</v>
      </c>
      <c r="S499" s="131">
        <f t="shared" si="201"/>
        <v>425350000</v>
      </c>
      <c r="T499" s="131">
        <f t="shared" si="201"/>
        <v>78350000</v>
      </c>
      <c r="U499" s="131">
        <f t="shared" si="201"/>
        <v>86800000</v>
      </c>
      <c r="V499" s="131">
        <f t="shared" si="201"/>
        <v>104300000</v>
      </c>
      <c r="W499" s="131">
        <f t="shared" si="201"/>
        <v>85100000</v>
      </c>
      <c r="X499" s="131">
        <f t="shared" si="201"/>
        <v>69950000</v>
      </c>
      <c r="Y499" s="70">
        <f t="shared" si="192"/>
        <v>-19200000</v>
      </c>
    </row>
    <row r="500" spans="2:27" ht="16" hidden="1" x14ac:dyDescent="0.2">
      <c r="B500" s="121" t="s">
        <v>243</v>
      </c>
      <c r="C500" s="81" t="s">
        <v>330</v>
      </c>
      <c r="D500" s="81"/>
      <c r="E500" s="81" t="s">
        <v>211</v>
      </c>
      <c r="F500" s="80" t="s">
        <v>303</v>
      </c>
      <c r="G500" s="81" t="str">
        <f t="shared" si="191"/>
        <v>lending_overdraft__CAKE_insurance_fee</v>
      </c>
      <c r="H500" s="125"/>
      <c r="I500" s="134" t="s">
        <v>266</v>
      </c>
      <c r="J500" s="125">
        <f>SUM(M500:X500)</f>
        <v>0</v>
      </c>
      <c r="K500" s="125"/>
      <c r="L500" s="125"/>
      <c r="M500" s="125"/>
      <c r="N500" s="84"/>
      <c r="O500" s="84"/>
      <c r="P500" s="84"/>
      <c r="Q500" s="84"/>
      <c r="R500" s="125"/>
      <c r="S500" s="125"/>
      <c r="T500" s="125"/>
      <c r="U500" s="125"/>
      <c r="V500" s="125"/>
      <c r="W500" s="125"/>
      <c r="X500" s="125"/>
      <c r="Y500" s="70">
        <f t="shared" si="192"/>
        <v>0</v>
      </c>
    </row>
    <row r="501" spans="2:27" ht="16" hidden="1" x14ac:dyDescent="0.2">
      <c r="B501" s="121" t="s">
        <v>243</v>
      </c>
      <c r="C501" s="81" t="s">
        <v>330</v>
      </c>
      <c r="D501" s="81"/>
      <c r="E501" s="81" t="s">
        <v>211</v>
      </c>
      <c r="F501" s="80" t="s">
        <v>304</v>
      </c>
      <c r="G501" s="81" t="str">
        <f t="shared" si="191"/>
        <v>lending_overdraft__CAKE_early_terminate_fee</v>
      </c>
      <c r="H501" s="125"/>
      <c r="I501" s="134" t="s">
        <v>267</v>
      </c>
      <c r="J501" s="125">
        <f>SUM(M501:X501)</f>
        <v>0</v>
      </c>
      <c r="K501" s="125"/>
      <c r="L501" s="125"/>
      <c r="M501" s="84"/>
      <c r="N501" s="84"/>
      <c r="O501" s="84"/>
      <c r="P501" s="84"/>
      <c r="Q501" s="84"/>
      <c r="R501" s="84">
        <v>0</v>
      </c>
      <c r="S501" s="125"/>
      <c r="T501" s="125"/>
      <c r="U501" s="125"/>
      <c r="V501" s="125"/>
      <c r="W501" s="125"/>
      <c r="X501" s="125"/>
      <c r="Y501" s="70">
        <f t="shared" si="192"/>
        <v>0</v>
      </c>
    </row>
    <row r="502" spans="2:27" ht="16" hidden="1" x14ac:dyDescent="0.2">
      <c r="B502" s="121" t="s">
        <v>243</v>
      </c>
      <c r="C502" s="81" t="s">
        <v>330</v>
      </c>
      <c r="D502" s="81"/>
      <c r="E502" s="81" t="s">
        <v>211</v>
      </c>
      <c r="F502" s="80" t="s">
        <v>305</v>
      </c>
      <c r="G502" s="81" t="str">
        <f t="shared" si="191"/>
        <v>lending_overdraft__CAKE_loan_grant_fee</v>
      </c>
      <c r="H502" s="125"/>
      <c r="I502" s="134" t="s">
        <v>187</v>
      </c>
      <c r="J502" s="125">
        <f>SUM(M502:X502)</f>
        <v>3930450000</v>
      </c>
      <c r="K502" s="125">
        <v>450250000</v>
      </c>
      <c r="L502" s="125">
        <v>724600000</v>
      </c>
      <c r="M502" s="125">
        <v>581050000</v>
      </c>
      <c r="N502" s="125">
        <v>427800000</v>
      </c>
      <c r="O502" s="84">
        <v>512350000</v>
      </c>
      <c r="P502" s="84">
        <v>514550000</v>
      </c>
      <c r="Q502" s="84">
        <v>517850000</v>
      </c>
      <c r="R502" s="84">
        <v>527000000</v>
      </c>
      <c r="S502" s="84">
        <v>425350000</v>
      </c>
      <c r="T502" s="84">
        <v>78350000</v>
      </c>
      <c r="U502" s="84">
        <v>86800000</v>
      </c>
      <c r="V502" s="84">
        <v>104300000</v>
      </c>
      <c r="W502" s="125">
        <v>85100000</v>
      </c>
      <c r="X502" s="125">
        <v>69950000</v>
      </c>
      <c r="Y502" s="70">
        <f t="shared" si="192"/>
        <v>-19200000</v>
      </c>
    </row>
    <row r="503" spans="2:27" s="54" customFormat="1" hidden="1" x14ac:dyDescent="0.2">
      <c r="B503" s="121" t="s">
        <v>243</v>
      </c>
      <c r="C503" s="81" t="s">
        <v>330</v>
      </c>
      <c r="D503" s="138"/>
      <c r="E503" s="138" t="s">
        <v>211</v>
      </c>
      <c r="F503" s="80" t="s">
        <v>306</v>
      </c>
      <c r="G503" s="81" t="str">
        <f t="shared" si="191"/>
        <v>lending_overdraft__CAKE_other_TOI</v>
      </c>
      <c r="H503" s="125"/>
      <c r="I503" s="132" t="s">
        <v>269</v>
      </c>
      <c r="J503" s="131">
        <f>SUM(M503:X503)</f>
        <v>2444000597</v>
      </c>
      <c r="K503" s="131"/>
      <c r="L503" s="131">
        <v>839000</v>
      </c>
      <c r="M503" s="131">
        <v>5654986</v>
      </c>
      <c r="N503" s="131">
        <v>26002193</v>
      </c>
      <c r="O503" s="140">
        <v>138024239</v>
      </c>
      <c r="P503" s="140">
        <v>107313806</v>
      </c>
      <c r="Q503" s="140">
        <v>172713033</v>
      </c>
      <c r="R503" s="140">
        <v>102772054</v>
      </c>
      <c r="S503" s="140">
        <v>191346565</v>
      </c>
      <c r="T503" s="140">
        <v>327890309</v>
      </c>
      <c r="U503" s="140">
        <v>370113004</v>
      </c>
      <c r="V503" s="131">
        <v>328640876</v>
      </c>
      <c r="W503" s="131">
        <v>335555658</v>
      </c>
      <c r="X503" s="131">
        <v>337973874</v>
      </c>
      <c r="Y503" s="70">
        <f t="shared" si="192"/>
        <v>6914782</v>
      </c>
    </row>
    <row r="504" spans="2:27" hidden="1" x14ac:dyDescent="0.2">
      <c r="B504" s="121" t="s">
        <v>243</v>
      </c>
      <c r="C504" s="81" t="s">
        <v>330</v>
      </c>
      <c r="D504" s="81"/>
      <c r="E504" s="81" t="s">
        <v>211</v>
      </c>
      <c r="F504" s="80" t="s">
        <v>307</v>
      </c>
      <c r="G504" s="81" t="str">
        <f t="shared" si="191"/>
        <v>lending_overdraft__CAKE_provision</v>
      </c>
      <c r="H504" s="125"/>
      <c r="I504" s="140" t="s">
        <v>270</v>
      </c>
      <c r="J504" s="131">
        <f>SUM(M504:X504)</f>
        <v>75621684182</v>
      </c>
      <c r="K504" s="168">
        <v>2228959092</v>
      </c>
      <c r="L504" s="131">
        <f>2363258455+1035481142</f>
        <v>3398739597</v>
      </c>
      <c r="M504" s="140">
        <v>8291301887</v>
      </c>
      <c r="N504" s="140">
        <v>4214347931</v>
      </c>
      <c r="O504" s="140">
        <f>4331585997+1190029043</f>
        <v>5521615040</v>
      </c>
      <c r="P504" s="140">
        <v>3531652013</v>
      </c>
      <c r="Q504" s="140">
        <v>5071441830</v>
      </c>
      <c r="R504" s="140">
        <f>5116359066+1207556079</f>
        <v>6323915145</v>
      </c>
      <c r="S504" s="167">
        <v>5225046131</v>
      </c>
      <c r="T504" s="168">
        <v>7772699665</v>
      </c>
      <c r="U504" s="168">
        <f>6635107697+1045352572</f>
        <v>7680460269</v>
      </c>
      <c r="V504" s="168">
        <v>5961342477</v>
      </c>
      <c r="W504" s="168">
        <v>8605101348</v>
      </c>
      <c r="X504" s="131">
        <v>7422760446</v>
      </c>
      <c r="Y504" s="70">
        <f t="shared" si="192"/>
        <v>2643758871</v>
      </c>
    </row>
    <row r="505" spans="2:27" hidden="1" x14ac:dyDescent="0.2">
      <c r="B505" s="121" t="s">
        <v>243</v>
      </c>
      <c r="C505" s="81" t="s">
        <v>330</v>
      </c>
      <c r="D505" s="81"/>
      <c r="E505" s="81" t="s">
        <v>211</v>
      </c>
      <c r="F505" s="80" t="s">
        <v>308</v>
      </c>
      <c r="G505" s="81" t="str">
        <f t="shared" si="191"/>
        <v>lending_overdraft__CAKE_variable_cost</v>
      </c>
      <c r="H505" s="125"/>
      <c r="I505" s="140" t="s">
        <v>271</v>
      </c>
      <c r="J505" s="131">
        <f t="shared" ref="J505:X505" si="202">SUM(J506:J513)</f>
        <v>3526540653.581718</v>
      </c>
      <c r="K505" s="131">
        <f t="shared" si="202"/>
        <v>263782809.80540583</v>
      </c>
      <c r="L505" s="131">
        <f t="shared" si="202"/>
        <v>316608919.20804024</v>
      </c>
      <c r="M505" s="131">
        <f t="shared" si="202"/>
        <v>240681736.8447876</v>
      </c>
      <c r="N505" s="131">
        <f t="shared" si="202"/>
        <v>499181372.71290052</v>
      </c>
      <c r="O505" s="131">
        <f t="shared" si="202"/>
        <v>442612541.88633341</v>
      </c>
      <c r="P505" s="131">
        <f t="shared" si="202"/>
        <v>432200643.07318997</v>
      </c>
      <c r="Q505" s="131">
        <f t="shared" si="202"/>
        <v>449971450.41871756</v>
      </c>
      <c r="R505" s="131">
        <f t="shared" si="202"/>
        <v>225169000.52308598</v>
      </c>
      <c r="S505" s="131">
        <f t="shared" si="202"/>
        <v>289864160.41460508</v>
      </c>
      <c r="T505" s="131">
        <f t="shared" si="202"/>
        <v>206218991.09817407</v>
      </c>
      <c r="U505" s="131">
        <f t="shared" si="202"/>
        <v>250277825.31424955</v>
      </c>
      <c r="V505" s="131">
        <f t="shared" si="202"/>
        <v>198871558.03405881</v>
      </c>
      <c r="W505" s="131">
        <f t="shared" si="202"/>
        <v>149117364.73070082</v>
      </c>
      <c r="X505" s="131">
        <f t="shared" si="202"/>
        <v>142374008.53091496</v>
      </c>
      <c r="Y505" s="70">
        <f t="shared" si="192"/>
        <v>-49754193.303357989</v>
      </c>
    </row>
    <row r="506" spans="2:27" ht="16" hidden="1" x14ac:dyDescent="0.2">
      <c r="B506" s="121" t="s">
        <v>243</v>
      </c>
      <c r="C506" s="81" t="s">
        <v>330</v>
      </c>
      <c r="D506" s="81"/>
      <c r="E506" s="81" t="s">
        <v>211</v>
      </c>
      <c r="F506" s="80" t="s">
        <v>198</v>
      </c>
      <c r="G506" s="81" t="str">
        <f t="shared" si="191"/>
        <v>lending_overdraft__CAKE_marketing_acquisition_cost</v>
      </c>
      <c r="H506" s="125"/>
      <c r="I506" s="142" t="s">
        <v>272</v>
      </c>
      <c r="J506" s="125">
        <f>SUM(M506:X506)</f>
        <v>14000000</v>
      </c>
      <c r="K506" s="84">
        <v>10819775</v>
      </c>
      <c r="L506" s="84">
        <v>10819775</v>
      </c>
      <c r="M506" s="84"/>
      <c r="N506" s="84"/>
      <c r="O506" s="84">
        <v>14000000</v>
      </c>
      <c r="P506" s="84"/>
      <c r="Q506" s="84"/>
      <c r="R506" s="64"/>
      <c r="S506" s="84">
        <v>0</v>
      </c>
      <c r="T506" s="125">
        <v>0</v>
      </c>
      <c r="U506" s="125"/>
      <c r="V506" s="125"/>
      <c r="W506" s="84"/>
      <c r="X506" s="84"/>
      <c r="Y506" s="70">
        <f t="shared" si="192"/>
        <v>0</v>
      </c>
    </row>
    <row r="507" spans="2:27" ht="16" hidden="1" x14ac:dyDescent="0.2">
      <c r="B507" s="121" t="s">
        <v>243</v>
      </c>
      <c r="C507" s="81" t="s">
        <v>330</v>
      </c>
      <c r="D507" s="81"/>
      <c r="E507" s="81" t="s">
        <v>211</v>
      </c>
      <c r="F507" s="80" t="s">
        <v>309</v>
      </c>
      <c r="G507" s="81" t="str">
        <f t="shared" si="191"/>
        <v>lending_overdraft__CAKE_partner_acquisition_cost</v>
      </c>
      <c r="H507" s="125"/>
      <c r="I507" s="142" t="s">
        <v>202</v>
      </c>
      <c r="J507" s="125"/>
      <c r="K507" s="64"/>
      <c r="L507" s="125"/>
      <c r="M507" s="84"/>
      <c r="N507" s="84"/>
      <c r="O507" s="84"/>
      <c r="P507" s="84"/>
      <c r="Q507" s="84"/>
      <c r="R507" s="84"/>
      <c r="S507" s="64"/>
      <c r="T507" s="64"/>
      <c r="U507" s="64"/>
      <c r="V507" s="64"/>
      <c r="W507" s="64"/>
      <c r="X507" s="125"/>
      <c r="Y507" s="70">
        <f t="shared" si="192"/>
        <v>0</v>
      </c>
    </row>
    <row r="508" spans="2:27" ht="16" hidden="1" x14ac:dyDescent="0.2">
      <c r="B508" s="121" t="s">
        <v>243</v>
      </c>
      <c r="C508" s="81" t="s">
        <v>330</v>
      </c>
      <c r="D508" s="81"/>
      <c r="E508" s="81" t="s">
        <v>211</v>
      </c>
      <c r="F508" s="80" t="s">
        <v>310</v>
      </c>
      <c r="G508" s="81" t="str">
        <f t="shared" si="191"/>
        <v>lending_overdraft__CAKE_underwritting</v>
      </c>
      <c r="H508" s="125"/>
      <c r="I508" s="142" t="s">
        <v>273</v>
      </c>
      <c r="J508" s="125">
        <f>SUM(M508:X508)</f>
        <v>853245750</v>
      </c>
      <c r="K508" s="125">
        <v>137274383</v>
      </c>
      <c r="L508" s="125">
        <v>168219704</v>
      </c>
      <c r="M508" s="125">
        <v>123044978</v>
      </c>
      <c r="N508" s="125">
        <v>108680682</v>
      </c>
      <c r="O508" s="84">
        <v>118745842</v>
      </c>
      <c r="P508" s="84">
        <v>120408149</v>
      </c>
      <c r="Q508" s="84">
        <v>121952572</v>
      </c>
      <c r="R508" s="125">
        <v>129894371</v>
      </c>
      <c r="S508" s="125">
        <v>95842919</v>
      </c>
      <c r="T508" s="84">
        <v>6741097</v>
      </c>
      <c r="U508" s="84">
        <v>7223580</v>
      </c>
      <c r="V508" s="125">
        <v>8320084</v>
      </c>
      <c r="W508" s="125">
        <v>6821372</v>
      </c>
      <c r="X508" s="125">
        <v>5570104</v>
      </c>
      <c r="Y508" s="70">
        <f t="shared" si="192"/>
        <v>-1498712</v>
      </c>
    </row>
    <row r="509" spans="2:27" ht="16" hidden="1" x14ac:dyDescent="0.2">
      <c r="B509" s="121" t="s">
        <v>243</v>
      </c>
      <c r="C509" s="81" t="s">
        <v>330</v>
      </c>
      <c r="D509" s="81"/>
      <c r="E509" s="81" t="s">
        <v>211</v>
      </c>
      <c r="F509" s="80" t="s">
        <v>311</v>
      </c>
      <c r="G509" s="81" t="str">
        <f t="shared" si="191"/>
        <v>lending_overdraft__CAKE_e_contract</v>
      </c>
      <c r="H509" s="125"/>
      <c r="I509" s="142" t="s">
        <v>274</v>
      </c>
      <c r="J509" s="125">
        <f>SUM(M509:X509)</f>
        <v>20189535</v>
      </c>
      <c r="K509" s="84">
        <v>2872840</v>
      </c>
      <c r="L509" s="84">
        <v>3737234</v>
      </c>
      <c r="M509" s="84">
        <v>2907047</v>
      </c>
      <c r="N509" s="84">
        <v>2215758</v>
      </c>
      <c r="O509" s="84">
        <v>2625921</v>
      </c>
      <c r="P509" s="84">
        <v>2610691</v>
      </c>
      <c r="Q509" s="170">
        <v>2668986</v>
      </c>
      <c r="R509" s="143">
        <v>2771660</v>
      </c>
      <c r="S509" s="84">
        <v>2190805</v>
      </c>
      <c r="T509" s="84">
        <v>399810</v>
      </c>
      <c r="U509" s="84">
        <v>452378</v>
      </c>
      <c r="V509" s="84">
        <v>550122</v>
      </c>
      <c r="W509" s="84">
        <v>440940</v>
      </c>
      <c r="X509" s="84">
        <v>355417</v>
      </c>
      <c r="Y509" s="70">
        <f t="shared" si="192"/>
        <v>-109182</v>
      </c>
    </row>
    <row r="510" spans="2:27" ht="16" hidden="1" x14ac:dyDescent="0.2">
      <c r="B510" s="121" t="s">
        <v>243</v>
      </c>
      <c r="C510" s="81" t="s">
        <v>330</v>
      </c>
      <c r="D510" s="81"/>
      <c r="E510" s="81" t="s">
        <v>211</v>
      </c>
      <c r="F510" s="80" t="s">
        <v>312</v>
      </c>
      <c r="G510" s="81" t="str">
        <f t="shared" si="191"/>
        <v>lending_overdraft__CAKE_nfc</v>
      </c>
      <c r="H510" s="125"/>
      <c r="I510" s="142" t="s">
        <v>275</v>
      </c>
      <c r="J510" s="125">
        <f>SUM(M510:X510)</f>
        <v>197794025</v>
      </c>
      <c r="K510" s="84"/>
      <c r="L510" s="84"/>
      <c r="M510" s="84">
        <v>17848800</v>
      </c>
      <c r="N510" s="84">
        <v>11164950</v>
      </c>
      <c r="O510" s="84">
        <v>16578450</v>
      </c>
      <c r="P510" s="84">
        <v>13784850</v>
      </c>
      <c r="Q510" s="84">
        <v>13807800</v>
      </c>
      <c r="R510" s="143">
        <v>14969250</v>
      </c>
      <c r="S510" s="143">
        <v>16949100</v>
      </c>
      <c r="T510" s="84">
        <v>16271450</v>
      </c>
      <c r="U510" s="84">
        <v>16055850</v>
      </c>
      <c r="V510" s="84">
        <v>18426450</v>
      </c>
      <c r="W510" s="84">
        <v>18405450</v>
      </c>
      <c r="X510" s="84">
        <v>23531625</v>
      </c>
      <c r="Y510" s="70">
        <f t="shared" si="192"/>
        <v>-21000</v>
      </c>
    </row>
    <row r="511" spans="2:27" ht="16" hidden="1" x14ac:dyDescent="0.2">
      <c r="B511" s="121" t="s">
        <v>243</v>
      </c>
      <c r="C511" s="81" t="s">
        <v>330</v>
      </c>
      <c r="D511" s="81"/>
      <c r="E511" s="81" t="s">
        <v>211</v>
      </c>
      <c r="F511" s="80" t="s">
        <v>313</v>
      </c>
      <c r="G511" s="81" t="str">
        <f t="shared" si="191"/>
        <v>lending_overdraft__CAKE_collection</v>
      </c>
      <c r="H511" s="125"/>
      <c r="I511" s="142" t="s">
        <v>196</v>
      </c>
      <c r="J511" s="125">
        <f>SUM(M511:X511)</f>
        <v>2270655499.897995</v>
      </c>
      <c r="K511" s="125">
        <v>107462687.95477173</v>
      </c>
      <c r="L511" s="125">
        <v>120688383.82101333</v>
      </c>
      <c r="M511" s="84">
        <v>80867163.167144716</v>
      </c>
      <c r="N511" s="84">
        <v>368093055.09186512</v>
      </c>
      <c r="O511" s="84">
        <v>278618584.41981542</v>
      </c>
      <c r="P511" s="84">
        <v>276971952.40114999</v>
      </c>
      <c r="Q511" s="84">
        <v>296892341.38702834</v>
      </c>
      <c r="R511" s="64">
        <v>63389927.073693834</v>
      </c>
      <c r="S511" s="64">
        <v>155589868</v>
      </c>
      <c r="T511" s="84">
        <v>169720206.08708915</v>
      </c>
      <c r="U511" s="84">
        <v>209989310.71220884</v>
      </c>
      <c r="V511" s="84">
        <v>156048440.56</v>
      </c>
      <c r="W511" s="125">
        <v>111063089.35800001</v>
      </c>
      <c r="X511" s="125">
        <v>103411561.64</v>
      </c>
      <c r="Y511" s="70">
        <f t="shared" si="192"/>
        <v>-44985351.201999992</v>
      </c>
    </row>
    <row r="512" spans="2:27" ht="16" hidden="1" x14ac:dyDescent="0.2">
      <c r="B512" s="121" t="s">
        <v>243</v>
      </c>
      <c r="C512" s="81" t="s">
        <v>330</v>
      </c>
      <c r="D512" s="81"/>
      <c r="E512" s="81" t="s">
        <v>211</v>
      </c>
      <c r="F512" s="80" t="s">
        <v>314</v>
      </c>
      <c r="G512" s="81" t="str">
        <f t="shared" si="191"/>
        <v>lending_overdraft__CAKE_promotion</v>
      </c>
      <c r="H512" s="125"/>
      <c r="I512" s="142" t="s">
        <v>276</v>
      </c>
      <c r="J512" s="125"/>
      <c r="K512" s="125"/>
      <c r="L512" s="125"/>
      <c r="M512" s="84"/>
      <c r="N512" s="84"/>
      <c r="O512" s="84"/>
      <c r="P512" s="84"/>
      <c r="Q512" s="84"/>
      <c r="R512" s="64"/>
      <c r="S512" s="125"/>
      <c r="T512" s="84"/>
      <c r="U512" s="84"/>
      <c r="V512" s="84"/>
      <c r="W512" s="125"/>
      <c r="X512" s="125"/>
      <c r="Y512" s="70">
        <f t="shared" si="192"/>
        <v>0</v>
      </c>
    </row>
    <row r="513" spans="2:26" ht="16" hidden="1" x14ac:dyDescent="0.2">
      <c r="B513" s="121" t="s">
        <v>243</v>
      </c>
      <c r="C513" s="81" t="s">
        <v>330</v>
      </c>
      <c r="D513" s="81"/>
      <c r="E513" s="81" t="s">
        <v>211</v>
      </c>
      <c r="F513" s="80" t="s">
        <v>315</v>
      </c>
      <c r="G513" s="81" t="str">
        <f t="shared" si="191"/>
        <v>lending_overdraft__CAKE_sms</v>
      </c>
      <c r="H513" s="125"/>
      <c r="I513" s="144" t="s">
        <v>197</v>
      </c>
      <c r="J513" s="125">
        <f>SUM(M513:X513)</f>
        <v>170655843.68372297</v>
      </c>
      <c r="K513" s="143">
        <v>5353123.8506340915</v>
      </c>
      <c r="L513" s="143">
        <v>13143822.387026908</v>
      </c>
      <c r="M513" s="143">
        <v>16013748.677642882</v>
      </c>
      <c r="N513" s="143">
        <v>9026927.6210354269</v>
      </c>
      <c r="O513" s="143">
        <v>12043744.466518013</v>
      </c>
      <c r="P513" s="143">
        <v>18425000.672039982</v>
      </c>
      <c r="Q513" s="143">
        <v>14649751.031689217</v>
      </c>
      <c r="R513" s="143">
        <v>14143792.449392138</v>
      </c>
      <c r="S513" s="143">
        <v>19291468.414605107</v>
      </c>
      <c r="T513" s="84">
        <v>13086428.011084905</v>
      </c>
      <c r="U513" s="84">
        <v>16556706.602040702</v>
      </c>
      <c r="V513" s="84">
        <v>15526461.474058822</v>
      </c>
      <c r="W513" s="84">
        <v>12386513.372700823</v>
      </c>
      <c r="X513" s="84">
        <v>9505300.8909149617</v>
      </c>
      <c r="Y513" s="70">
        <f t="shared" si="192"/>
        <v>-3139948.1013579983</v>
      </c>
    </row>
    <row r="514" spans="2:26" ht="16" hidden="1" thickTop="1" x14ac:dyDescent="0.2">
      <c r="B514" s="121" t="s">
        <v>243</v>
      </c>
      <c r="C514" s="81" t="s">
        <v>330</v>
      </c>
      <c r="D514" s="81"/>
      <c r="E514" s="81" t="s">
        <v>211</v>
      </c>
      <c r="F514" s="80" t="s">
        <v>316</v>
      </c>
      <c r="G514" s="81" t="str">
        <f t="shared" si="191"/>
        <v>lending_overdraft__CAKE_profit_before_overhead</v>
      </c>
      <c r="H514" s="125"/>
      <c r="I514" s="145" t="s">
        <v>289</v>
      </c>
      <c r="J514" s="145">
        <f t="shared" ref="J514:X514" si="203">J493-J504-J505</f>
        <v>-10596078445.995583</v>
      </c>
      <c r="K514" s="145">
        <f t="shared" si="203"/>
        <v>2719964535.1945944</v>
      </c>
      <c r="L514" s="145">
        <f t="shared" si="203"/>
        <v>2072868554.7919598</v>
      </c>
      <c r="M514" s="145">
        <f t="shared" si="203"/>
        <v>-2528623412.8447876</v>
      </c>
      <c r="N514" s="145">
        <f t="shared" si="203"/>
        <v>760367807.28709948</v>
      </c>
      <c r="O514" s="145">
        <f t="shared" si="203"/>
        <v>410467844.6998015</v>
      </c>
      <c r="P514" s="145">
        <f t="shared" si="203"/>
        <v>2370639786.9268103</v>
      </c>
      <c r="Q514" s="145">
        <f t="shared" si="203"/>
        <v>1228096993.5812824</v>
      </c>
      <c r="R514" s="145">
        <f t="shared" si="203"/>
        <v>41173944.476914018</v>
      </c>
      <c r="S514" s="145">
        <f t="shared" si="203"/>
        <v>1084879012.5853949</v>
      </c>
      <c r="T514" s="145">
        <f t="shared" si="203"/>
        <v>-1934175121.0981741</v>
      </c>
      <c r="U514" s="145">
        <f t="shared" si="203"/>
        <v>-2587487245.3142495</v>
      </c>
      <c r="V514" s="145">
        <f t="shared" si="203"/>
        <v>-1230351091.0340588</v>
      </c>
      <c r="W514" s="145">
        <f t="shared" si="203"/>
        <v>-4353690848.7307005</v>
      </c>
      <c r="X514" s="145">
        <f t="shared" si="203"/>
        <v>-3718395614.5309148</v>
      </c>
      <c r="Y514" s="70">
        <f t="shared" si="192"/>
        <v>-3123339757.6966419</v>
      </c>
    </row>
    <row r="515" spans="2:26" hidden="1" x14ac:dyDescent="0.2">
      <c r="B515" s="121"/>
      <c r="C515" s="81"/>
      <c r="D515" s="81"/>
      <c r="E515" s="81"/>
      <c r="F515" s="124"/>
      <c r="G515" s="81"/>
      <c r="H515" s="125"/>
      <c r="I515" s="148"/>
      <c r="J515" s="131"/>
      <c r="K515" s="131"/>
      <c r="L515" s="131"/>
      <c r="M515" s="131"/>
      <c r="N515" s="131"/>
      <c r="O515" s="131"/>
      <c r="P515" s="131"/>
      <c r="Q515" s="131"/>
      <c r="R515" s="131"/>
      <c r="S515" s="131"/>
      <c r="T515" s="131"/>
      <c r="U515" s="131"/>
      <c r="V515" s="131"/>
      <c r="W515" s="131"/>
      <c r="X515" s="131"/>
      <c r="Y515" s="70">
        <f t="shared" si="192"/>
        <v>0</v>
      </c>
    </row>
    <row r="516" spans="2:26" hidden="1" x14ac:dyDescent="0.2">
      <c r="B516" s="121" t="s">
        <v>243</v>
      </c>
      <c r="C516" s="81" t="s">
        <v>209</v>
      </c>
      <c r="D516" s="81" t="s">
        <v>209</v>
      </c>
      <c r="E516" s="81" t="s">
        <v>207</v>
      </c>
      <c r="F516" s="81"/>
      <c r="G516" s="81"/>
      <c r="H516" s="125"/>
      <c r="I516" s="123" t="s">
        <v>336</v>
      </c>
      <c r="J516" s="123"/>
      <c r="K516" s="123"/>
      <c r="L516" s="123"/>
      <c r="M516" s="123"/>
      <c r="N516" s="123"/>
      <c r="O516" s="123"/>
      <c r="P516" s="123"/>
      <c r="Q516" s="123"/>
      <c r="R516" s="123"/>
      <c r="S516" s="123"/>
      <c r="T516" s="123"/>
      <c r="U516" s="123"/>
      <c r="V516" s="123"/>
      <c r="W516" s="123"/>
      <c r="X516" s="123"/>
      <c r="Y516" s="70">
        <f t="shared" si="192"/>
        <v>0</v>
      </c>
    </row>
    <row r="517" spans="2:26" ht="16" hidden="1" x14ac:dyDescent="0.2">
      <c r="B517" s="121" t="s">
        <v>243</v>
      </c>
      <c r="C517" s="81" t="s">
        <v>208</v>
      </c>
      <c r="D517" s="81" t="s">
        <v>209</v>
      </c>
      <c r="E517" s="81" t="s">
        <v>207</v>
      </c>
      <c r="F517" s="80" t="s">
        <v>292</v>
      </c>
      <c r="G517" s="81" t="str">
        <f>B517&amp;"_"&amp;C517&amp;"_"&amp;D517&amp;"_"&amp;E517&amp;"_"&amp;F517</f>
        <v>lending_Payday_payday_VDS_new_account</v>
      </c>
      <c r="H517" s="125"/>
      <c r="I517" s="126" t="s">
        <v>245</v>
      </c>
      <c r="J517" s="125">
        <f>SUM(M517:X517)</f>
        <v>567264</v>
      </c>
      <c r="K517" s="84">
        <v>32796</v>
      </c>
      <c r="L517" s="84">
        <v>45425</v>
      </c>
      <c r="M517" s="175">
        <v>37373</v>
      </c>
      <c r="N517" s="180">
        <v>35103</v>
      </c>
      <c r="O517" s="84">
        <v>41949</v>
      </c>
      <c r="P517" s="84">
        <v>40165</v>
      </c>
      <c r="Q517" s="84">
        <v>40692</v>
      </c>
      <c r="R517" s="84">
        <v>36928</v>
      </c>
      <c r="S517" s="84">
        <v>41012</v>
      </c>
      <c r="T517" s="84">
        <v>41341</v>
      </c>
      <c r="U517" s="84">
        <v>60304</v>
      </c>
      <c r="V517" s="84">
        <v>68152</v>
      </c>
      <c r="W517" s="84">
        <v>60357</v>
      </c>
      <c r="X517" s="84">
        <v>63888</v>
      </c>
      <c r="Y517" s="70">
        <f t="shared" si="192"/>
        <v>-7795</v>
      </c>
    </row>
    <row r="518" spans="2:26" ht="16" hidden="1" x14ac:dyDescent="0.2">
      <c r="B518" s="121" t="s">
        <v>243</v>
      </c>
      <c r="C518" s="81" t="s">
        <v>208</v>
      </c>
      <c r="D518" s="81" t="s">
        <v>209</v>
      </c>
      <c r="E518" s="81" t="s">
        <v>207</v>
      </c>
      <c r="F518" s="84" t="s">
        <v>246</v>
      </c>
      <c r="G518" s="81" t="str">
        <f t="shared" ref="G518:G553" si="204">B518&amp;"_"&amp;C518&amp;"_"&amp;D518&amp;"_"&amp;E518&amp;"_"&amp;F518</f>
        <v>lending_Payday_payday_VDS_Repeat account</v>
      </c>
      <c r="H518" s="125"/>
      <c r="I518" s="84" t="s">
        <v>246</v>
      </c>
      <c r="J518" s="125">
        <f>SUM(M518:X518)</f>
        <v>461635</v>
      </c>
      <c r="K518" s="84">
        <v>24113</v>
      </c>
      <c r="L518" s="125">
        <v>32868</v>
      </c>
      <c r="M518" s="175">
        <v>27803</v>
      </c>
      <c r="N518" s="180">
        <v>27326</v>
      </c>
      <c r="O518" s="180">
        <v>32382</v>
      </c>
      <c r="P518" s="84">
        <v>31275</v>
      </c>
      <c r="Q518" s="84">
        <v>32706</v>
      </c>
      <c r="R518" s="84">
        <v>32088</v>
      </c>
      <c r="S518" s="84">
        <v>32475</v>
      </c>
      <c r="T518" s="84">
        <v>33503</v>
      </c>
      <c r="U518" s="82">
        <v>48233</v>
      </c>
      <c r="V518" s="82">
        <v>56437</v>
      </c>
      <c r="W518" s="84">
        <v>51728</v>
      </c>
      <c r="X518" s="125">
        <v>55679</v>
      </c>
      <c r="Y518" s="70">
        <f t="shared" si="192"/>
        <v>-4709</v>
      </c>
    </row>
    <row r="519" spans="2:26" ht="16" hidden="1" x14ac:dyDescent="0.2">
      <c r="B519" s="121" t="s">
        <v>243</v>
      </c>
      <c r="C519" s="81" t="s">
        <v>208</v>
      </c>
      <c r="D519" s="81" t="s">
        <v>209</v>
      </c>
      <c r="E519" s="81" t="s">
        <v>207</v>
      </c>
      <c r="F519" s="80" t="s">
        <v>293</v>
      </c>
      <c r="G519" s="81" t="str">
        <f t="shared" si="204"/>
        <v>lending_Payday_payday_VDS_active_account</v>
      </c>
      <c r="H519" s="125"/>
      <c r="I519" s="126" t="s">
        <v>247</v>
      </c>
      <c r="J519" s="122"/>
      <c r="K519" s="125">
        <v>44666</v>
      </c>
      <c r="L519" s="125">
        <v>54873</v>
      </c>
      <c r="M519" s="125">
        <f>52684-4259</f>
        <v>48425</v>
      </c>
      <c r="N519" s="84">
        <f>53232-9608</f>
        <v>43624</v>
      </c>
      <c r="O519" s="84">
        <f>56022-10885</f>
        <v>45137</v>
      </c>
      <c r="P519" s="84">
        <f>56741-12123</f>
        <v>44618</v>
      </c>
      <c r="Q519" s="84">
        <f>57976-13465</f>
        <v>44511</v>
      </c>
      <c r="R519" s="84">
        <v>42528</v>
      </c>
      <c r="S519" s="84">
        <v>44173</v>
      </c>
      <c r="T519" s="84">
        <v>44092</v>
      </c>
      <c r="U519" s="84">
        <v>58834</v>
      </c>
      <c r="V519" s="84">
        <v>62199</v>
      </c>
      <c r="W519" s="125">
        <v>62624</v>
      </c>
      <c r="X519" s="125">
        <v>64190</v>
      </c>
      <c r="Y519" s="70">
        <f t="shared" si="192"/>
        <v>425</v>
      </c>
    </row>
    <row r="520" spans="2:26" ht="16" hidden="1" x14ac:dyDescent="0.2">
      <c r="B520" s="121" t="s">
        <v>243</v>
      </c>
      <c r="C520" s="81" t="s">
        <v>208</v>
      </c>
      <c r="D520" s="81" t="s">
        <v>209</v>
      </c>
      <c r="E520" s="81" t="s">
        <v>207</v>
      </c>
      <c r="F520" s="80" t="s">
        <v>294</v>
      </c>
      <c r="G520" s="81" t="str">
        <f t="shared" si="204"/>
        <v>lending_Payday_payday_VDS_disburse/spend</v>
      </c>
      <c r="H520" s="125"/>
      <c r="I520" s="84" t="s">
        <v>191</v>
      </c>
      <c r="J520" s="125">
        <f>SUM(M520:X520)</f>
        <v>2477760392000</v>
      </c>
      <c r="K520" s="84">
        <v>122399000000</v>
      </c>
      <c r="L520" s="125">
        <v>169802500000</v>
      </c>
      <c r="M520" s="125">
        <v>140501000000</v>
      </c>
      <c r="N520" s="84">
        <v>132184000000</v>
      </c>
      <c r="O520" s="84">
        <v>156783500000</v>
      </c>
      <c r="P520" s="84">
        <v>162270828000</v>
      </c>
      <c r="Q520" s="84">
        <v>166904172000</v>
      </c>
      <c r="R520" s="84">
        <v>164068632000</v>
      </c>
      <c r="S520" s="82">
        <v>181103580000</v>
      </c>
      <c r="T520" s="82">
        <v>188150580000</v>
      </c>
      <c r="U520" s="82">
        <v>269540028000</v>
      </c>
      <c r="V520" s="84">
        <v>322185708000</v>
      </c>
      <c r="W520" s="84">
        <v>289807632000</v>
      </c>
      <c r="X520" s="125">
        <v>304260732000</v>
      </c>
      <c r="Y520" s="70">
        <f t="shared" si="192"/>
        <v>-32378076000</v>
      </c>
    </row>
    <row r="521" spans="2:26" ht="16" hidden="1" x14ac:dyDescent="0.2">
      <c r="B521" s="121" t="s">
        <v>243</v>
      </c>
      <c r="C521" s="81" t="s">
        <v>208</v>
      </c>
      <c r="D521" s="81" t="s">
        <v>209</v>
      </c>
      <c r="E521" s="81" t="s">
        <v>207</v>
      </c>
      <c r="F521" s="124"/>
      <c r="G521" s="81" t="str">
        <f t="shared" si="204"/>
        <v>lending_Payday_payday_VDS_</v>
      </c>
      <c r="H521" s="125"/>
      <c r="I521" s="84" t="s">
        <v>248</v>
      </c>
      <c r="J521" s="125">
        <f>SUM(M521:X521)</f>
        <v>2477760392000</v>
      </c>
      <c r="K521" s="84">
        <f t="shared" ref="K521:X521" si="205">K520</f>
        <v>122399000000</v>
      </c>
      <c r="L521" s="84">
        <f t="shared" si="205"/>
        <v>169802500000</v>
      </c>
      <c r="M521" s="84">
        <f t="shared" si="205"/>
        <v>140501000000</v>
      </c>
      <c r="N521" s="84">
        <f t="shared" si="205"/>
        <v>132184000000</v>
      </c>
      <c r="O521" s="84">
        <f t="shared" si="205"/>
        <v>156783500000</v>
      </c>
      <c r="P521" s="84">
        <f t="shared" si="205"/>
        <v>162270828000</v>
      </c>
      <c r="Q521" s="84">
        <f t="shared" si="205"/>
        <v>166904172000</v>
      </c>
      <c r="R521" s="84">
        <f t="shared" si="205"/>
        <v>164068632000</v>
      </c>
      <c r="S521" s="84">
        <f t="shared" si="205"/>
        <v>181103580000</v>
      </c>
      <c r="T521" s="84">
        <f t="shared" si="205"/>
        <v>188150580000</v>
      </c>
      <c r="U521" s="84">
        <f t="shared" si="205"/>
        <v>269540028000</v>
      </c>
      <c r="V521" s="84">
        <f t="shared" si="205"/>
        <v>322185708000</v>
      </c>
      <c r="W521" s="84">
        <f t="shared" si="205"/>
        <v>289807632000</v>
      </c>
      <c r="X521" s="84">
        <f t="shared" si="205"/>
        <v>304260732000</v>
      </c>
      <c r="Y521" s="70">
        <f t="shared" si="192"/>
        <v>-32378076000</v>
      </c>
    </row>
    <row r="522" spans="2:26" ht="16" hidden="1" x14ac:dyDescent="0.2">
      <c r="B522" s="121" t="s">
        <v>243</v>
      </c>
      <c r="C522" s="81" t="s">
        <v>208</v>
      </c>
      <c r="D522" s="81" t="s">
        <v>209</v>
      </c>
      <c r="E522" s="81" t="s">
        <v>207</v>
      </c>
      <c r="F522" s="124"/>
      <c r="G522" s="81" t="str">
        <f t="shared" si="204"/>
        <v>lending_Payday_payday_VDS_</v>
      </c>
      <c r="H522" s="125"/>
      <c r="I522" s="84" t="s">
        <v>249</v>
      </c>
      <c r="J522" s="125">
        <f>SUM(M522:X522)</f>
        <v>0</v>
      </c>
      <c r="K522" s="84"/>
      <c r="L522" s="125">
        <f t="shared" ref="L522:X522" si="206">L520-L521</f>
        <v>0</v>
      </c>
      <c r="M522" s="125">
        <f t="shared" si="206"/>
        <v>0</v>
      </c>
      <c r="N522" s="125">
        <f t="shared" si="206"/>
        <v>0</v>
      </c>
      <c r="O522" s="125">
        <f t="shared" si="206"/>
        <v>0</v>
      </c>
      <c r="P522" s="125">
        <f t="shared" si="206"/>
        <v>0</v>
      </c>
      <c r="Q522" s="125">
        <f t="shared" si="206"/>
        <v>0</v>
      </c>
      <c r="R522" s="125">
        <f t="shared" si="206"/>
        <v>0</v>
      </c>
      <c r="S522" s="125">
        <f t="shared" si="206"/>
        <v>0</v>
      </c>
      <c r="T522" s="125">
        <f t="shared" si="206"/>
        <v>0</v>
      </c>
      <c r="U522" s="125">
        <f t="shared" si="206"/>
        <v>0</v>
      </c>
      <c r="V522" s="125">
        <f t="shared" si="206"/>
        <v>0</v>
      </c>
      <c r="W522" s="125">
        <f t="shared" si="206"/>
        <v>0</v>
      </c>
      <c r="X522" s="125">
        <f t="shared" si="206"/>
        <v>0</v>
      </c>
      <c r="Y522" s="70">
        <f t="shared" si="192"/>
        <v>0</v>
      </c>
    </row>
    <row r="523" spans="2:26" ht="16" hidden="1" x14ac:dyDescent="0.2">
      <c r="B523" s="121" t="s">
        <v>243</v>
      </c>
      <c r="C523" s="81" t="s">
        <v>208</v>
      </c>
      <c r="D523" s="81" t="s">
        <v>209</v>
      </c>
      <c r="E523" s="81" t="s">
        <v>207</v>
      </c>
      <c r="F523" s="124" t="s">
        <v>295</v>
      </c>
      <c r="G523" s="81" t="str">
        <f t="shared" si="204"/>
        <v>lending_Payday_payday_VDS_ENR</v>
      </c>
      <c r="H523" s="125"/>
      <c r="I523" s="84" t="s">
        <v>250</v>
      </c>
      <c r="J523" s="125">
        <f>W523</f>
        <v>295765953792</v>
      </c>
      <c r="K523" s="84">
        <v>150540549521</v>
      </c>
      <c r="L523" s="125">
        <v>186298063404</v>
      </c>
      <c r="M523" s="84">
        <v>175218110590</v>
      </c>
      <c r="N523" s="84">
        <v>159821936195</v>
      </c>
      <c r="O523" s="84">
        <v>164874595670</v>
      </c>
      <c r="P523" s="84">
        <v>171555199464</v>
      </c>
      <c r="Q523" s="84">
        <v>175493230726</v>
      </c>
      <c r="R523" s="84">
        <v>175925685262</v>
      </c>
      <c r="S523" s="84">
        <v>184818094579</v>
      </c>
      <c r="T523" s="153">
        <v>192047676558</v>
      </c>
      <c r="U523" s="84">
        <v>258044090303</v>
      </c>
      <c r="V523" s="84">
        <v>293551486592</v>
      </c>
      <c r="W523" s="84">
        <v>295765953792</v>
      </c>
      <c r="X523" s="125">
        <v>303379566410</v>
      </c>
      <c r="Y523" s="70">
        <f t="shared" si="192"/>
        <v>2214467200</v>
      </c>
    </row>
    <row r="524" spans="2:26" ht="16" hidden="1" x14ac:dyDescent="0.2">
      <c r="B524" s="121" t="s">
        <v>243</v>
      </c>
      <c r="C524" s="81" t="s">
        <v>208</v>
      </c>
      <c r="D524" s="81" t="s">
        <v>209</v>
      </c>
      <c r="E524" s="81" t="s">
        <v>207</v>
      </c>
      <c r="F524" s="124"/>
      <c r="G524" s="81" t="str">
        <f t="shared" si="204"/>
        <v>lending_Payday_payday_VDS_</v>
      </c>
      <c r="H524" s="125"/>
      <c r="I524" s="127" t="s">
        <v>251</v>
      </c>
      <c r="J524" s="125"/>
      <c r="K524" s="84">
        <f t="shared" ref="K524:X524" si="207">K523-K525</f>
        <v>107679557647</v>
      </c>
      <c r="L524" s="84">
        <f t="shared" si="207"/>
        <v>139043989172</v>
      </c>
      <c r="M524" s="84">
        <f t="shared" si="207"/>
        <v>125096974174</v>
      </c>
      <c r="N524" s="84">
        <f t="shared" si="207"/>
        <v>119861183307</v>
      </c>
      <c r="O524" s="84">
        <f t="shared" si="207"/>
        <v>124857612832</v>
      </c>
      <c r="P524" s="84">
        <f t="shared" si="207"/>
        <v>129832226527</v>
      </c>
      <c r="Q524" s="155">
        <f t="shared" si="207"/>
        <v>132424545709</v>
      </c>
      <c r="R524" s="155">
        <f t="shared" si="207"/>
        <v>132428254919</v>
      </c>
      <c r="S524" s="84">
        <f t="shared" si="207"/>
        <v>138329829362</v>
      </c>
      <c r="T524" s="84">
        <f t="shared" si="207"/>
        <v>146807268224</v>
      </c>
      <c r="U524" s="84">
        <f t="shared" si="207"/>
        <v>211144740606</v>
      </c>
      <c r="V524" s="84">
        <f t="shared" si="207"/>
        <v>235180168049</v>
      </c>
      <c r="W524" s="84">
        <f t="shared" si="207"/>
        <v>226061438785</v>
      </c>
      <c r="X524" s="84">
        <f t="shared" si="207"/>
        <v>225876086721</v>
      </c>
      <c r="Y524" s="70">
        <f t="shared" si="192"/>
        <v>-9118729264</v>
      </c>
      <c r="Z524" s="70"/>
    </row>
    <row r="525" spans="2:26" ht="16" hidden="1" x14ac:dyDescent="0.2">
      <c r="B525" s="121" t="s">
        <v>243</v>
      </c>
      <c r="C525" s="81" t="s">
        <v>208</v>
      </c>
      <c r="D525" s="81" t="s">
        <v>209</v>
      </c>
      <c r="E525" s="81" t="s">
        <v>207</v>
      </c>
      <c r="F525" s="124"/>
      <c r="G525" s="81" t="str">
        <f t="shared" si="204"/>
        <v>lending_Payday_payday_VDS_</v>
      </c>
      <c r="H525" s="125"/>
      <c r="I525" s="127" t="s">
        <v>252</v>
      </c>
      <c r="J525" s="125"/>
      <c r="K525" s="155">
        <v>42860991874</v>
      </c>
      <c r="L525" s="125">
        <v>47254074232</v>
      </c>
      <c r="M525" s="155">
        <v>50121136416</v>
      </c>
      <c r="N525" s="155">
        <v>39960752888</v>
      </c>
      <c r="O525" s="155">
        <v>40016982838</v>
      </c>
      <c r="P525" s="155">
        <v>41722972937</v>
      </c>
      <c r="Q525" s="155">
        <v>43068685017</v>
      </c>
      <c r="R525" s="155">
        <v>43497430343</v>
      </c>
      <c r="S525" s="155">
        <v>46488265217</v>
      </c>
      <c r="T525" s="153">
        <v>45240408334</v>
      </c>
      <c r="U525" s="155">
        <v>46899349697</v>
      </c>
      <c r="V525" s="155">
        <v>58371318543</v>
      </c>
      <c r="W525" s="155">
        <v>69704515007</v>
      </c>
      <c r="X525" s="125">
        <v>77503479689</v>
      </c>
      <c r="Y525" s="70">
        <f t="shared" si="192"/>
        <v>11333196464</v>
      </c>
    </row>
    <row r="526" spans="2:26" ht="16" hidden="1" x14ac:dyDescent="0.2">
      <c r="B526" s="121" t="s">
        <v>243</v>
      </c>
      <c r="C526" s="81" t="s">
        <v>208</v>
      </c>
      <c r="D526" s="81" t="s">
        <v>209</v>
      </c>
      <c r="E526" s="81" t="s">
        <v>207</v>
      </c>
      <c r="F526" s="124"/>
      <c r="G526" s="81" t="str">
        <f t="shared" si="204"/>
        <v>lending_Payday_payday_VDS_</v>
      </c>
      <c r="H526" s="125"/>
      <c r="I526" s="126" t="s">
        <v>253</v>
      </c>
      <c r="J526" s="125"/>
      <c r="K526" s="155">
        <v>26777455762</v>
      </c>
      <c r="L526" s="155">
        <v>28451852930</v>
      </c>
      <c r="M526" s="155">
        <v>30326475899</v>
      </c>
      <c r="N526" s="155">
        <v>17291464275</v>
      </c>
      <c r="O526" s="155">
        <v>17805363129</v>
      </c>
      <c r="P526" s="155">
        <v>21242684906</v>
      </c>
      <c r="Q526" s="199">
        <v>23905005986</v>
      </c>
      <c r="R526" s="199">
        <v>23965054376</v>
      </c>
      <c r="S526" s="199">
        <v>25738083838</v>
      </c>
      <c r="T526" s="155">
        <v>22731821394</v>
      </c>
      <c r="U526" s="84">
        <v>21658157835</v>
      </c>
      <c r="V526" s="84">
        <v>19432899829</v>
      </c>
      <c r="W526" s="155">
        <v>18402771481</v>
      </c>
      <c r="X526" s="155">
        <v>18579605395</v>
      </c>
      <c r="Y526" s="70">
        <f t="shared" si="192"/>
        <v>-1030128348</v>
      </c>
    </row>
    <row r="527" spans="2:26" ht="16" hidden="1" x14ac:dyDescent="0.2">
      <c r="B527" s="121" t="s">
        <v>243</v>
      </c>
      <c r="C527" s="81" t="s">
        <v>208</v>
      </c>
      <c r="D527" s="81" t="s">
        <v>209</v>
      </c>
      <c r="E527" s="81" t="s">
        <v>207</v>
      </c>
      <c r="F527" s="80" t="s">
        <v>298</v>
      </c>
      <c r="G527" s="81" t="str">
        <f t="shared" si="204"/>
        <v>lending_Payday_payday_VDS_overdue_balance_10d</v>
      </c>
      <c r="H527" s="125"/>
      <c r="I527" s="84" t="s">
        <v>254</v>
      </c>
      <c r="J527" s="125"/>
      <c r="K527" s="155">
        <v>41726054923</v>
      </c>
      <c r="L527" s="155">
        <v>44530456910</v>
      </c>
      <c r="M527" s="155">
        <v>49630664132</v>
      </c>
      <c r="N527" s="155">
        <v>38725838983</v>
      </c>
      <c r="O527" s="155">
        <v>40884161545</v>
      </c>
      <c r="P527" s="155">
        <v>39936700840</v>
      </c>
      <c r="Q527" s="199">
        <v>41609355444</v>
      </c>
      <c r="R527" s="199">
        <v>44758788536</v>
      </c>
      <c r="S527" s="199">
        <v>45588347322</v>
      </c>
      <c r="T527" s="84">
        <v>43868288763</v>
      </c>
      <c r="U527" s="155">
        <v>49685152715</v>
      </c>
      <c r="V527" s="155">
        <v>53444289672</v>
      </c>
      <c r="W527" s="155">
        <f>65722013587+609975960</f>
        <v>66331989547</v>
      </c>
      <c r="X527" s="155"/>
      <c r="Y527" s="70">
        <f t="shared" si="192"/>
        <v>12887699875</v>
      </c>
    </row>
    <row r="528" spans="2:26" ht="16" hidden="1" x14ac:dyDescent="0.2">
      <c r="B528" s="121" t="s">
        <v>243</v>
      </c>
      <c r="C528" s="81" t="s">
        <v>208</v>
      </c>
      <c r="D528" s="81" t="s">
        <v>209</v>
      </c>
      <c r="E528" s="81" t="s">
        <v>207</v>
      </c>
      <c r="F528" s="80" t="s">
        <v>299</v>
      </c>
      <c r="G528" s="81" t="str">
        <f t="shared" si="204"/>
        <v>lending_Payday_payday_VDS_overdue_balance_90d</v>
      </c>
      <c r="H528" s="125"/>
      <c r="I528" s="84" t="s">
        <v>255</v>
      </c>
      <c r="J528" s="125"/>
      <c r="K528" s="64">
        <v>27310008410</v>
      </c>
      <c r="L528" s="64">
        <v>29523267184</v>
      </c>
      <c r="M528" s="64">
        <v>30904508124</v>
      </c>
      <c r="N528" s="64">
        <v>18071654200</v>
      </c>
      <c r="O528" s="64">
        <v>20343945361</v>
      </c>
      <c r="P528" s="155">
        <v>22110926378</v>
      </c>
      <c r="Q528" s="199">
        <v>24620483289</v>
      </c>
      <c r="R528" s="199">
        <v>25446428205</v>
      </c>
      <c r="S528" s="152">
        <v>26479346838</v>
      </c>
      <c r="T528" s="84">
        <v>23469162094</v>
      </c>
      <c r="U528" s="64">
        <v>23540282608</v>
      </c>
      <c r="V528" s="64">
        <f>20413744261+88344000</f>
        <v>20502088261</v>
      </c>
      <c r="W528" s="64">
        <v>19829110016</v>
      </c>
      <c r="X528" s="64"/>
      <c r="Y528" s="70">
        <f t="shared" si="192"/>
        <v>-672978245</v>
      </c>
    </row>
    <row r="529" spans="2:27" ht="16" hidden="1" x14ac:dyDescent="0.2">
      <c r="B529" s="121" t="s">
        <v>243</v>
      </c>
      <c r="C529" s="81" t="s">
        <v>208</v>
      </c>
      <c r="D529" s="81" t="s">
        <v>209</v>
      </c>
      <c r="E529" s="81" t="s">
        <v>207</v>
      </c>
      <c r="F529" s="124"/>
      <c r="G529" s="81" t="str">
        <f t="shared" si="204"/>
        <v>lending_Payday_payday_VDS_</v>
      </c>
      <c r="H529" s="125"/>
      <c r="I529" s="84" t="s">
        <v>256</v>
      </c>
      <c r="J529" s="125"/>
      <c r="K529" s="155">
        <f t="shared" ref="K529:T529" si="208">K527-K528</f>
        <v>14416046513</v>
      </c>
      <c r="L529" s="155">
        <f t="shared" si="208"/>
        <v>15007189726</v>
      </c>
      <c r="M529" s="155">
        <f t="shared" si="208"/>
        <v>18726156008</v>
      </c>
      <c r="N529" s="155">
        <f t="shared" si="208"/>
        <v>20654184783</v>
      </c>
      <c r="O529" s="155">
        <f t="shared" si="208"/>
        <v>20540216184</v>
      </c>
      <c r="P529" s="155">
        <f t="shared" si="208"/>
        <v>17825774462</v>
      </c>
      <c r="Q529" s="199">
        <f t="shared" si="208"/>
        <v>16988872155</v>
      </c>
      <c r="R529" s="199">
        <f t="shared" si="208"/>
        <v>19312360331</v>
      </c>
      <c r="S529" s="199">
        <f t="shared" si="208"/>
        <v>19109000484</v>
      </c>
      <c r="T529" s="199">
        <f t="shared" si="208"/>
        <v>20399126669</v>
      </c>
      <c r="U529" s="199">
        <v>26136230107</v>
      </c>
      <c r="V529" s="199">
        <f>V527-V528</f>
        <v>32942201411</v>
      </c>
      <c r="W529" s="199">
        <f>W527-W528</f>
        <v>46502879531</v>
      </c>
      <c r="X529" s="199">
        <f>X527-X528</f>
        <v>0</v>
      </c>
      <c r="Y529" s="70">
        <f t="shared" si="192"/>
        <v>13560678120</v>
      </c>
      <c r="Z529" s="70">
        <f>V529-U529</f>
        <v>6805971304</v>
      </c>
      <c r="AA529" s="52">
        <f>Y529/Z529</f>
        <v>1.9924677190499067</v>
      </c>
    </row>
    <row r="530" spans="2:27" ht="16" hidden="1" x14ac:dyDescent="0.2">
      <c r="B530" s="121" t="s">
        <v>243</v>
      </c>
      <c r="C530" s="81" t="s">
        <v>208</v>
      </c>
      <c r="D530" s="81" t="s">
        <v>209</v>
      </c>
      <c r="E530" s="81" t="s">
        <v>207</v>
      </c>
      <c r="F530" s="124"/>
      <c r="G530" s="81" t="str">
        <f t="shared" si="204"/>
        <v>lending_Payday_payday_VDS_</v>
      </c>
      <c r="H530" s="125"/>
      <c r="I530" s="84" t="s">
        <v>257</v>
      </c>
      <c r="J530" s="125"/>
      <c r="K530" s="177">
        <f t="shared" ref="K530:X530" si="209">K526/K523</f>
        <v>0.17787536877739787</v>
      </c>
      <c r="L530" s="177">
        <f t="shared" si="209"/>
        <v>0.15272221519716084</v>
      </c>
      <c r="M530" s="177">
        <f t="shared" si="209"/>
        <v>0.17307843234288811</v>
      </c>
      <c r="N530" s="177">
        <f t="shared" si="209"/>
        <v>0.10819205852882766</v>
      </c>
      <c r="O530" s="177">
        <f t="shared" si="209"/>
        <v>0.10799336948572606</v>
      </c>
      <c r="P530" s="177">
        <f t="shared" si="209"/>
        <v>0.12382419753158033</v>
      </c>
      <c r="Q530" s="177">
        <f t="shared" si="209"/>
        <v>0.13621611436012149</v>
      </c>
      <c r="R530" s="177">
        <f t="shared" si="209"/>
        <v>0.13622260069818504</v>
      </c>
      <c r="S530" s="177">
        <f t="shared" si="209"/>
        <v>0.13926170971857046</v>
      </c>
      <c r="T530" s="177">
        <f t="shared" si="209"/>
        <v>0.11836551111377179</v>
      </c>
      <c r="U530" s="177">
        <f t="shared" si="209"/>
        <v>8.3932004835176044E-2</v>
      </c>
      <c r="V530" s="177">
        <f t="shared" si="209"/>
        <v>6.6199289448700044E-2</v>
      </c>
      <c r="W530" s="177">
        <f t="shared" si="209"/>
        <v>6.2220722990793967E-2</v>
      </c>
      <c r="X530" s="177">
        <f t="shared" si="209"/>
        <v>6.1242112034304692E-2</v>
      </c>
      <c r="Y530" s="70">
        <f t="shared" si="192"/>
        <v>-3.978566457906077E-3</v>
      </c>
    </row>
    <row r="531" spans="2:27" ht="16" hidden="1" x14ac:dyDescent="0.2">
      <c r="B531" s="121" t="s">
        <v>243</v>
      </c>
      <c r="C531" s="81" t="s">
        <v>208</v>
      </c>
      <c r="D531" s="81" t="s">
        <v>209</v>
      </c>
      <c r="E531" s="81" t="s">
        <v>207</v>
      </c>
      <c r="F531" s="80" t="s">
        <v>258</v>
      </c>
      <c r="G531" s="81" t="str">
        <f t="shared" si="204"/>
        <v>lending_Payday_payday_VDS_npl</v>
      </c>
      <c r="H531" s="125"/>
      <c r="I531" s="84" t="s">
        <v>259</v>
      </c>
      <c r="J531" s="125"/>
      <c r="K531" s="197">
        <f t="shared" ref="K531:X531" si="210">K528/K523</f>
        <v>0.18141297143458565</v>
      </c>
      <c r="L531" s="197">
        <f t="shared" si="210"/>
        <v>0.15847329083596962</v>
      </c>
      <c r="M531" s="197">
        <f t="shared" si="210"/>
        <v>0.17637736202004095</v>
      </c>
      <c r="N531" s="197">
        <f t="shared" si="210"/>
        <v>0.1130736783087813</v>
      </c>
      <c r="O531" s="177">
        <f t="shared" si="210"/>
        <v>0.12339041850764468</v>
      </c>
      <c r="P531" s="197">
        <f t="shared" si="210"/>
        <v>0.12888520107278864</v>
      </c>
      <c r="Q531" s="197">
        <f t="shared" si="210"/>
        <v>0.14029306536296149</v>
      </c>
      <c r="R531" s="197">
        <f t="shared" si="210"/>
        <v>0.14464305292944302</v>
      </c>
      <c r="S531" s="197">
        <f t="shared" si="210"/>
        <v>0.14327248042632251</v>
      </c>
      <c r="T531" s="197">
        <f t="shared" si="210"/>
        <v>0.12220487388667843</v>
      </c>
      <c r="U531" s="197">
        <f t="shared" si="210"/>
        <v>9.1225815636229363E-2</v>
      </c>
      <c r="V531" s="197">
        <f t="shared" si="210"/>
        <v>6.9841541254040213E-2</v>
      </c>
      <c r="W531" s="197">
        <f t="shared" si="210"/>
        <v>6.7043247411583407E-2</v>
      </c>
      <c r="X531" s="197">
        <f t="shared" si="210"/>
        <v>0</v>
      </c>
      <c r="Y531" s="70">
        <f t="shared" si="192"/>
        <v>-2.798293842456806E-3</v>
      </c>
    </row>
    <row r="532" spans="2:27" hidden="1" x14ac:dyDescent="0.2">
      <c r="B532" s="121" t="s">
        <v>243</v>
      </c>
      <c r="C532" s="81" t="s">
        <v>208</v>
      </c>
      <c r="D532" s="81" t="s">
        <v>209</v>
      </c>
      <c r="E532" s="81" t="s">
        <v>207</v>
      </c>
      <c r="F532" s="80" t="s">
        <v>260</v>
      </c>
      <c r="G532" s="81" t="str">
        <f t="shared" si="204"/>
        <v>lending_Payday_payday_VDS_TOI</v>
      </c>
      <c r="H532" s="125"/>
      <c r="I532" s="130" t="s">
        <v>260</v>
      </c>
      <c r="J532" s="131">
        <f t="shared" ref="J532:X532" si="211">J533+J538+J542</f>
        <v>241484453791.94275</v>
      </c>
      <c r="K532" s="131">
        <f t="shared" si="211"/>
        <v>13066064311</v>
      </c>
      <c r="L532" s="131">
        <f t="shared" si="211"/>
        <v>17498460331.205387</v>
      </c>
      <c r="M532" s="131">
        <f t="shared" si="211"/>
        <v>15501732657</v>
      </c>
      <c r="N532" s="131">
        <f t="shared" si="211"/>
        <v>14000914195</v>
      </c>
      <c r="O532" s="131">
        <f t="shared" si="211"/>
        <v>16629814728.942753</v>
      </c>
      <c r="P532" s="131">
        <f t="shared" si="211"/>
        <v>16081803373</v>
      </c>
      <c r="Q532" s="131">
        <f t="shared" si="211"/>
        <v>16539640057</v>
      </c>
      <c r="R532" s="131">
        <f t="shared" si="211"/>
        <v>16321719820</v>
      </c>
      <c r="S532" s="131">
        <f t="shared" si="211"/>
        <v>17509410963</v>
      </c>
      <c r="T532" s="131">
        <f t="shared" si="211"/>
        <v>18081325601</v>
      </c>
      <c r="U532" s="131">
        <f t="shared" si="211"/>
        <v>24368271925</v>
      </c>
      <c r="V532" s="131">
        <f t="shared" si="211"/>
        <v>30002812708</v>
      </c>
      <c r="W532" s="131">
        <f t="shared" si="211"/>
        <v>27746858440</v>
      </c>
      <c r="X532" s="131">
        <f t="shared" si="211"/>
        <v>28700149324</v>
      </c>
      <c r="Y532" s="70">
        <f t="shared" si="192"/>
        <v>-2255954268</v>
      </c>
    </row>
    <row r="533" spans="2:27" hidden="1" x14ac:dyDescent="0.2">
      <c r="B533" s="121" t="s">
        <v>243</v>
      </c>
      <c r="C533" s="81" t="s">
        <v>208</v>
      </c>
      <c r="D533" s="81" t="s">
        <v>209</v>
      </c>
      <c r="E533" s="81" t="s">
        <v>207</v>
      </c>
      <c r="F533" s="80" t="s">
        <v>300</v>
      </c>
      <c r="G533" s="81" t="str">
        <f t="shared" si="204"/>
        <v>lending_Payday_payday_VDS_NII</v>
      </c>
      <c r="H533" s="125"/>
      <c r="I533" s="132" t="s">
        <v>261</v>
      </c>
      <c r="J533" s="131">
        <f t="shared" ref="J533:X533" si="212">J534-J537</f>
        <v>80607976082.942749</v>
      </c>
      <c r="K533" s="131">
        <f t="shared" si="212"/>
        <v>4664161794</v>
      </c>
      <c r="L533" s="131">
        <f t="shared" si="212"/>
        <v>5837498687</v>
      </c>
      <c r="M533" s="131">
        <f t="shared" si="212"/>
        <v>5858662338</v>
      </c>
      <c r="N533" s="131">
        <f t="shared" si="212"/>
        <v>4841888516</v>
      </c>
      <c r="O533" s="131">
        <f t="shared" si="212"/>
        <v>5566128528.9427519</v>
      </c>
      <c r="P533" s="131">
        <f t="shared" si="212"/>
        <v>5560195303</v>
      </c>
      <c r="Q533" s="131">
        <f t="shared" si="212"/>
        <v>5745979296</v>
      </c>
      <c r="R533" s="131">
        <f t="shared" si="212"/>
        <v>5688439558</v>
      </c>
      <c r="S533" s="131">
        <f t="shared" si="212"/>
        <v>5976156861</v>
      </c>
      <c r="T533" s="131">
        <f t="shared" si="212"/>
        <v>6122317877</v>
      </c>
      <c r="U533" s="131">
        <f t="shared" si="212"/>
        <v>7374871192</v>
      </c>
      <c r="V533" s="131">
        <f t="shared" si="212"/>
        <v>9599693185</v>
      </c>
      <c r="W533" s="131">
        <f t="shared" si="212"/>
        <v>9082999274</v>
      </c>
      <c r="X533" s="131">
        <f t="shared" si="212"/>
        <v>9190644154</v>
      </c>
      <c r="Y533" s="70">
        <f t="shared" si="192"/>
        <v>-516693911</v>
      </c>
    </row>
    <row r="534" spans="2:27" ht="16" hidden="1" x14ac:dyDescent="0.2">
      <c r="B534" s="121" t="s">
        <v>243</v>
      </c>
      <c r="C534" s="81" t="s">
        <v>208</v>
      </c>
      <c r="D534" s="81" t="s">
        <v>209</v>
      </c>
      <c r="E534" s="81" t="s">
        <v>207</v>
      </c>
      <c r="F534" s="80" t="s">
        <v>301</v>
      </c>
      <c r="G534" s="81" t="str">
        <f t="shared" si="204"/>
        <v>lending_Payday_payday_VDS_CII</v>
      </c>
      <c r="H534" s="125"/>
      <c r="I534" s="134" t="s">
        <v>262</v>
      </c>
      <c r="J534" s="125">
        <f>SUM(M534:X534)</f>
        <v>92076323203</v>
      </c>
      <c r="K534" s="199">
        <f>K535+96699988-K536</f>
        <v>5244090192</v>
      </c>
      <c r="L534" s="199">
        <f t="shared" ref="L534:W534" si="213">L535+K536-L536</f>
        <v>6508988960</v>
      </c>
      <c r="M534" s="199">
        <f t="shared" si="213"/>
        <v>6617667581</v>
      </c>
      <c r="N534" s="199">
        <f t="shared" si="213"/>
        <v>5508505087</v>
      </c>
      <c r="O534" s="199">
        <f t="shared" si="213"/>
        <v>6253552987</v>
      </c>
      <c r="P534" s="199">
        <f t="shared" si="213"/>
        <v>6257769480</v>
      </c>
      <c r="Q534" s="199">
        <f t="shared" si="213"/>
        <v>6481107879</v>
      </c>
      <c r="R534" s="199">
        <f t="shared" si="213"/>
        <v>6421218020</v>
      </c>
      <c r="S534" s="199">
        <f t="shared" si="213"/>
        <v>6787680570</v>
      </c>
      <c r="T534" s="199">
        <f t="shared" si="213"/>
        <v>7026995907</v>
      </c>
      <c r="U534" s="199">
        <f t="shared" si="213"/>
        <v>8396652227</v>
      </c>
      <c r="V534" s="199">
        <f t="shared" si="213"/>
        <v>10997858918</v>
      </c>
      <c r="W534" s="199">
        <f t="shared" si="213"/>
        <v>10515305367</v>
      </c>
      <c r="X534" s="199">
        <f>X535+W536-X536</f>
        <v>10812009180</v>
      </c>
      <c r="Y534" s="70">
        <f t="shared" si="192"/>
        <v>-482553551</v>
      </c>
    </row>
    <row r="535" spans="2:27" ht="16" hidden="1" x14ac:dyDescent="0.2">
      <c r="B535" s="121" t="s">
        <v>243</v>
      </c>
      <c r="C535" s="81" t="s">
        <v>208</v>
      </c>
      <c r="D535" s="81" t="s">
        <v>209</v>
      </c>
      <c r="E535" s="81" t="s">
        <v>207</v>
      </c>
      <c r="F535" s="80"/>
      <c r="G535" s="81" t="str">
        <f t="shared" si="204"/>
        <v>lending_Payday_payday_VDS_</v>
      </c>
      <c r="H535" s="125"/>
      <c r="I535" s="183" t="s">
        <v>263</v>
      </c>
      <c r="J535" s="136">
        <f>SUM(M535:X535)</f>
        <v>92140337766</v>
      </c>
      <c r="K535" s="125">
        <v>5224481293</v>
      </c>
      <c r="L535" s="125">
        <v>6675824625</v>
      </c>
      <c r="M535" s="125">
        <v>6550984528</v>
      </c>
      <c r="N535" s="125">
        <v>5427410948</v>
      </c>
      <c r="O535" s="84">
        <v>6263597203</v>
      </c>
      <c r="P535" s="84">
        <v>6226805804</v>
      </c>
      <c r="Q535" s="84">
        <v>6511277442</v>
      </c>
      <c r="R535" s="84">
        <v>6421740781</v>
      </c>
      <c r="S535" s="84">
        <v>6851571155</v>
      </c>
      <c r="T535" s="84">
        <v>7025398016</v>
      </c>
      <c r="U535" s="84">
        <v>8428697029</v>
      </c>
      <c r="V535" s="125">
        <v>11131659376</v>
      </c>
      <c r="W535" s="199">
        <v>10509569519</v>
      </c>
      <c r="X535" s="125">
        <v>10791625965</v>
      </c>
      <c r="Y535" s="70">
        <f t="shared" si="192"/>
        <v>-622089857</v>
      </c>
    </row>
    <row r="536" spans="2:27" ht="16" hidden="1" x14ac:dyDescent="0.2">
      <c r="B536" s="121" t="s">
        <v>243</v>
      </c>
      <c r="C536" s="81" t="s">
        <v>208</v>
      </c>
      <c r="D536" s="81" t="s">
        <v>209</v>
      </c>
      <c r="E536" s="81" t="s">
        <v>207</v>
      </c>
      <c r="F536" s="124"/>
      <c r="G536" s="81" t="str">
        <f t="shared" si="204"/>
        <v>lending_Payday_payday_VDS_</v>
      </c>
      <c r="H536" s="125"/>
      <c r="I536" s="183" t="s">
        <v>264</v>
      </c>
      <c r="J536" s="136"/>
      <c r="K536" s="198">
        <v>77091089</v>
      </c>
      <c r="L536" s="198">
        <f>135438883+108487871</f>
        <v>243926754</v>
      </c>
      <c r="M536" s="84">
        <v>177243701</v>
      </c>
      <c r="N536" s="84">
        <v>96149562</v>
      </c>
      <c r="O536" s="84">
        <v>106193778</v>
      </c>
      <c r="P536" s="84">
        <v>75230102</v>
      </c>
      <c r="Q536" s="84">
        <v>105399665</v>
      </c>
      <c r="R536" s="84">
        <v>105922426</v>
      </c>
      <c r="S536" s="84">
        <v>169813011</v>
      </c>
      <c r="T536" s="84">
        <v>168215120</v>
      </c>
      <c r="U536" s="84">
        <v>200259922</v>
      </c>
      <c r="V536" s="125">
        <f>330953177+3107203</f>
        <v>334060380</v>
      </c>
      <c r="W536" s="125">
        <v>328324532</v>
      </c>
      <c r="X536" s="198">
        <v>307941317</v>
      </c>
      <c r="Y536" s="70">
        <f t="shared" si="192"/>
        <v>-5735848</v>
      </c>
      <c r="Z536" s="70"/>
      <c r="AA536" s="70"/>
    </row>
    <row r="537" spans="2:27" ht="16" hidden="1" x14ac:dyDescent="0.2">
      <c r="B537" s="121" t="s">
        <v>243</v>
      </c>
      <c r="C537" s="81" t="s">
        <v>208</v>
      </c>
      <c r="D537" s="81" t="s">
        <v>209</v>
      </c>
      <c r="E537" s="81" t="s">
        <v>207</v>
      </c>
      <c r="F537" s="80" t="s">
        <v>62</v>
      </c>
      <c r="G537" s="81" t="str">
        <f t="shared" si="204"/>
        <v>lending_Payday_payday_VDS_COF</v>
      </c>
      <c r="H537" s="125"/>
      <c r="I537" s="134" t="s">
        <v>62</v>
      </c>
      <c r="J537" s="125">
        <f>SUM(M537:X537)</f>
        <v>11468347120.057247</v>
      </c>
      <c r="K537" s="125">
        <v>579928398</v>
      </c>
      <c r="L537" s="125">
        <v>671490273</v>
      </c>
      <c r="M537" s="84">
        <v>759005243</v>
      </c>
      <c r="N537" s="84">
        <v>666616571</v>
      </c>
      <c r="O537" s="84">
        <v>687424458.05724812</v>
      </c>
      <c r="P537" s="84">
        <v>697574177</v>
      </c>
      <c r="Q537" s="84">
        <v>735128583</v>
      </c>
      <c r="R537" s="84">
        <v>732778462</v>
      </c>
      <c r="S537" s="82">
        <v>811523709</v>
      </c>
      <c r="T537" s="82">
        <v>904678030</v>
      </c>
      <c r="U537" s="82">
        <v>1021781035</v>
      </c>
      <c r="V537" s="153">
        <f>1374824794+23340939</f>
        <v>1398165733</v>
      </c>
      <c r="W537" s="125">
        <f>1415702488+16603605</f>
        <v>1432306093</v>
      </c>
      <c r="X537" s="125">
        <v>1621365026</v>
      </c>
      <c r="Y537" s="70">
        <f t="shared" si="192"/>
        <v>34140360</v>
      </c>
    </row>
    <row r="538" spans="2:27" hidden="1" x14ac:dyDescent="0.2">
      <c r="B538" s="121" t="s">
        <v>243</v>
      </c>
      <c r="C538" s="81" t="s">
        <v>208</v>
      </c>
      <c r="D538" s="81" t="s">
        <v>209</v>
      </c>
      <c r="E538" s="81" t="s">
        <v>207</v>
      </c>
      <c r="F538" s="80" t="s">
        <v>302</v>
      </c>
      <c r="G538" s="81" t="str">
        <f t="shared" si="204"/>
        <v>lending_Payday_payday_VDS_NFI</v>
      </c>
      <c r="H538" s="125"/>
      <c r="I538" s="132" t="s">
        <v>265</v>
      </c>
      <c r="J538" s="131">
        <f t="shared" ref="J538:X538" si="214">SUM(J539:J541)</f>
        <v>157521787268</v>
      </c>
      <c r="K538" s="131">
        <f t="shared" si="214"/>
        <v>8384125441</v>
      </c>
      <c r="L538" s="131">
        <f t="shared" si="214"/>
        <v>11631185387.205387</v>
      </c>
      <c r="M538" s="131">
        <f t="shared" si="214"/>
        <v>9624081966</v>
      </c>
      <c r="N538" s="131">
        <f t="shared" si="214"/>
        <v>9054381468</v>
      </c>
      <c r="O538" s="131">
        <f t="shared" si="214"/>
        <v>10739405805</v>
      </c>
      <c r="P538" s="131">
        <f t="shared" si="214"/>
        <v>10305715564</v>
      </c>
      <c r="Q538" s="131">
        <f t="shared" si="214"/>
        <v>10585791480</v>
      </c>
      <c r="R538" s="131">
        <f t="shared" si="214"/>
        <v>10405949150</v>
      </c>
      <c r="S538" s="131">
        <f t="shared" si="214"/>
        <v>11204308263</v>
      </c>
      <c r="T538" s="131">
        <f t="shared" si="214"/>
        <v>11640283901</v>
      </c>
      <c r="U538" s="131">
        <f t="shared" si="214"/>
        <v>16675592948</v>
      </c>
      <c r="V538" s="131">
        <f t="shared" si="214"/>
        <v>20000504482</v>
      </c>
      <c r="W538" s="131">
        <f t="shared" si="214"/>
        <v>18189323006</v>
      </c>
      <c r="X538" s="131">
        <f t="shared" si="214"/>
        <v>19096449235</v>
      </c>
      <c r="Y538" s="70">
        <f t="shared" si="192"/>
        <v>-1811181476</v>
      </c>
    </row>
    <row r="539" spans="2:27" ht="16" hidden="1" x14ac:dyDescent="0.2">
      <c r="B539" s="121" t="s">
        <v>243</v>
      </c>
      <c r="C539" s="81" t="s">
        <v>208</v>
      </c>
      <c r="D539" s="81" t="s">
        <v>209</v>
      </c>
      <c r="E539" s="81" t="s">
        <v>207</v>
      </c>
      <c r="F539" s="80" t="s">
        <v>303</v>
      </c>
      <c r="G539" s="81" t="str">
        <f t="shared" si="204"/>
        <v>lending_Payday_payday_VDS_insurance_fee</v>
      </c>
      <c r="H539" s="125"/>
      <c r="I539" s="134" t="s">
        <v>266</v>
      </c>
      <c r="J539" s="125">
        <f>SUM(M539:X539)</f>
        <v>157521787268</v>
      </c>
      <c r="K539" s="125">
        <v>8384125441</v>
      </c>
      <c r="L539" s="64">
        <v>11631185387.205387</v>
      </c>
      <c r="M539" s="64">
        <v>9624081966</v>
      </c>
      <c r="N539" s="64">
        <v>9054381468</v>
      </c>
      <c r="O539" s="84">
        <v>10739405805</v>
      </c>
      <c r="P539" s="84">
        <v>10305715564</v>
      </c>
      <c r="Q539" s="84">
        <v>10585791480</v>
      </c>
      <c r="R539" s="84">
        <v>10405949150</v>
      </c>
      <c r="S539" s="82">
        <v>11204308263</v>
      </c>
      <c r="T539" s="125">
        <v>11640283901</v>
      </c>
      <c r="U539" s="125">
        <v>16675592948</v>
      </c>
      <c r="V539" s="136">
        <v>20000504482</v>
      </c>
      <c r="W539" s="136">
        <v>18189323006</v>
      </c>
      <c r="X539" s="64">
        <v>19096449235</v>
      </c>
      <c r="Y539" s="70">
        <f t="shared" si="192"/>
        <v>-1811181476</v>
      </c>
    </row>
    <row r="540" spans="2:27" ht="16" hidden="1" x14ac:dyDescent="0.2">
      <c r="B540" s="121" t="s">
        <v>243</v>
      </c>
      <c r="C540" s="81" t="s">
        <v>208</v>
      </c>
      <c r="D540" s="81" t="s">
        <v>209</v>
      </c>
      <c r="E540" s="81" t="s">
        <v>207</v>
      </c>
      <c r="F540" s="80" t="s">
        <v>304</v>
      </c>
      <c r="G540" s="81" t="str">
        <f t="shared" si="204"/>
        <v>lending_Payday_payday_VDS_early_terminate_fee</v>
      </c>
      <c r="H540" s="125"/>
      <c r="I540" s="134" t="s">
        <v>267</v>
      </c>
      <c r="J540" s="125">
        <f>SUM(M540:X540)</f>
        <v>0</v>
      </c>
      <c r="K540" s="125"/>
      <c r="L540" s="64"/>
      <c r="M540" s="84"/>
      <c r="N540" s="84"/>
      <c r="O540" s="84"/>
      <c r="P540" s="122"/>
      <c r="Q540" s="84"/>
      <c r="R540" s="84"/>
      <c r="S540" s="64"/>
      <c r="T540" s="125"/>
      <c r="U540" s="125"/>
      <c r="V540" s="125"/>
      <c r="W540" s="125"/>
      <c r="X540" s="64"/>
      <c r="Y540" s="70">
        <f t="shared" si="192"/>
        <v>0</v>
      </c>
    </row>
    <row r="541" spans="2:27" ht="16" hidden="1" x14ac:dyDescent="0.2">
      <c r="B541" s="121" t="s">
        <v>243</v>
      </c>
      <c r="C541" s="81" t="s">
        <v>208</v>
      </c>
      <c r="D541" s="81" t="s">
        <v>209</v>
      </c>
      <c r="E541" s="81" t="s">
        <v>207</v>
      </c>
      <c r="F541" s="80" t="s">
        <v>305</v>
      </c>
      <c r="G541" s="81" t="str">
        <f t="shared" si="204"/>
        <v>lending_Payday_payday_VDS_loan_grant_fee</v>
      </c>
      <c r="H541" s="125"/>
      <c r="I541" s="134" t="s">
        <v>187</v>
      </c>
      <c r="J541" s="125">
        <f>SUM(M541:X541)</f>
        <v>0</v>
      </c>
      <c r="K541" s="125"/>
      <c r="L541" s="64"/>
      <c r="M541" s="84"/>
      <c r="N541" s="84"/>
      <c r="O541" s="84"/>
      <c r="P541" s="122"/>
      <c r="Q541" s="84"/>
      <c r="R541" s="84"/>
      <c r="S541" s="64"/>
      <c r="T541" s="125"/>
      <c r="U541" s="125"/>
      <c r="V541" s="125"/>
      <c r="W541" s="125"/>
      <c r="X541" s="64"/>
      <c r="Y541" s="70">
        <f t="shared" ref="Y541:Y604" si="215">W541-V541</f>
        <v>0</v>
      </c>
    </row>
    <row r="542" spans="2:27" s="54" customFormat="1" hidden="1" x14ac:dyDescent="0.2">
      <c r="B542" s="121" t="s">
        <v>243</v>
      </c>
      <c r="C542" s="81" t="s">
        <v>208</v>
      </c>
      <c r="D542" s="81" t="s">
        <v>209</v>
      </c>
      <c r="E542" s="81" t="s">
        <v>207</v>
      </c>
      <c r="F542" s="80" t="s">
        <v>306</v>
      </c>
      <c r="G542" s="81" t="str">
        <f t="shared" si="204"/>
        <v>lending_Payday_payday_VDS_other_TOI</v>
      </c>
      <c r="H542" s="125"/>
      <c r="I542" s="132" t="s">
        <v>269</v>
      </c>
      <c r="J542" s="131">
        <f>SUM(M542:X542)</f>
        <v>3354690441</v>
      </c>
      <c r="K542" s="131">
        <v>17777076</v>
      </c>
      <c r="L542" s="168">
        <v>29776257</v>
      </c>
      <c r="M542" s="140">
        <v>18988353</v>
      </c>
      <c r="N542" s="140">
        <v>104644211</v>
      </c>
      <c r="O542" s="140">
        <v>324280395</v>
      </c>
      <c r="P542" s="140">
        <v>215892506</v>
      </c>
      <c r="Q542" s="140">
        <v>207869281</v>
      </c>
      <c r="R542" s="140">
        <v>227331112</v>
      </c>
      <c r="S542" s="140">
        <v>328945839</v>
      </c>
      <c r="T542" s="131">
        <v>318723823</v>
      </c>
      <c r="U542" s="131">
        <v>317807785</v>
      </c>
      <c r="V542" s="131">
        <v>402615041</v>
      </c>
      <c r="W542" s="131">
        <v>474536160</v>
      </c>
      <c r="X542" s="168">
        <v>413055935</v>
      </c>
      <c r="Y542" s="70">
        <f t="shared" si="215"/>
        <v>71921119</v>
      </c>
    </row>
    <row r="543" spans="2:27" hidden="1" x14ac:dyDescent="0.2">
      <c r="B543" s="121" t="s">
        <v>243</v>
      </c>
      <c r="C543" s="81" t="s">
        <v>208</v>
      </c>
      <c r="D543" s="81" t="s">
        <v>209</v>
      </c>
      <c r="E543" s="81" t="s">
        <v>207</v>
      </c>
      <c r="F543" s="80" t="s">
        <v>307</v>
      </c>
      <c r="G543" s="81" t="str">
        <f t="shared" si="204"/>
        <v>lending_Payday_payday_VDS_provision</v>
      </c>
      <c r="H543" s="125"/>
      <c r="I543" s="140" t="s">
        <v>270</v>
      </c>
      <c r="J543" s="131">
        <f>SUM(M543:X543)</f>
        <v>82997801939</v>
      </c>
      <c r="K543" s="140">
        <v>2777196993</v>
      </c>
      <c r="L543" s="140">
        <f>3537304547+453516789</f>
        <v>3990821336</v>
      </c>
      <c r="M543" s="140">
        <v>10007974585</v>
      </c>
      <c r="N543" s="184">
        <v>4027886923</v>
      </c>
      <c r="O543" s="200">
        <f>4412555696+502704668</f>
        <v>4915260364</v>
      </c>
      <c r="P543" s="184">
        <v>4114207096</v>
      </c>
      <c r="Q543" s="184">
        <v>5025024931</v>
      </c>
      <c r="R543" s="184">
        <f>4778707699+612271375</f>
        <v>5390979074</v>
      </c>
      <c r="S543" s="184">
        <v>6407518846</v>
      </c>
      <c r="T543" s="140">
        <v>6834842576</v>
      </c>
      <c r="U543" s="167">
        <f>8202098509+523359047</f>
        <v>8725457556</v>
      </c>
      <c r="V543" s="167">
        <f>8428996547+52366753</f>
        <v>8481363300</v>
      </c>
      <c r="W543" s="140">
        <f>9003831616-15684743</f>
        <v>8988146873</v>
      </c>
      <c r="X543" s="140">
        <v>10079139815</v>
      </c>
      <c r="Y543" s="70">
        <f t="shared" si="215"/>
        <v>506783573</v>
      </c>
    </row>
    <row r="544" spans="2:27" hidden="1" x14ac:dyDescent="0.2">
      <c r="B544" s="121" t="s">
        <v>243</v>
      </c>
      <c r="C544" s="81" t="s">
        <v>208</v>
      </c>
      <c r="D544" s="81" t="s">
        <v>209</v>
      </c>
      <c r="E544" s="81" t="s">
        <v>207</v>
      </c>
      <c r="F544" s="80" t="s">
        <v>308</v>
      </c>
      <c r="G544" s="81" t="str">
        <f t="shared" si="204"/>
        <v>lending_Payday_payday_VDS_variable_cost</v>
      </c>
      <c r="H544" s="125"/>
      <c r="I544" s="140" t="s">
        <v>271</v>
      </c>
      <c r="J544" s="131">
        <f t="shared" ref="J544:X544" si="216">SUM(J545:J552)</f>
        <v>86433438421.943451</v>
      </c>
      <c r="K544" s="131">
        <f t="shared" si="216"/>
        <v>4626544177.7028646</v>
      </c>
      <c r="L544" s="131">
        <f t="shared" si="216"/>
        <v>5613002860.3589048</v>
      </c>
      <c r="M544" s="131">
        <f t="shared" si="216"/>
        <v>6371738778.6115131</v>
      </c>
      <c r="N544" s="131">
        <f t="shared" si="216"/>
        <v>5837854131.9698095</v>
      </c>
      <c r="O544" s="131">
        <f t="shared" si="216"/>
        <v>6033745984.9798002</v>
      </c>
      <c r="P544" s="131">
        <f t="shared" si="216"/>
        <v>4503864111.3707399</v>
      </c>
      <c r="Q544" s="131">
        <f t="shared" si="216"/>
        <v>5100723417.6867952</v>
      </c>
      <c r="R544" s="131">
        <f t="shared" si="216"/>
        <v>5444025453.6776085</v>
      </c>
      <c r="S544" s="131">
        <f t="shared" si="216"/>
        <v>6151121410.1214657</v>
      </c>
      <c r="T544" s="131">
        <f t="shared" si="216"/>
        <v>6204037767.794117</v>
      </c>
      <c r="U544" s="131">
        <f t="shared" si="216"/>
        <v>8630878049.0437317</v>
      </c>
      <c r="V544" s="131">
        <f t="shared" si="216"/>
        <v>11557900316.345949</v>
      </c>
      <c r="W544" s="131">
        <f t="shared" si="216"/>
        <v>10411131276.106922</v>
      </c>
      <c r="X544" s="131">
        <f t="shared" si="216"/>
        <v>10186417724.234995</v>
      </c>
      <c r="Y544" s="70">
        <f t="shared" si="215"/>
        <v>-1146769040.239027</v>
      </c>
    </row>
    <row r="545" spans="2:25" ht="16" hidden="1" x14ac:dyDescent="0.2">
      <c r="B545" s="121" t="s">
        <v>243</v>
      </c>
      <c r="C545" s="81" t="s">
        <v>208</v>
      </c>
      <c r="D545" s="81" t="s">
        <v>209</v>
      </c>
      <c r="E545" s="81" t="s">
        <v>207</v>
      </c>
      <c r="F545" s="80" t="s">
        <v>198</v>
      </c>
      <c r="G545" s="81" t="str">
        <f t="shared" si="204"/>
        <v>lending_Payday_payday_VDS_marketing_acquisition_cost</v>
      </c>
      <c r="H545" s="125"/>
      <c r="I545" s="142" t="s">
        <v>272</v>
      </c>
      <c r="J545" s="125">
        <f t="shared" ref="J545:J550" si="217">SUM(M545:X545)</f>
        <v>0</v>
      </c>
      <c r="K545" s="122"/>
      <c r="L545" s="122"/>
      <c r="M545" s="84"/>
      <c r="N545" s="84"/>
      <c r="O545" s="84"/>
      <c r="P545" s="122"/>
      <c r="Q545" s="84"/>
      <c r="R545" s="84"/>
      <c r="S545" s="84"/>
      <c r="T545" s="84"/>
      <c r="U545" s="84"/>
      <c r="V545" s="122"/>
      <c r="W545" s="122"/>
      <c r="X545" s="122"/>
      <c r="Y545" s="70">
        <f t="shared" si="215"/>
        <v>0</v>
      </c>
    </row>
    <row r="546" spans="2:25" ht="16" hidden="1" x14ac:dyDescent="0.2">
      <c r="B546" s="121" t="s">
        <v>243</v>
      </c>
      <c r="C546" s="81" t="s">
        <v>208</v>
      </c>
      <c r="D546" s="81" t="s">
        <v>209</v>
      </c>
      <c r="E546" s="81" t="s">
        <v>207</v>
      </c>
      <c r="F546" s="80" t="s">
        <v>309</v>
      </c>
      <c r="G546" s="81" t="str">
        <f t="shared" si="204"/>
        <v>lending_Payday_payday_VDS_partner_acquisition_cost</v>
      </c>
      <c r="H546" s="125"/>
      <c r="I546" s="142" t="s">
        <v>202</v>
      </c>
      <c r="J546" s="125">
        <f t="shared" si="217"/>
        <v>78003270318</v>
      </c>
      <c r="K546" s="84">
        <v>4119376663</v>
      </c>
      <c r="L546" s="84">
        <v>4827982215</v>
      </c>
      <c r="M546" s="84">
        <v>5599179707</v>
      </c>
      <c r="N546" s="84">
        <v>5076488265</v>
      </c>
      <c r="O546" s="143">
        <v>5461932558</v>
      </c>
      <c r="P546" s="143">
        <v>3906190174</v>
      </c>
      <c r="Q546" s="143">
        <v>4553817886</v>
      </c>
      <c r="R546" s="84">
        <v>5017928237</v>
      </c>
      <c r="S546" s="84">
        <v>5513494053</v>
      </c>
      <c r="T546" s="84">
        <v>5568278878</v>
      </c>
      <c r="U546" s="84">
        <v>7889734491</v>
      </c>
      <c r="V546" s="82">
        <v>10665948354</v>
      </c>
      <c r="W546" s="82">
        <v>9554690253</v>
      </c>
      <c r="X546" s="82">
        <v>9195587462</v>
      </c>
      <c r="Y546" s="70">
        <f t="shared" si="215"/>
        <v>-1111258101</v>
      </c>
    </row>
    <row r="547" spans="2:25" ht="16" hidden="1" x14ac:dyDescent="0.2">
      <c r="B547" s="121" t="s">
        <v>243</v>
      </c>
      <c r="C547" s="81" t="s">
        <v>208</v>
      </c>
      <c r="D547" s="81" t="s">
        <v>209</v>
      </c>
      <c r="E547" s="81" t="s">
        <v>207</v>
      </c>
      <c r="F547" s="80" t="s">
        <v>310</v>
      </c>
      <c r="G547" s="81" t="str">
        <f t="shared" si="204"/>
        <v>lending_Payday_payday_VDS_underwritting</v>
      </c>
      <c r="H547" s="125"/>
      <c r="I547" s="142" t="s">
        <v>273</v>
      </c>
      <c r="J547" s="125">
        <f t="shared" si="217"/>
        <v>4818765608.3744764</v>
      </c>
      <c r="K547" s="125">
        <v>246104717.44823804</v>
      </c>
      <c r="L547" s="125">
        <v>442055621.77862608</v>
      </c>
      <c r="M547" s="84">
        <v>291522757.61333001</v>
      </c>
      <c r="N547" s="84">
        <v>240014068.11673853</v>
      </c>
      <c r="O547" s="84">
        <v>272840192.04200888</v>
      </c>
      <c r="P547" s="84">
        <v>255545217.51362622</v>
      </c>
      <c r="Q547" s="84">
        <v>229686542.38777104</v>
      </c>
      <c r="R547" s="84">
        <v>260278088.19064534</v>
      </c>
      <c r="S547" s="84">
        <v>433648233.24278677</v>
      </c>
      <c r="T547" s="84">
        <v>484439919.79249948</v>
      </c>
      <c r="U547" s="84">
        <v>573740957.69338703</v>
      </c>
      <c r="V547" s="125">
        <v>589661198.56364572</v>
      </c>
      <c r="W547" s="125">
        <v>519288607.35783958</v>
      </c>
      <c r="X547" s="125">
        <v>668099825.8601979</v>
      </c>
      <c r="Y547" s="70">
        <f t="shared" si="215"/>
        <v>-70372591.205806136</v>
      </c>
    </row>
    <row r="548" spans="2:25" ht="16" hidden="1" x14ac:dyDescent="0.2">
      <c r="B548" s="121" t="s">
        <v>243</v>
      </c>
      <c r="C548" s="81" t="s">
        <v>208</v>
      </c>
      <c r="D548" s="81" t="s">
        <v>209</v>
      </c>
      <c r="E548" s="81" t="s">
        <v>207</v>
      </c>
      <c r="F548" s="80" t="s">
        <v>311</v>
      </c>
      <c r="G548" s="81" t="str">
        <f t="shared" si="204"/>
        <v>lending_Payday_payday_VDS_e_contract</v>
      </c>
      <c r="H548" s="125"/>
      <c r="I548" s="142" t="s">
        <v>274</v>
      </c>
      <c r="J548" s="125">
        <f t="shared" si="217"/>
        <v>508195158</v>
      </c>
      <c r="K548" s="84">
        <v>26021613</v>
      </c>
      <c r="L548" s="84">
        <v>36448638</v>
      </c>
      <c r="M548" s="84">
        <v>29781182</v>
      </c>
      <c r="N548" s="84">
        <v>28028005</v>
      </c>
      <c r="O548" s="84">
        <v>33412222</v>
      </c>
      <c r="P548" s="84">
        <v>84309997</v>
      </c>
      <c r="Q548" s="84">
        <v>32122983</v>
      </c>
      <c r="R548" s="143">
        <v>30754114</v>
      </c>
      <c r="S548" s="84">
        <v>32635650</v>
      </c>
      <c r="T548" s="84">
        <v>33038695</v>
      </c>
      <c r="U548" s="84">
        <v>48216308</v>
      </c>
      <c r="V548" s="84">
        <v>54630410</v>
      </c>
      <c r="W548" s="84">
        <v>48171782</v>
      </c>
      <c r="X548" s="84">
        <v>53093810</v>
      </c>
      <c r="Y548" s="70">
        <f t="shared" si="215"/>
        <v>-6458628</v>
      </c>
    </row>
    <row r="549" spans="2:25" ht="16" hidden="1" x14ac:dyDescent="0.2">
      <c r="B549" s="121" t="s">
        <v>243</v>
      </c>
      <c r="C549" s="81" t="s">
        <v>208</v>
      </c>
      <c r="D549" s="81" t="s">
        <v>209</v>
      </c>
      <c r="E549" s="81" t="s">
        <v>207</v>
      </c>
      <c r="F549" s="80" t="s">
        <v>312</v>
      </c>
      <c r="G549" s="81" t="str">
        <f t="shared" si="204"/>
        <v>lending_Payday_payday_VDS_nfc</v>
      </c>
      <c r="H549" s="125"/>
      <c r="I549" s="142" t="s">
        <v>275</v>
      </c>
      <c r="J549" s="125">
        <f t="shared" si="217"/>
        <v>337213206.50667793</v>
      </c>
      <c r="K549" s="84"/>
      <c r="L549" s="84"/>
      <c r="M549" s="84">
        <v>44403387.011742152</v>
      </c>
      <c r="N549" s="84">
        <v>27711856.198913936</v>
      </c>
      <c r="O549" s="170">
        <v>41084667.622775041</v>
      </c>
      <c r="P549" s="170">
        <v>34233701.447456285</v>
      </c>
      <c r="Q549" s="84">
        <v>34357565.340415493</v>
      </c>
      <c r="R549" s="170">
        <v>37304930.75988663</v>
      </c>
      <c r="S549" s="84">
        <v>27438953.199753683</v>
      </c>
      <c r="T549" s="84">
        <v>18256869.672304671</v>
      </c>
      <c r="U549" s="84">
        <v>17554554.358940888</v>
      </c>
      <c r="V549" s="84">
        <v>18397942.799043622</v>
      </c>
      <c r="W549" s="84">
        <v>16480206.290796345</v>
      </c>
      <c r="X549" s="84">
        <v>19988571.804649234</v>
      </c>
      <c r="Y549" s="70">
        <f t="shared" si="215"/>
        <v>-1917736.5082472768</v>
      </c>
    </row>
    <row r="550" spans="2:25" ht="16" hidden="1" x14ac:dyDescent="0.2">
      <c r="B550" s="121" t="s">
        <v>243</v>
      </c>
      <c r="C550" s="81" t="s">
        <v>208</v>
      </c>
      <c r="D550" s="81" t="s">
        <v>209</v>
      </c>
      <c r="E550" s="81" t="s">
        <v>207</v>
      </c>
      <c r="F550" s="80" t="s">
        <v>313</v>
      </c>
      <c r="G550" s="81" t="str">
        <f t="shared" si="204"/>
        <v>lending_Payday_payday_VDS_collection</v>
      </c>
      <c r="H550" s="125"/>
      <c r="I550" s="142" t="s">
        <v>196</v>
      </c>
      <c r="J550" s="125">
        <f t="shared" si="217"/>
        <v>2492267889.791245</v>
      </c>
      <c r="K550" s="125">
        <v>227239457.33446279</v>
      </c>
      <c r="L550" s="125">
        <v>287433899.99039507</v>
      </c>
      <c r="M550" s="125">
        <v>377920008.06414086</v>
      </c>
      <c r="N550" s="125">
        <v>451104189.99645036</v>
      </c>
      <c r="O550" s="84">
        <v>205328232.38091636</v>
      </c>
      <c r="P550" s="84">
        <v>197047431.28970414</v>
      </c>
      <c r="Q550" s="84">
        <v>230465627.20273829</v>
      </c>
      <c r="R550" s="64">
        <v>80676668.105931282</v>
      </c>
      <c r="S550" s="64">
        <v>120735740</v>
      </c>
      <c r="T550" s="84">
        <v>83755698.965315849</v>
      </c>
      <c r="U550" s="125">
        <v>79042770.070431769</v>
      </c>
      <c r="V550" s="125">
        <v>197969902.42208788</v>
      </c>
      <c r="W550" s="125">
        <v>243216855.95982009</v>
      </c>
      <c r="X550" s="125">
        <v>225004765.33370835</v>
      </c>
      <c r="Y550" s="70">
        <f t="shared" si="215"/>
        <v>45246953.537732214</v>
      </c>
    </row>
    <row r="551" spans="2:25" ht="16" hidden="1" x14ac:dyDescent="0.2">
      <c r="B551" s="121" t="s">
        <v>243</v>
      </c>
      <c r="C551" s="81" t="s">
        <v>208</v>
      </c>
      <c r="D551" s="81" t="s">
        <v>209</v>
      </c>
      <c r="E551" s="81" t="s">
        <v>207</v>
      </c>
      <c r="F551" s="80" t="s">
        <v>314</v>
      </c>
      <c r="G551" s="81" t="str">
        <f t="shared" si="204"/>
        <v>lending_Payday_payday_VDS_promotion</v>
      </c>
      <c r="H551" s="125"/>
      <c r="I551" s="142" t="s">
        <v>276</v>
      </c>
      <c r="J551" s="125"/>
      <c r="K551" s="125"/>
      <c r="L551" s="125"/>
      <c r="M551" s="125"/>
      <c r="N551" s="125"/>
      <c r="O551" s="84"/>
      <c r="P551" s="84"/>
      <c r="Q551" s="84"/>
      <c r="R551" s="64"/>
      <c r="S551" s="84"/>
      <c r="T551" s="84"/>
      <c r="U551" s="125"/>
      <c r="V551" s="125"/>
      <c r="W551" s="125"/>
      <c r="X551" s="125"/>
      <c r="Y551" s="70">
        <f t="shared" si="215"/>
        <v>0</v>
      </c>
    </row>
    <row r="552" spans="2:25" ht="16" x14ac:dyDescent="0.2">
      <c r="B552" s="121" t="s">
        <v>243</v>
      </c>
      <c r="C552" s="81" t="s">
        <v>208</v>
      </c>
      <c r="D552" s="81" t="s">
        <v>209</v>
      </c>
      <c r="E552" s="81" t="s">
        <v>207</v>
      </c>
      <c r="F552" s="80" t="s">
        <v>315</v>
      </c>
      <c r="G552" s="81" t="str">
        <f t="shared" si="204"/>
        <v>lending_Payday_payday_VDS_sms</v>
      </c>
      <c r="H552" s="125"/>
      <c r="I552" s="144" t="s">
        <v>197</v>
      </c>
      <c r="J552" s="125">
        <f>SUM(M552:X552)</f>
        <v>273726241.27104414</v>
      </c>
      <c r="K552" s="143">
        <v>7801726.9201634098</v>
      </c>
      <c r="L552" s="143">
        <v>19082485.589882895</v>
      </c>
      <c r="M552" s="143">
        <v>28931736.922299597</v>
      </c>
      <c r="N552" s="143">
        <v>14507747.657706995</v>
      </c>
      <c r="O552" s="143">
        <v>19148112.934098724</v>
      </c>
      <c r="P552" s="143">
        <v>26537590.119952701</v>
      </c>
      <c r="Q552" s="143">
        <v>20272813.755870156</v>
      </c>
      <c r="R552" s="170">
        <v>17083415.621145226</v>
      </c>
      <c r="S552" s="84">
        <v>23168780.678925786</v>
      </c>
      <c r="T552" s="84">
        <v>16267706.363996264</v>
      </c>
      <c r="U552" s="84">
        <v>22588967.920971673</v>
      </c>
      <c r="V552" s="84">
        <v>31292508.561171047</v>
      </c>
      <c r="W552" s="84">
        <v>29283571.498465683</v>
      </c>
      <c r="X552" s="84">
        <v>24643289.23644029</v>
      </c>
      <c r="Y552" s="70">
        <f t="shared" si="215"/>
        <v>-2008937.0627053641</v>
      </c>
    </row>
    <row r="553" spans="2:25" ht="16" hidden="1" thickTop="1" x14ac:dyDescent="0.2">
      <c r="B553" s="121" t="s">
        <v>243</v>
      </c>
      <c r="C553" s="81" t="s">
        <v>208</v>
      </c>
      <c r="D553" s="81" t="s">
        <v>209</v>
      </c>
      <c r="E553" s="81" t="s">
        <v>207</v>
      </c>
      <c r="F553" s="80" t="s">
        <v>316</v>
      </c>
      <c r="G553" s="81" t="str">
        <f t="shared" si="204"/>
        <v>lending_Payday_payday_VDS_profit_before_overhead</v>
      </c>
      <c r="H553" s="125"/>
      <c r="I553" s="145" t="s">
        <v>289</v>
      </c>
      <c r="J553" s="145">
        <f t="shared" ref="J553:X553" si="218">J532-J543-J544</f>
        <v>72053213430.999298</v>
      </c>
      <c r="K553" s="145">
        <f t="shared" si="218"/>
        <v>5662323140.2971354</v>
      </c>
      <c r="L553" s="145">
        <f t="shared" si="218"/>
        <v>7894636134.8464823</v>
      </c>
      <c r="M553" s="145">
        <f t="shared" si="218"/>
        <v>-877980706.61151314</v>
      </c>
      <c r="N553" s="145">
        <f t="shared" si="218"/>
        <v>4135173140.0301905</v>
      </c>
      <c r="O553" s="145">
        <f t="shared" si="218"/>
        <v>5680808379.9629526</v>
      </c>
      <c r="P553" s="145">
        <f t="shared" si="218"/>
        <v>7463732165.6292601</v>
      </c>
      <c r="Q553" s="145">
        <f t="shared" si="218"/>
        <v>6413891708.3132048</v>
      </c>
      <c r="R553" s="145">
        <f t="shared" si="218"/>
        <v>5486715292.3223915</v>
      </c>
      <c r="S553" s="145">
        <f t="shared" si="218"/>
        <v>4950770706.8785343</v>
      </c>
      <c r="T553" s="145">
        <f t="shared" si="218"/>
        <v>5042445257.205883</v>
      </c>
      <c r="U553" s="145">
        <f t="shared" si="218"/>
        <v>7011936319.9562683</v>
      </c>
      <c r="V553" s="145">
        <f t="shared" si="218"/>
        <v>9963549091.6540508</v>
      </c>
      <c r="W553" s="145">
        <f t="shared" si="218"/>
        <v>8347580290.8930779</v>
      </c>
      <c r="X553" s="145">
        <f t="shared" si="218"/>
        <v>8434591784.7650051</v>
      </c>
      <c r="Y553" s="70">
        <f t="shared" si="215"/>
        <v>-1615968800.760973</v>
      </c>
    </row>
    <row r="554" spans="2:25" hidden="1" x14ac:dyDescent="0.2">
      <c r="B554" s="121"/>
      <c r="C554" s="81"/>
      <c r="D554" s="81"/>
      <c r="E554" s="81"/>
      <c r="F554" s="124"/>
      <c r="G554" s="81"/>
      <c r="H554" s="125"/>
      <c r="I554" s="148"/>
      <c r="J554" s="131"/>
      <c r="K554" s="131"/>
      <c r="L554" s="131"/>
      <c r="M554" s="131"/>
      <c r="N554" s="131"/>
      <c r="O554" s="131"/>
      <c r="P554" s="131"/>
      <c r="Q554" s="131"/>
      <c r="R554" s="131"/>
      <c r="S554" s="131"/>
      <c r="T554" s="131"/>
      <c r="U554" s="131"/>
      <c r="V554" s="131"/>
      <c r="W554" s="131"/>
      <c r="X554" s="131"/>
      <c r="Y554" s="70">
        <f t="shared" si="215"/>
        <v>0</v>
      </c>
    </row>
    <row r="555" spans="2:25" hidden="1" x14ac:dyDescent="0.2">
      <c r="B555" s="121" t="s">
        <v>243</v>
      </c>
      <c r="C555" s="81" t="s">
        <v>208</v>
      </c>
      <c r="D555" s="81" t="s">
        <v>209</v>
      </c>
      <c r="E555" s="81" t="s">
        <v>207</v>
      </c>
      <c r="F555" s="124"/>
      <c r="G555" s="81" t="str">
        <f t="shared" ref="G555:G592" si="219">B555&amp;"_"&amp;C555&amp;"_"&amp;D555&amp;"_"&amp;E555&amp;"_"&amp;F555</f>
        <v>lending_Payday_payday_VDS_</v>
      </c>
      <c r="H555" s="125"/>
      <c r="I555" s="123" t="s">
        <v>337</v>
      </c>
      <c r="J555" s="123"/>
      <c r="K555" s="123"/>
      <c r="L555" s="123"/>
      <c r="M555" s="123"/>
      <c r="N555" s="123"/>
      <c r="O555" s="123"/>
      <c r="P555" s="123"/>
      <c r="Q555" s="123"/>
      <c r="R555" s="123"/>
      <c r="S555" s="123"/>
      <c r="T555" s="123"/>
      <c r="U555" s="123"/>
      <c r="V555" s="123"/>
      <c r="W555" s="123"/>
      <c r="X555" s="123"/>
      <c r="Y555" s="70">
        <f t="shared" si="215"/>
        <v>0</v>
      </c>
    </row>
    <row r="556" spans="2:25" ht="16" hidden="1" x14ac:dyDescent="0.2">
      <c r="B556" s="121" t="s">
        <v>243</v>
      </c>
      <c r="C556" s="81" t="s">
        <v>208</v>
      </c>
      <c r="D556" s="81" t="s">
        <v>210</v>
      </c>
      <c r="E556" s="81" t="s">
        <v>207</v>
      </c>
      <c r="F556" s="80" t="s">
        <v>292</v>
      </c>
      <c r="G556" s="81" t="str">
        <f t="shared" si="219"/>
        <v>lending_Payday_payroll_VDS_new_account</v>
      </c>
      <c r="H556" s="125"/>
      <c r="I556" s="126" t="s">
        <v>245</v>
      </c>
      <c r="J556" s="125">
        <f>SUM(M556:X556)</f>
        <v>2717</v>
      </c>
      <c r="K556" s="84">
        <v>318</v>
      </c>
      <c r="L556" s="84">
        <v>248</v>
      </c>
      <c r="M556" s="175">
        <v>184</v>
      </c>
      <c r="N556" s="175">
        <v>254</v>
      </c>
      <c r="O556" s="84">
        <v>366</v>
      </c>
      <c r="P556" s="175">
        <v>268</v>
      </c>
      <c r="Q556" s="84">
        <v>191</v>
      </c>
      <c r="R556" s="175">
        <v>117</v>
      </c>
      <c r="S556" s="152">
        <v>191</v>
      </c>
      <c r="T556" s="152">
        <v>216</v>
      </c>
      <c r="U556" s="84">
        <v>232</v>
      </c>
      <c r="V556" s="84">
        <v>180</v>
      </c>
      <c r="W556" s="84">
        <v>244</v>
      </c>
      <c r="X556" s="84">
        <v>274</v>
      </c>
      <c r="Y556" s="70">
        <f t="shared" si="215"/>
        <v>64</v>
      </c>
    </row>
    <row r="557" spans="2:25" ht="16" hidden="1" x14ac:dyDescent="0.2">
      <c r="B557" s="121" t="s">
        <v>243</v>
      </c>
      <c r="C557" s="81" t="s">
        <v>208</v>
      </c>
      <c r="D557" s="81" t="s">
        <v>210</v>
      </c>
      <c r="E557" s="81" t="s">
        <v>207</v>
      </c>
      <c r="F557" s="84" t="s">
        <v>246</v>
      </c>
      <c r="G557" s="81" t="str">
        <f t="shared" si="219"/>
        <v>lending_Payday_payroll_VDS_Repeat account</v>
      </c>
      <c r="H557" s="125"/>
      <c r="I557" s="84" t="s">
        <v>246</v>
      </c>
      <c r="J557" s="125">
        <f>SUM(M557:X557)</f>
        <v>2247</v>
      </c>
      <c r="K557" s="84">
        <v>196</v>
      </c>
      <c r="L557" s="84">
        <v>177</v>
      </c>
      <c r="M557" s="84">
        <v>121</v>
      </c>
      <c r="N557" s="175">
        <v>185</v>
      </c>
      <c r="O557" s="84">
        <v>272</v>
      </c>
      <c r="P557" s="175">
        <v>196</v>
      </c>
      <c r="Q557" s="84">
        <v>129</v>
      </c>
      <c r="R557" s="175">
        <v>146</v>
      </c>
      <c r="S557" s="84">
        <v>146</v>
      </c>
      <c r="T557" s="84">
        <v>169</v>
      </c>
      <c r="U557" s="84">
        <v>207</v>
      </c>
      <c r="V557" s="84">
        <v>215</v>
      </c>
      <c r="W557" s="84">
        <v>217</v>
      </c>
      <c r="X557" s="84">
        <v>244</v>
      </c>
      <c r="Y557" s="70">
        <f t="shared" si="215"/>
        <v>2</v>
      </c>
    </row>
    <row r="558" spans="2:25" ht="16" hidden="1" x14ac:dyDescent="0.2">
      <c r="B558" s="121" t="s">
        <v>243</v>
      </c>
      <c r="C558" s="81" t="s">
        <v>208</v>
      </c>
      <c r="D558" s="81" t="s">
        <v>210</v>
      </c>
      <c r="E558" s="81" t="s">
        <v>207</v>
      </c>
      <c r="F558" s="80" t="s">
        <v>293</v>
      </c>
      <c r="G558" s="81" t="str">
        <f t="shared" si="219"/>
        <v>lending_Payday_payroll_VDS_active_account</v>
      </c>
      <c r="H558" s="125"/>
      <c r="I558" s="126" t="s">
        <v>247</v>
      </c>
      <c r="J558" s="125">
        <f>W558</f>
        <v>172</v>
      </c>
      <c r="K558" s="84">
        <v>256</v>
      </c>
      <c r="L558" s="84">
        <v>161</v>
      </c>
      <c r="M558" s="84">
        <v>144</v>
      </c>
      <c r="N558" s="175">
        <f>200-6</f>
        <v>194</v>
      </c>
      <c r="O558" s="84">
        <f>255-7</f>
        <v>248</v>
      </c>
      <c r="P558" s="84">
        <f>195-7</f>
        <v>188</v>
      </c>
      <c r="Q558" s="84">
        <f>143-7</f>
        <v>136</v>
      </c>
      <c r="R558" s="175">
        <v>93</v>
      </c>
      <c r="S558" s="84">
        <v>144</v>
      </c>
      <c r="T558" s="84">
        <v>152</v>
      </c>
      <c r="U558" s="152">
        <v>177</v>
      </c>
      <c r="V558" s="84">
        <v>154</v>
      </c>
      <c r="W558" s="84">
        <v>172</v>
      </c>
      <c r="X558" s="84">
        <v>190</v>
      </c>
      <c r="Y558" s="70">
        <f t="shared" si="215"/>
        <v>18</v>
      </c>
    </row>
    <row r="559" spans="2:25" ht="16" hidden="1" x14ac:dyDescent="0.2">
      <c r="B559" s="121" t="s">
        <v>243</v>
      </c>
      <c r="C559" s="81" t="s">
        <v>208</v>
      </c>
      <c r="D559" s="81" t="s">
        <v>210</v>
      </c>
      <c r="E559" s="81" t="s">
        <v>207</v>
      </c>
      <c r="F559" s="80" t="s">
        <v>294</v>
      </c>
      <c r="G559" s="81" t="str">
        <f t="shared" si="219"/>
        <v>lending_Payday_payroll_VDS_disburse/spend</v>
      </c>
      <c r="H559" s="125"/>
      <c r="I559" s="84" t="s">
        <v>191</v>
      </c>
      <c r="J559" s="125">
        <f>SUM(M559:X559)</f>
        <v>13884000000</v>
      </c>
      <c r="K559" s="125">
        <v>1541000000</v>
      </c>
      <c r="L559" s="125">
        <v>1170000000</v>
      </c>
      <c r="M559" s="125">
        <v>874000000</v>
      </c>
      <c r="N559" s="125">
        <v>1301000000</v>
      </c>
      <c r="O559" s="84">
        <v>2034000000</v>
      </c>
      <c r="P559" s="84">
        <v>1527000000</v>
      </c>
      <c r="Q559" s="84">
        <v>954000000</v>
      </c>
      <c r="R559" s="84">
        <v>536000000</v>
      </c>
      <c r="S559" s="82">
        <v>894000000</v>
      </c>
      <c r="T559" s="84">
        <v>1104000000</v>
      </c>
      <c r="U559" s="84">
        <v>1189000000</v>
      </c>
      <c r="V559" s="84">
        <v>942000000</v>
      </c>
      <c r="W559" s="125">
        <v>1259000000</v>
      </c>
      <c r="X559" s="125">
        <v>1270000000</v>
      </c>
      <c r="Y559" s="70">
        <f t="shared" si="215"/>
        <v>317000000</v>
      </c>
    </row>
    <row r="560" spans="2:25" ht="16" hidden="1" x14ac:dyDescent="0.2">
      <c r="B560" s="121" t="s">
        <v>243</v>
      </c>
      <c r="C560" s="81" t="s">
        <v>208</v>
      </c>
      <c r="D560" s="81" t="s">
        <v>210</v>
      </c>
      <c r="E560" s="81" t="s">
        <v>207</v>
      </c>
      <c r="F560" s="124"/>
      <c r="G560" s="81" t="str">
        <f t="shared" si="219"/>
        <v>lending_Payday_payroll_VDS_</v>
      </c>
      <c r="H560" s="125"/>
      <c r="I560" s="84" t="s">
        <v>248</v>
      </c>
      <c r="J560" s="125">
        <f>SUM(M560:X560)</f>
        <v>13884000000</v>
      </c>
      <c r="K560" s="84">
        <f t="shared" ref="K560:X560" si="220">K559</f>
        <v>1541000000</v>
      </c>
      <c r="L560" s="84">
        <f t="shared" si="220"/>
        <v>1170000000</v>
      </c>
      <c r="M560" s="84">
        <f t="shared" si="220"/>
        <v>874000000</v>
      </c>
      <c r="N560" s="84">
        <f t="shared" si="220"/>
        <v>1301000000</v>
      </c>
      <c r="O560" s="84">
        <f t="shared" si="220"/>
        <v>2034000000</v>
      </c>
      <c r="P560" s="84">
        <f t="shared" si="220"/>
        <v>1527000000</v>
      </c>
      <c r="Q560" s="84">
        <f t="shared" si="220"/>
        <v>954000000</v>
      </c>
      <c r="R560" s="84">
        <f t="shared" si="220"/>
        <v>536000000</v>
      </c>
      <c r="S560" s="84">
        <f t="shared" si="220"/>
        <v>894000000</v>
      </c>
      <c r="T560" s="84">
        <f t="shared" si="220"/>
        <v>1104000000</v>
      </c>
      <c r="U560" s="84">
        <f t="shared" si="220"/>
        <v>1189000000</v>
      </c>
      <c r="V560" s="84">
        <f t="shared" si="220"/>
        <v>942000000</v>
      </c>
      <c r="W560" s="84">
        <f t="shared" si="220"/>
        <v>1259000000</v>
      </c>
      <c r="X560" s="84">
        <f t="shared" si="220"/>
        <v>1270000000</v>
      </c>
      <c r="Y560" s="70">
        <f t="shared" si="215"/>
        <v>317000000</v>
      </c>
    </row>
    <row r="561" spans="2:27" ht="16" hidden="1" x14ac:dyDescent="0.2">
      <c r="B561" s="121" t="s">
        <v>243</v>
      </c>
      <c r="C561" s="81" t="s">
        <v>208</v>
      </c>
      <c r="D561" s="81" t="s">
        <v>210</v>
      </c>
      <c r="E561" s="81" t="s">
        <v>207</v>
      </c>
      <c r="F561" s="124"/>
      <c r="G561" s="81" t="str">
        <f t="shared" si="219"/>
        <v>lending_Payday_payroll_VDS_</v>
      </c>
      <c r="H561" s="125"/>
      <c r="I561" s="84" t="s">
        <v>249</v>
      </c>
      <c r="J561" s="125"/>
      <c r="K561" s="125"/>
      <c r="L561" s="125"/>
      <c r="M561" s="125">
        <f>M559-M560</f>
        <v>0</v>
      </c>
      <c r="N561" s="125">
        <f>N559-N560</f>
        <v>0</v>
      </c>
      <c r="O561" s="84"/>
      <c r="P561" s="84"/>
      <c r="Q561" s="84"/>
      <c r="R561" s="125"/>
      <c r="S561" s="84"/>
      <c r="T561" s="84"/>
      <c r="U561" s="84"/>
      <c r="V561" s="84"/>
      <c r="W561" s="125"/>
      <c r="X561" s="125"/>
      <c r="Y561" s="70">
        <f t="shared" si="215"/>
        <v>0</v>
      </c>
    </row>
    <row r="562" spans="2:27" ht="16" hidden="1" x14ac:dyDescent="0.2">
      <c r="B562" s="121" t="s">
        <v>243</v>
      </c>
      <c r="C562" s="81" t="s">
        <v>208</v>
      </c>
      <c r="D562" s="81" t="s">
        <v>210</v>
      </c>
      <c r="E562" s="81" t="s">
        <v>207</v>
      </c>
      <c r="F562" s="124" t="s">
        <v>295</v>
      </c>
      <c r="G562" s="81" t="str">
        <f t="shared" si="219"/>
        <v>lending_Payday_payroll_VDS_ENR</v>
      </c>
      <c r="H562" s="125"/>
      <c r="I562" s="84" t="s">
        <v>250</v>
      </c>
      <c r="J562" s="125">
        <f>W562</f>
        <v>943729961</v>
      </c>
      <c r="K562" s="84">
        <v>1277510029</v>
      </c>
      <c r="L562" s="125">
        <v>843613717</v>
      </c>
      <c r="M562" s="84">
        <v>702546481</v>
      </c>
      <c r="N562" s="84">
        <v>1073120069</v>
      </c>
      <c r="O562" s="84">
        <v>1474133574</v>
      </c>
      <c r="P562" s="84">
        <v>1096781117</v>
      </c>
      <c r="Q562" s="84">
        <v>703433660</v>
      </c>
      <c r="R562" s="84">
        <v>456450079</v>
      </c>
      <c r="S562" s="84">
        <v>725320685</v>
      </c>
      <c r="T562" s="125">
        <v>829838932</v>
      </c>
      <c r="U562" s="84">
        <v>960104033</v>
      </c>
      <c r="V562" s="84">
        <v>894714178</v>
      </c>
      <c r="W562" s="84">
        <v>943729961</v>
      </c>
      <c r="X562" s="125">
        <v>945628618</v>
      </c>
      <c r="Y562" s="70">
        <f t="shared" si="215"/>
        <v>49015783</v>
      </c>
    </row>
    <row r="563" spans="2:27" hidden="1" x14ac:dyDescent="0.2">
      <c r="B563" s="121" t="s">
        <v>243</v>
      </c>
      <c r="C563" s="81" t="s">
        <v>208</v>
      </c>
      <c r="D563" s="81" t="s">
        <v>210</v>
      </c>
      <c r="E563" s="81" t="s">
        <v>207</v>
      </c>
      <c r="F563" s="124"/>
      <c r="G563" s="81" t="str">
        <f t="shared" si="219"/>
        <v>lending_Payday_payroll_VDS_</v>
      </c>
      <c r="H563" s="125"/>
      <c r="I563" s="127" t="s">
        <v>251</v>
      </c>
      <c r="J563" s="128"/>
      <c r="K563" s="155">
        <f t="shared" ref="K563:X563" si="221">K562-K564</f>
        <v>1194960000</v>
      </c>
      <c r="L563" s="155">
        <f t="shared" si="221"/>
        <v>772000000</v>
      </c>
      <c r="M563" s="155">
        <f t="shared" si="221"/>
        <v>640000000</v>
      </c>
      <c r="N563" s="155">
        <f t="shared" si="221"/>
        <v>1042000000</v>
      </c>
      <c r="O563" s="155">
        <f t="shared" si="221"/>
        <v>1410500000</v>
      </c>
      <c r="P563" s="155">
        <f t="shared" si="221"/>
        <v>1050000000</v>
      </c>
      <c r="Q563" s="155">
        <f t="shared" si="221"/>
        <v>651000000</v>
      </c>
      <c r="R563" s="155">
        <f t="shared" si="221"/>
        <v>415920214</v>
      </c>
      <c r="S563" s="155">
        <f t="shared" si="221"/>
        <v>689600000</v>
      </c>
      <c r="T563" s="155">
        <f t="shared" si="221"/>
        <v>783000000</v>
      </c>
      <c r="U563" s="155">
        <f t="shared" si="221"/>
        <v>917413997</v>
      </c>
      <c r="V563" s="155">
        <f t="shared" si="221"/>
        <v>883500000</v>
      </c>
      <c r="W563" s="155">
        <f t="shared" si="221"/>
        <v>929000000</v>
      </c>
      <c r="X563" s="155">
        <f t="shared" si="221"/>
        <v>933200000</v>
      </c>
      <c r="Y563" s="70">
        <f t="shared" si="215"/>
        <v>45500000</v>
      </c>
    </row>
    <row r="564" spans="2:27" hidden="1" x14ac:dyDescent="0.2">
      <c r="B564" s="121" t="s">
        <v>243</v>
      </c>
      <c r="C564" s="81" t="s">
        <v>208</v>
      </c>
      <c r="D564" s="81" t="s">
        <v>210</v>
      </c>
      <c r="E564" s="81" t="s">
        <v>207</v>
      </c>
      <c r="F564" s="124"/>
      <c r="G564" s="81" t="str">
        <f t="shared" si="219"/>
        <v>lending_Payday_payroll_VDS_</v>
      </c>
      <c r="H564" s="125"/>
      <c r="I564" s="127" t="s">
        <v>252</v>
      </c>
      <c r="J564" s="128"/>
      <c r="K564" s="155">
        <v>82550029</v>
      </c>
      <c r="L564" s="155">
        <v>71613717</v>
      </c>
      <c r="M564" s="155">
        <v>62546481</v>
      </c>
      <c r="N564" s="155">
        <v>31120069</v>
      </c>
      <c r="O564" s="155">
        <v>63633574</v>
      </c>
      <c r="P564" s="155">
        <v>46781117</v>
      </c>
      <c r="Q564" s="155">
        <v>52433660</v>
      </c>
      <c r="R564" s="155">
        <v>40529865</v>
      </c>
      <c r="S564" s="155">
        <v>35720685</v>
      </c>
      <c r="T564" s="128">
        <v>46838932</v>
      </c>
      <c r="U564" s="155">
        <v>42690036</v>
      </c>
      <c r="V564" s="155">
        <v>11214178</v>
      </c>
      <c r="W564" s="155">
        <v>14729961</v>
      </c>
      <c r="X564" s="155">
        <v>12428618</v>
      </c>
      <c r="Y564" s="70">
        <f t="shared" si="215"/>
        <v>3515783</v>
      </c>
    </row>
    <row r="565" spans="2:27" hidden="1" x14ac:dyDescent="0.2">
      <c r="B565" s="121" t="s">
        <v>243</v>
      </c>
      <c r="C565" s="81" t="s">
        <v>208</v>
      </c>
      <c r="D565" s="81" t="s">
        <v>210</v>
      </c>
      <c r="E565" s="81" t="s">
        <v>207</v>
      </c>
      <c r="F565" s="124"/>
      <c r="G565" s="81" t="str">
        <f t="shared" si="219"/>
        <v>lending_Payday_payroll_VDS_</v>
      </c>
      <c r="H565" s="125"/>
      <c r="I565" s="126" t="s">
        <v>253</v>
      </c>
      <c r="J565" s="128"/>
      <c r="K565" s="155">
        <v>53815869</v>
      </c>
      <c r="L565" s="155">
        <v>50805536</v>
      </c>
      <c r="M565" s="155">
        <v>48556183</v>
      </c>
      <c r="N565" s="155">
        <v>11805930</v>
      </c>
      <c r="O565" s="155">
        <v>13490000</v>
      </c>
      <c r="P565" s="155">
        <v>13990298</v>
      </c>
      <c r="Q565" s="155">
        <v>13990298</v>
      </c>
      <c r="R565" s="155">
        <v>30071494</v>
      </c>
      <c r="S565" s="158">
        <v>22581494</v>
      </c>
      <c r="T565" s="155">
        <v>24524841</v>
      </c>
      <c r="U565" s="155">
        <v>27253808</v>
      </c>
      <c r="V565" s="155">
        <v>8204961</v>
      </c>
      <c r="W565" s="155">
        <v>8729961</v>
      </c>
      <c r="X565" s="155">
        <v>3000000</v>
      </c>
      <c r="Y565" s="70">
        <f t="shared" si="215"/>
        <v>525000</v>
      </c>
    </row>
    <row r="566" spans="2:27" ht="16" hidden="1" x14ac:dyDescent="0.2">
      <c r="B566" s="121" t="s">
        <v>243</v>
      </c>
      <c r="C566" s="81" t="s">
        <v>208</v>
      </c>
      <c r="D566" s="81" t="s">
        <v>210</v>
      </c>
      <c r="E566" s="81" t="s">
        <v>207</v>
      </c>
      <c r="F566" s="80" t="s">
        <v>298</v>
      </c>
      <c r="G566" s="81" t="str">
        <f t="shared" si="219"/>
        <v>lending_Payday_payroll_VDS_overdue_balance_10d</v>
      </c>
      <c r="H566" s="125"/>
      <c r="I566" s="84" t="s">
        <v>254</v>
      </c>
      <c r="J566" s="128"/>
      <c r="K566" s="155">
        <v>67391873</v>
      </c>
      <c r="L566" s="155">
        <v>63670350</v>
      </c>
      <c r="M566" s="155">
        <v>62546481</v>
      </c>
      <c r="N566" s="155">
        <v>31120069</v>
      </c>
      <c r="O566" s="155">
        <v>57638574</v>
      </c>
      <c r="P566" s="155">
        <v>43793158</v>
      </c>
      <c r="Q566" s="84">
        <v>45539857</v>
      </c>
      <c r="R566" s="84">
        <v>44534038</v>
      </c>
      <c r="S566" s="82">
        <v>40968249</v>
      </c>
      <c r="T566" s="128">
        <v>39007238</v>
      </c>
      <c r="U566" s="155">
        <v>50253808</v>
      </c>
      <c r="V566" s="155">
        <v>11204961</v>
      </c>
      <c r="W566" s="155">
        <v>13729961</v>
      </c>
      <c r="X566" s="155"/>
      <c r="Y566" s="70">
        <f t="shared" si="215"/>
        <v>2525000</v>
      </c>
    </row>
    <row r="567" spans="2:27" ht="16" hidden="1" x14ac:dyDescent="0.2">
      <c r="B567" s="121" t="s">
        <v>243</v>
      </c>
      <c r="C567" s="81" t="s">
        <v>208</v>
      </c>
      <c r="D567" s="81" t="s">
        <v>210</v>
      </c>
      <c r="E567" s="81" t="s">
        <v>207</v>
      </c>
      <c r="F567" s="80" t="s">
        <v>299</v>
      </c>
      <c r="G567" s="81" t="str">
        <f t="shared" si="219"/>
        <v>lending_Payday_payroll_VDS_overdue_balance_90d</v>
      </c>
      <c r="H567" s="125"/>
      <c r="I567" s="84" t="s">
        <v>255</v>
      </c>
      <c r="J567" s="125"/>
      <c r="K567" s="84">
        <v>53815869</v>
      </c>
      <c r="L567" s="84">
        <v>50805536</v>
      </c>
      <c r="M567" s="84">
        <v>62546481</v>
      </c>
      <c r="N567" s="84">
        <v>11805930</v>
      </c>
      <c r="O567" s="84">
        <v>13990298</v>
      </c>
      <c r="P567" s="155">
        <v>13990298</v>
      </c>
      <c r="Q567" s="84">
        <v>13990298</v>
      </c>
      <c r="R567" s="84">
        <v>30071494</v>
      </c>
      <c r="S567" s="82">
        <v>22581494</v>
      </c>
      <c r="T567" s="84">
        <v>24524841</v>
      </c>
      <c r="U567" s="84">
        <v>27253808</v>
      </c>
      <c r="V567" s="158">
        <v>8204961</v>
      </c>
      <c r="W567" s="84">
        <v>8729961</v>
      </c>
      <c r="X567" s="84"/>
      <c r="Y567" s="70">
        <f t="shared" si="215"/>
        <v>525000</v>
      </c>
    </row>
    <row r="568" spans="2:27" ht="16" hidden="1" x14ac:dyDescent="0.2">
      <c r="B568" s="121" t="s">
        <v>243</v>
      </c>
      <c r="C568" s="81" t="s">
        <v>208</v>
      </c>
      <c r="D568" s="81" t="s">
        <v>210</v>
      </c>
      <c r="E568" s="81" t="s">
        <v>207</v>
      </c>
      <c r="F568" s="124"/>
      <c r="G568" s="81" t="str">
        <f t="shared" si="219"/>
        <v>lending_Payday_payroll_VDS_</v>
      </c>
      <c r="H568" s="125"/>
      <c r="I568" s="84" t="s">
        <v>256</v>
      </c>
      <c r="J568" s="128"/>
      <c r="K568" s="155">
        <f t="shared" ref="K568:X568" si="222">K566-K567</f>
        <v>13576004</v>
      </c>
      <c r="L568" s="155">
        <f t="shared" si="222"/>
        <v>12864814</v>
      </c>
      <c r="M568" s="155">
        <f t="shared" si="222"/>
        <v>0</v>
      </c>
      <c r="N568" s="155">
        <f t="shared" si="222"/>
        <v>19314139</v>
      </c>
      <c r="O568" s="155">
        <f t="shared" si="222"/>
        <v>43648276</v>
      </c>
      <c r="P568" s="155">
        <f t="shared" si="222"/>
        <v>29802860</v>
      </c>
      <c r="Q568" s="155">
        <f t="shared" si="222"/>
        <v>31549559</v>
      </c>
      <c r="R568" s="155">
        <f t="shared" si="222"/>
        <v>14462544</v>
      </c>
      <c r="S568" s="155">
        <f t="shared" si="222"/>
        <v>18386755</v>
      </c>
      <c r="T568" s="155">
        <f t="shared" si="222"/>
        <v>14482397</v>
      </c>
      <c r="U568" s="155">
        <f t="shared" si="222"/>
        <v>23000000</v>
      </c>
      <c r="V568" s="155">
        <f t="shared" si="222"/>
        <v>3000000</v>
      </c>
      <c r="W568" s="155">
        <f t="shared" si="222"/>
        <v>5000000</v>
      </c>
      <c r="X568" s="155">
        <f t="shared" si="222"/>
        <v>0</v>
      </c>
      <c r="Y568" s="70">
        <f t="shared" si="215"/>
        <v>2000000</v>
      </c>
      <c r="Z568" s="70">
        <f>V568-U568</f>
        <v>-20000000</v>
      </c>
    </row>
    <row r="569" spans="2:27" ht="16" hidden="1" x14ac:dyDescent="0.2">
      <c r="B569" s="121" t="s">
        <v>243</v>
      </c>
      <c r="C569" s="81" t="s">
        <v>208</v>
      </c>
      <c r="D569" s="81" t="s">
        <v>210</v>
      </c>
      <c r="E569" s="81" t="s">
        <v>207</v>
      </c>
      <c r="F569" s="124"/>
      <c r="G569" s="81" t="str">
        <f t="shared" si="219"/>
        <v>lending_Payday_payroll_VDS_</v>
      </c>
      <c r="H569" s="125"/>
      <c r="I569" s="84" t="s">
        <v>257</v>
      </c>
      <c r="J569" s="125"/>
      <c r="K569" s="177">
        <f t="shared" ref="K569:X569" si="223">K565/K562</f>
        <v>4.2125594146705518E-2</v>
      </c>
      <c r="L569" s="177">
        <f t="shared" si="223"/>
        <v>6.0223695959652108E-2</v>
      </c>
      <c r="M569" s="177">
        <f t="shared" si="223"/>
        <v>6.91145487354594E-2</v>
      </c>
      <c r="N569" s="177">
        <f t="shared" si="223"/>
        <v>1.1001499590816059E-2</v>
      </c>
      <c r="O569" s="177">
        <f t="shared" si="223"/>
        <v>9.1511381586645828E-3</v>
      </c>
      <c r="P569" s="177">
        <f t="shared" si="223"/>
        <v>1.2755779419568545E-2</v>
      </c>
      <c r="Q569" s="177">
        <f t="shared" si="223"/>
        <v>1.9888581959526929E-2</v>
      </c>
      <c r="R569" s="177">
        <f t="shared" si="223"/>
        <v>6.588123298364025E-2</v>
      </c>
      <c r="S569" s="177">
        <f t="shared" si="223"/>
        <v>3.1133117346570642E-2</v>
      </c>
      <c r="T569" s="177">
        <f t="shared" si="223"/>
        <v>2.9553736338800745E-2</v>
      </c>
      <c r="U569" s="177">
        <f t="shared" si="223"/>
        <v>2.8386307174276811E-2</v>
      </c>
      <c r="V569" s="177">
        <f t="shared" si="223"/>
        <v>9.1704828220571695E-3</v>
      </c>
      <c r="W569" s="177">
        <f t="shared" si="223"/>
        <v>9.2504862203903263E-3</v>
      </c>
      <c r="X569" s="177">
        <f t="shared" si="223"/>
        <v>3.1724928189514673E-3</v>
      </c>
      <c r="Y569" s="70">
        <f t="shared" si="215"/>
        <v>8.0003398333156756E-5</v>
      </c>
    </row>
    <row r="570" spans="2:27" ht="16" hidden="1" x14ac:dyDescent="0.2">
      <c r="B570" s="121" t="s">
        <v>243</v>
      </c>
      <c r="C570" s="81" t="s">
        <v>208</v>
      </c>
      <c r="D570" s="81" t="s">
        <v>210</v>
      </c>
      <c r="E570" s="81" t="s">
        <v>207</v>
      </c>
      <c r="F570" s="80" t="s">
        <v>258</v>
      </c>
      <c r="G570" s="81" t="str">
        <f t="shared" si="219"/>
        <v>lending_Payday_payroll_VDS_npl</v>
      </c>
      <c r="H570" s="125"/>
      <c r="I570" s="84" t="s">
        <v>259</v>
      </c>
      <c r="J570" s="125"/>
      <c r="K570" s="129">
        <f t="shared" ref="K570:X570" si="224">K567/K562</f>
        <v>4.2125594146705518E-2</v>
      </c>
      <c r="L570" s="129">
        <f t="shared" si="224"/>
        <v>6.0223695959652108E-2</v>
      </c>
      <c r="M570" s="129">
        <f t="shared" si="224"/>
        <v>8.9028246089812815E-2</v>
      </c>
      <c r="N570" s="129">
        <f t="shared" si="224"/>
        <v>1.1001499590816059E-2</v>
      </c>
      <c r="O570" s="129">
        <f t="shared" si="224"/>
        <v>9.4905226003624017E-3</v>
      </c>
      <c r="P570" s="129">
        <f t="shared" si="224"/>
        <v>1.2755779419568545E-2</v>
      </c>
      <c r="Q570" s="129">
        <f t="shared" si="224"/>
        <v>1.9888581959526929E-2</v>
      </c>
      <c r="R570" s="129">
        <f t="shared" si="224"/>
        <v>6.588123298364025E-2</v>
      </c>
      <c r="S570" s="129">
        <f t="shared" si="224"/>
        <v>3.1133117346570642E-2</v>
      </c>
      <c r="T570" s="129">
        <f t="shared" si="224"/>
        <v>2.9553736338800745E-2</v>
      </c>
      <c r="U570" s="129">
        <f t="shared" si="224"/>
        <v>2.8386307174276811E-2</v>
      </c>
      <c r="V570" s="129">
        <f t="shared" si="224"/>
        <v>9.1704828220571695E-3</v>
      </c>
      <c r="W570" s="129">
        <f t="shared" si="224"/>
        <v>9.2504862203903263E-3</v>
      </c>
      <c r="X570" s="129">
        <f t="shared" si="224"/>
        <v>0</v>
      </c>
      <c r="Y570" s="70">
        <f t="shared" si="215"/>
        <v>8.0003398333156756E-5</v>
      </c>
    </row>
    <row r="571" spans="2:27" hidden="1" x14ac:dyDescent="0.2">
      <c r="B571" s="121" t="s">
        <v>243</v>
      </c>
      <c r="C571" s="81" t="s">
        <v>208</v>
      </c>
      <c r="D571" s="81" t="s">
        <v>210</v>
      </c>
      <c r="E571" s="81" t="s">
        <v>207</v>
      </c>
      <c r="F571" s="80" t="s">
        <v>260</v>
      </c>
      <c r="G571" s="81" t="str">
        <f t="shared" si="219"/>
        <v>lending_Payday_payroll_VDS_TOI</v>
      </c>
      <c r="H571" s="125"/>
      <c r="I571" s="130" t="s">
        <v>260</v>
      </c>
      <c r="J571" s="131">
        <f t="shared" ref="J571:X571" si="225">J572+J577+J581</f>
        <v>357379858.89899999</v>
      </c>
      <c r="K571" s="131">
        <f t="shared" si="225"/>
        <v>38574309</v>
      </c>
      <c r="L571" s="131">
        <f t="shared" si="225"/>
        <v>28080752</v>
      </c>
      <c r="M571" s="131">
        <f t="shared" si="225"/>
        <v>23143164</v>
      </c>
      <c r="N571" s="131">
        <f t="shared" si="225"/>
        <v>34587284</v>
      </c>
      <c r="O571" s="131">
        <f t="shared" si="225"/>
        <v>52688462.899000004</v>
      </c>
      <c r="P571" s="131">
        <f t="shared" si="225"/>
        <v>38651293</v>
      </c>
      <c r="Q571" s="131">
        <f t="shared" si="225"/>
        <v>24145103</v>
      </c>
      <c r="R571" s="131">
        <f t="shared" si="225"/>
        <v>12915028</v>
      </c>
      <c r="S571" s="131">
        <f t="shared" si="225"/>
        <v>24939333</v>
      </c>
      <c r="T571" s="131">
        <f t="shared" si="225"/>
        <v>25983537</v>
      </c>
      <c r="U571" s="131">
        <f t="shared" si="225"/>
        <v>28345670</v>
      </c>
      <c r="V571" s="131">
        <f t="shared" si="225"/>
        <v>29015426</v>
      </c>
      <c r="W571" s="131">
        <f t="shared" si="225"/>
        <v>31282607</v>
      </c>
      <c r="X571" s="131">
        <f t="shared" si="225"/>
        <v>31682951</v>
      </c>
      <c r="Y571" s="70">
        <f t="shared" si="215"/>
        <v>2267181</v>
      </c>
    </row>
    <row r="572" spans="2:27" hidden="1" x14ac:dyDescent="0.2">
      <c r="B572" s="121" t="s">
        <v>243</v>
      </c>
      <c r="C572" s="81" t="s">
        <v>208</v>
      </c>
      <c r="D572" s="81" t="s">
        <v>210</v>
      </c>
      <c r="E572" s="81" t="s">
        <v>207</v>
      </c>
      <c r="F572" s="80" t="s">
        <v>300</v>
      </c>
      <c r="G572" s="81" t="str">
        <f t="shared" si="219"/>
        <v>lending_Payday_payroll_VDS_NII</v>
      </c>
      <c r="H572" s="125"/>
      <c r="I572" s="132" t="s">
        <v>261</v>
      </c>
      <c r="J572" s="131">
        <f t="shared" ref="J572:X572" si="226">J573-J576</f>
        <v>-44726819.100999996</v>
      </c>
      <c r="K572" s="131">
        <f t="shared" si="226"/>
        <v>-4793688</v>
      </c>
      <c r="L572" s="131">
        <f t="shared" si="226"/>
        <v>-4473073</v>
      </c>
      <c r="M572" s="131">
        <f t="shared" si="226"/>
        <v>-2851947</v>
      </c>
      <c r="N572" s="131">
        <f t="shared" si="226"/>
        <v>-3078228</v>
      </c>
      <c r="O572" s="131">
        <f t="shared" si="226"/>
        <v>-5038493.1009999989</v>
      </c>
      <c r="P572" s="131">
        <f t="shared" si="226"/>
        <v>-5350313</v>
      </c>
      <c r="Q572" s="131">
        <f t="shared" si="226"/>
        <v>-3613840</v>
      </c>
      <c r="R572" s="131">
        <f t="shared" si="226"/>
        <v>-2188851</v>
      </c>
      <c r="S572" s="131">
        <f t="shared" si="226"/>
        <v>-2382951</v>
      </c>
      <c r="T572" s="131">
        <f t="shared" si="226"/>
        <v>-3609017</v>
      </c>
      <c r="U572" s="131">
        <f t="shared" si="226"/>
        <v>-3828071</v>
      </c>
      <c r="V572" s="131">
        <f t="shared" si="226"/>
        <v>-4263426</v>
      </c>
      <c r="W572" s="131">
        <f t="shared" si="226"/>
        <v>-3855189</v>
      </c>
      <c r="X572" s="131">
        <f t="shared" si="226"/>
        <v>-4666493</v>
      </c>
      <c r="Y572" s="70">
        <f t="shared" si="215"/>
        <v>408237</v>
      </c>
    </row>
    <row r="573" spans="2:27" ht="16" hidden="1" x14ac:dyDescent="0.2">
      <c r="B573" s="121" t="s">
        <v>243</v>
      </c>
      <c r="C573" s="81" t="s">
        <v>208</v>
      </c>
      <c r="D573" s="81" t="s">
        <v>210</v>
      </c>
      <c r="E573" s="81" t="s">
        <v>207</v>
      </c>
      <c r="F573" s="80" t="s">
        <v>301</v>
      </c>
      <c r="G573" s="81" t="str">
        <f t="shared" si="219"/>
        <v>lending_Payday_payroll_VDS_CII</v>
      </c>
      <c r="H573" s="125"/>
      <c r="I573" s="134" t="s">
        <v>262</v>
      </c>
      <c r="J573" s="125">
        <f>SUM(M573:X573)</f>
        <v>0</v>
      </c>
      <c r="K573" s="125">
        <f>K574+J575-K575</f>
        <v>0</v>
      </c>
      <c r="L573" s="125">
        <f>L574+K575-L575</f>
        <v>0</v>
      </c>
      <c r="M573" s="84"/>
      <c r="N573" s="84"/>
      <c r="O573" s="125">
        <f>O574-O575</f>
        <v>0</v>
      </c>
      <c r="P573" s="125">
        <f>P574-P575</f>
        <v>0</v>
      </c>
      <c r="Q573" s="125">
        <f>Q574-Q575</f>
        <v>0</v>
      </c>
      <c r="R573" s="125"/>
      <c r="S573" s="125"/>
      <c r="T573" s="125"/>
      <c r="U573" s="125"/>
      <c r="V573" s="125"/>
      <c r="W573" s="125"/>
      <c r="X573" s="125"/>
      <c r="Y573" s="70">
        <f t="shared" si="215"/>
        <v>0</v>
      </c>
    </row>
    <row r="574" spans="2:27" hidden="1" x14ac:dyDescent="0.2">
      <c r="B574" s="121" t="s">
        <v>243</v>
      </c>
      <c r="C574" s="81" t="s">
        <v>208</v>
      </c>
      <c r="D574" s="81" t="s">
        <v>210</v>
      </c>
      <c r="E574" s="81" t="s">
        <v>207</v>
      </c>
      <c r="F574" s="80"/>
      <c r="G574" s="81" t="str">
        <f t="shared" si="219"/>
        <v>lending_Payday_payroll_VDS_</v>
      </c>
      <c r="H574" s="125"/>
      <c r="I574" s="201" t="s">
        <v>263</v>
      </c>
      <c r="J574" s="136">
        <f>SUM(M574:X574)</f>
        <v>0</v>
      </c>
      <c r="K574" s="202"/>
      <c r="L574" s="202"/>
      <c r="M574" s="139"/>
      <c r="N574" s="139"/>
      <c r="O574" s="139"/>
      <c r="P574" s="139"/>
      <c r="Q574" s="139"/>
      <c r="R574" s="137"/>
      <c r="S574" s="202"/>
      <c r="T574" s="202"/>
      <c r="U574" s="202"/>
      <c r="V574" s="202"/>
      <c r="W574" s="202"/>
      <c r="X574" s="202"/>
      <c r="Y574" s="70">
        <f t="shared" si="215"/>
        <v>0</v>
      </c>
    </row>
    <row r="575" spans="2:27" hidden="1" x14ac:dyDescent="0.2">
      <c r="B575" s="121" t="s">
        <v>243</v>
      </c>
      <c r="C575" s="81" t="s">
        <v>208</v>
      </c>
      <c r="D575" s="81" t="s">
        <v>210</v>
      </c>
      <c r="E575" s="81" t="s">
        <v>207</v>
      </c>
      <c r="F575" s="124"/>
      <c r="G575" s="81" t="str">
        <f t="shared" si="219"/>
        <v>lending_Payday_payroll_VDS_</v>
      </c>
      <c r="H575" s="125"/>
      <c r="I575" s="201" t="s">
        <v>264</v>
      </c>
      <c r="J575" s="136"/>
      <c r="K575" s="203"/>
      <c r="L575" s="203"/>
      <c r="M575" s="139"/>
      <c r="N575" s="139"/>
      <c r="O575" s="139"/>
      <c r="P575" s="139"/>
      <c r="Q575" s="139"/>
      <c r="R575" s="139"/>
      <c r="S575" s="139"/>
      <c r="T575" s="203"/>
      <c r="U575" s="203"/>
      <c r="V575" s="203"/>
      <c r="W575" s="203"/>
      <c r="X575" s="203"/>
      <c r="Y575" s="70">
        <f t="shared" si="215"/>
        <v>0</v>
      </c>
      <c r="Z575" s="70"/>
      <c r="AA575" s="70"/>
    </row>
    <row r="576" spans="2:27" ht="16" hidden="1" x14ac:dyDescent="0.2">
      <c r="B576" s="121" t="s">
        <v>243</v>
      </c>
      <c r="C576" s="81" t="s">
        <v>208</v>
      </c>
      <c r="D576" s="81" t="s">
        <v>210</v>
      </c>
      <c r="E576" s="81" t="s">
        <v>207</v>
      </c>
      <c r="F576" s="80" t="s">
        <v>62</v>
      </c>
      <c r="G576" s="81" t="str">
        <f t="shared" si="219"/>
        <v>lending_Payday_payroll_VDS_COF</v>
      </c>
      <c r="H576" s="125"/>
      <c r="I576" s="134" t="s">
        <v>62</v>
      </c>
      <c r="J576" s="125">
        <f>SUM(M576:X576)</f>
        <v>44726819.100999996</v>
      </c>
      <c r="K576" s="154">
        <v>4793688</v>
      </c>
      <c r="L576" s="154">
        <v>4473073</v>
      </c>
      <c r="M576" s="84">
        <v>2851947</v>
      </c>
      <c r="N576" s="84">
        <v>3078228</v>
      </c>
      <c r="O576" s="84">
        <v>5038493.1009999989</v>
      </c>
      <c r="P576" s="84">
        <v>5350313</v>
      </c>
      <c r="Q576" s="84">
        <v>3613840</v>
      </c>
      <c r="R576" s="84">
        <v>2188851</v>
      </c>
      <c r="S576" s="82">
        <v>2382951</v>
      </c>
      <c r="T576" s="82">
        <v>3609017</v>
      </c>
      <c r="U576" s="82">
        <v>3828071</v>
      </c>
      <c r="V576" s="64">
        <v>4263426</v>
      </c>
      <c r="W576" s="154">
        <v>3855189</v>
      </c>
      <c r="X576" s="154">
        <v>4666493</v>
      </c>
      <c r="Y576" s="70">
        <f t="shared" si="215"/>
        <v>-408237</v>
      </c>
    </row>
    <row r="577" spans="2:25" hidden="1" x14ac:dyDescent="0.2">
      <c r="B577" s="121" t="s">
        <v>243</v>
      </c>
      <c r="C577" s="81" t="s">
        <v>208</v>
      </c>
      <c r="D577" s="81" t="s">
        <v>210</v>
      </c>
      <c r="E577" s="81" t="s">
        <v>207</v>
      </c>
      <c r="F577" s="80" t="s">
        <v>302</v>
      </c>
      <c r="G577" s="81" t="str">
        <f t="shared" si="219"/>
        <v>lending_Payday_payroll_VDS_NFI</v>
      </c>
      <c r="H577" s="125"/>
      <c r="I577" s="132" t="s">
        <v>265</v>
      </c>
      <c r="J577" s="131">
        <f t="shared" ref="J577:X577" si="227">SUM(J578:J580)</f>
        <v>399606678</v>
      </c>
      <c r="K577" s="131">
        <f t="shared" si="227"/>
        <v>43367997</v>
      </c>
      <c r="L577" s="131">
        <f t="shared" si="227"/>
        <v>32553825</v>
      </c>
      <c r="M577" s="131">
        <f t="shared" si="227"/>
        <v>25995111</v>
      </c>
      <c r="N577" s="131">
        <f t="shared" si="227"/>
        <v>37665512</v>
      </c>
      <c r="O577" s="131">
        <f t="shared" si="227"/>
        <v>57726956</v>
      </c>
      <c r="P577" s="131">
        <f t="shared" si="227"/>
        <v>44001606</v>
      </c>
      <c r="Q577" s="131">
        <f t="shared" si="227"/>
        <v>27758943</v>
      </c>
      <c r="R577" s="131">
        <f t="shared" si="227"/>
        <v>15103879</v>
      </c>
      <c r="S577" s="131">
        <f t="shared" si="227"/>
        <v>24822284</v>
      </c>
      <c r="T577" s="131">
        <f t="shared" si="227"/>
        <v>29592554</v>
      </c>
      <c r="U577" s="131">
        <f t="shared" si="227"/>
        <v>32173741</v>
      </c>
      <c r="V577" s="131">
        <f t="shared" si="227"/>
        <v>33278852</v>
      </c>
      <c r="W577" s="131">
        <f t="shared" si="227"/>
        <v>35137796</v>
      </c>
      <c r="X577" s="131">
        <f t="shared" si="227"/>
        <v>36349444</v>
      </c>
      <c r="Y577" s="70">
        <f t="shared" si="215"/>
        <v>1858944</v>
      </c>
    </row>
    <row r="578" spans="2:25" ht="16" hidden="1" x14ac:dyDescent="0.2">
      <c r="B578" s="121" t="s">
        <v>243</v>
      </c>
      <c r="C578" s="81" t="s">
        <v>208</v>
      </c>
      <c r="D578" s="81" t="s">
        <v>210</v>
      </c>
      <c r="E578" s="81" t="s">
        <v>207</v>
      </c>
      <c r="F578" s="80" t="s">
        <v>303</v>
      </c>
      <c r="G578" s="81" t="str">
        <f t="shared" si="219"/>
        <v>lending_Payday_payroll_VDS_insurance_fee</v>
      </c>
      <c r="H578" s="125"/>
      <c r="I578" s="134" t="s">
        <v>266</v>
      </c>
      <c r="J578" s="125">
        <f>SUM(M578:X578)</f>
        <v>399606678</v>
      </c>
      <c r="K578" s="64">
        <v>43367997</v>
      </c>
      <c r="L578" s="64">
        <v>32553825</v>
      </c>
      <c r="M578" s="64">
        <v>25995111</v>
      </c>
      <c r="N578" s="64">
        <v>37665512</v>
      </c>
      <c r="O578" s="64">
        <v>57726956</v>
      </c>
      <c r="P578" s="64">
        <v>44001606</v>
      </c>
      <c r="Q578" s="64">
        <v>27758943</v>
      </c>
      <c r="R578" s="64">
        <v>15103879</v>
      </c>
      <c r="S578" s="64">
        <v>24822284</v>
      </c>
      <c r="T578" s="64">
        <v>29592554</v>
      </c>
      <c r="U578" s="64">
        <v>32173741</v>
      </c>
      <c r="V578" s="64">
        <v>33278852</v>
      </c>
      <c r="W578" s="64">
        <v>35137796</v>
      </c>
      <c r="X578" s="64">
        <v>36349444</v>
      </c>
      <c r="Y578" s="70">
        <f t="shared" si="215"/>
        <v>1858944</v>
      </c>
    </row>
    <row r="579" spans="2:25" ht="16" hidden="1" x14ac:dyDescent="0.2">
      <c r="B579" s="121" t="s">
        <v>243</v>
      </c>
      <c r="C579" s="81" t="s">
        <v>208</v>
      </c>
      <c r="D579" s="81" t="s">
        <v>210</v>
      </c>
      <c r="E579" s="81" t="s">
        <v>207</v>
      </c>
      <c r="F579" s="80" t="s">
        <v>304</v>
      </c>
      <c r="G579" s="81" t="str">
        <f t="shared" si="219"/>
        <v>lending_Payday_payroll_VDS_early_terminate_fee</v>
      </c>
      <c r="H579" s="125"/>
      <c r="I579" s="134" t="s">
        <v>267</v>
      </c>
      <c r="J579" s="125">
        <f>SUM(M579:X579)</f>
        <v>0</v>
      </c>
      <c r="K579" s="136"/>
      <c r="L579" s="64"/>
      <c r="M579" s="162"/>
      <c r="N579" s="162"/>
      <c r="O579" s="162"/>
      <c r="P579" s="162"/>
      <c r="Q579" s="162"/>
      <c r="R579" s="136"/>
      <c r="S579" s="164"/>
      <c r="T579" s="136"/>
      <c r="U579" s="136"/>
      <c r="V579" s="136"/>
      <c r="W579" s="136"/>
      <c r="X579" s="64"/>
      <c r="Y579" s="70">
        <f t="shared" si="215"/>
        <v>0</v>
      </c>
    </row>
    <row r="580" spans="2:25" ht="16" hidden="1" x14ac:dyDescent="0.2">
      <c r="B580" s="121" t="s">
        <v>243</v>
      </c>
      <c r="C580" s="81" t="s">
        <v>208</v>
      </c>
      <c r="D580" s="81" t="s">
        <v>210</v>
      </c>
      <c r="E580" s="81" t="s">
        <v>207</v>
      </c>
      <c r="F580" s="80" t="s">
        <v>305</v>
      </c>
      <c r="G580" s="81" t="str">
        <f t="shared" si="219"/>
        <v>lending_Payday_payroll_VDS_loan_grant_fee</v>
      </c>
      <c r="H580" s="125"/>
      <c r="I580" s="134" t="s">
        <v>187</v>
      </c>
      <c r="J580" s="125">
        <f>SUM(M580:X580)</f>
        <v>0</v>
      </c>
      <c r="K580" s="136"/>
      <c r="L580" s="136"/>
      <c r="M580" s="162"/>
      <c r="N580" s="162"/>
      <c r="O580" s="162"/>
      <c r="P580" s="162"/>
      <c r="Q580" s="162"/>
      <c r="R580" s="136"/>
      <c r="S580" s="180"/>
      <c r="T580" s="136"/>
      <c r="U580" s="136"/>
      <c r="V580" s="136"/>
      <c r="W580" s="136"/>
      <c r="X580" s="136"/>
      <c r="Y580" s="70">
        <f t="shared" si="215"/>
        <v>0</v>
      </c>
    </row>
    <row r="581" spans="2:25" s="54" customFormat="1" hidden="1" x14ac:dyDescent="0.2">
      <c r="B581" s="121" t="s">
        <v>243</v>
      </c>
      <c r="C581" s="138" t="s">
        <v>208</v>
      </c>
      <c r="D581" s="81" t="s">
        <v>210</v>
      </c>
      <c r="E581" s="138" t="s">
        <v>207</v>
      </c>
      <c r="F581" s="80" t="s">
        <v>306</v>
      </c>
      <c r="G581" s="138" t="str">
        <f t="shared" si="219"/>
        <v>lending_Payday_payroll_VDS_other_TOI</v>
      </c>
      <c r="H581" s="125"/>
      <c r="I581" s="132" t="s">
        <v>269</v>
      </c>
      <c r="J581" s="131">
        <f>SUM(M581:X581)</f>
        <v>2500000</v>
      </c>
      <c r="K581" s="178"/>
      <c r="L581" s="178"/>
      <c r="M581" s="179"/>
      <c r="N581" s="179"/>
      <c r="O581" s="179"/>
      <c r="P581" s="179"/>
      <c r="Q581" s="179"/>
      <c r="R581" s="178"/>
      <c r="S581" s="204">
        <v>2500000</v>
      </c>
      <c r="T581" s="178"/>
      <c r="U581" s="178"/>
      <c r="V581" s="178"/>
      <c r="W581" s="178"/>
      <c r="X581" s="178"/>
      <c r="Y581" s="70">
        <f t="shared" si="215"/>
        <v>0</v>
      </c>
    </row>
    <row r="582" spans="2:25" hidden="1" x14ac:dyDescent="0.2">
      <c r="B582" s="121" t="s">
        <v>243</v>
      </c>
      <c r="C582" s="81" t="s">
        <v>208</v>
      </c>
      <c r="D582" s="81" t="s">
        <v>210</v>
      </c>
      <c r="E582" s="81" t="s">
        <v>207</v>
      </c>
      <c r="F582" s="80" t="s">
        <v>307</v>
      </c>
      <c r="G582" s="81" t="str">
        <f t="shared" si="219"/>
        <v>lending_Payday_payroll_VDS_provision</v>
      </c>
      <c r="H582" s="125"/>
      <c r="I582" s="140" t="s">
        <v>270</v>
      </c>
      <c r="J582" s="131">
        <f>SUM(M582:X582)</f>
        <v>72356168</v>
      </c>
      <c r="K582" s="168">
        <v>-1050423</v>
      </c>
      <c r="L582" s="168">
        <v>-3493389</v>
      </c>
      <c r="M582" s="168">
        <v>18842202</v>
      </c>
      <c r="N582" s="168">
        <v>8410783</v>
      </c>
      <c r="O582" s="168">
        <f>5215913+650000</f>
        <v>5865913</v>
      </c>
      <c r="P582" s="140">
        <v>-3522414</v>
      </c>
      <c r="Q582" s="204">
        <v>1892229</v>
      </c>
      <c r="R582" s="204">
        <f>7636824+450000</f>
        <v>8086824</v>
      </c>
      <c r="S582" s="205">
        <v>2268914</v>
      </c>
      <c r="T582" s="168">
        <v>3459439</v>
      </c>
      <c r="U582" s="168">
        <f>16867578+800000</f>
        <v>17667578</v>
      </c>
      <c r="V582" s="206">
        <f>126379+487500</f>
        <v>613879</v>
      </c>
      <c r="W582" s="168">
        <v>6114675</v>
      </c>
      <c r="X582" s="168">
        <v>2656146</v>
      </c>
      <c r="Y582" s="70">
        <f t="shared" si="215"/>
        <v>5500796</v>
      </c>
    </row>
    <row r="583" spans="2:25" hidden="1" x14ac:dyDescent="0.2">
      <c r="B583" s="121" t="s">
        <v>243</v>
      </c>
      <c r="C583" s="81" t="s">
        <v>208</v>
      </c>
      <c r="D583" s="81" t="s">
        <v>210</v>
      </c>
      <c r="E583" s="81" t="s">
        <v>207</v>
      </c>
      <c r="F583" s="80" t="s">
        <v>308</v>
      </c>
      <c r="G583" s="81" t="str">
        <f t="shared" si="219"/>
        <v>lending_Payday_payroll_VDS_variable_cost</v>
      </c>
      <c r="H583" s="125"/>
      <c r="I583" s="140" t="s">
        <v>271</v>
      </c>
      <c r="J583" s="131">
        <f t="shared" ref="J583:X583" si="228">SUM(J584:J591)</f>
        <v>183774258.81647447</v>
      </c>
      <c r="K583" s="131">
        <f t="shared" si="228"/>
        <v>19101272.411148645</v>
      </c>
      <c r="L583" s="131">
        <f t="shared" si="228"/>
        <v>17207541.697638076</v>
      </c>
      <c r="M583" s="131">
        <f t="shared" si="228"/>
        <v>20262153.945260271</v>
      </c>
      <c r="N583" s="131">
        <f t="shared" si="228"/>
        <v>19295999.524545401</v>
      </c>
      <c r="O583" s="131">
        <f t="shared" si="228"/>
        <v>23335175.260764353</v>
      </c>
      <c r="P583" s="131">
        <f t="shared" si="228"/>
        <v>20464455.086971465</v>
      </c>
      <c r="Q583" s="131">
        <f t="shared" si="228"/>
        <v>13370751.861286944</v>
      </c>
      <c r="R583" s="131">
        <f t="shared" si="228"/>
        <v>1657009.5539867738</v>
      </c>
      <c r="S583" s="131">
        <f t="shared" si="228"/>
        <v>9132756.6387144942</v>
      </c>
      <c r="T583" s="131">
        <f t="shared" si="228"/>
        <v>13482508.655655727</v>
      </c>
      <c r="U583" s="131">
        <f t="shared" si="228"/>
        <v>13001465.261879951</v>
      </c>
      <c r="V583" s="131">
        <f t="shared" si="228"/>
        <v>16152069.931210497</v>
      </c>
      <c r="W583" s="131">
        <f t="shared" si="228"/>
        <v>15364948.386276077</v>
      </c>
      <c r="X583" s="131">
        <f t="shared" si="228"/>
        <v>18254964.709922526</v>
      </c>
      <c r="Y583" s="70">
        <f t="shared" si="215"/>
        <v>-787121.54493441992</v>
      </c>
    </row>
    <row r="584" spans="2:25" ht="16" hidden="1" x14ac:dyDescent="0.2">
      <c r="B584" s="121" t="s">
        <v>243</v>
      </c>
      <c r="C584" s="81" t="s">
        <v>208</v>
      </c>
      <c r="D584" s="81" t="s">
        <v>210</v>
      </c>
      <c r="E584" s="81" t="s">
        <v>207</v>
      </c>
      <c r="F584" s="80" t="s">
        <v>198</v>
      </c>
      <c r="G584" s="81" t="str">
        <f t="shared" si="219"/>
        <v>lending_Payday_payroll_VDS_marketing_acquisition_cost</v>
      </c>
      <c r="H584" s="125"/>
      <c r="I584" s="142" t="s">
        <v>272</v>
      </c>
      <c r="J584" s="125">
        <f t="shared" ref="J584:J589" si="229">SUM(M584:X584)</f>
        <v>0</v>
      </c>
      <c r="K584" s="122"/>
      <c r="L584" s="122"/>
      <c r="M584" s="84"/>
      <c r="N584" s="84"/>
      <c r="O584" s="84"/>
      <c r="P584" s="122"/>
      <c r="Q584" s="84"/>
      <c r="R584" s="122"/>
      <c r="S584" s="122"/>
      <c r="T584" s="125"/>
      <c r="U584" s="125"/>
      <c r="V584" s="122"/>
      <c r="W584" s="122"/>
      <c r="X584" s="122"/>
      <c r="Y584" s="70">
        <f t="shared" si="215"/>
        <v>0</v>
      </c>
    </row>
    <row r="585" spans="2:25" ht="16" hidden="1" x14ac:dyDescent="0.2">
      <c r="B585" s="121" t="s">
        <v>243</v>
      </c>
      <c r="C585" s="81" t="s">
        <v>208</v>
      </c>
      <c r="D585" s="81" t="s">
        <v>210</v>
      </c>
      <c r="E585" s="81" t="s">
        <v>207</v>
      </c>
      <c r="F585" s="80" t="s">
        <v>309</v>
      </c>
      <c r="G585" s="81" t="str">
        <f t="shared" si="219"/>
        <v>lending_Payday_payroll_VDS_partner_acquisition_cost</v>
      </c>
      <c r="H585" s="125"/>
      <c r="I585" s="142" t="s">
        <v>202</v>
      </c>
      <c r="J585" s="125">
        <f t="shared" si="229"/>
        <v>142754064</v>
      </c>
      <c r="K585" s="153">
        <v>14419146</v>
      </c>
      <c r="L585" s="84">
        <v>11162858</v>
      </c>
      <c r="M585" s="84">
        <v>14417628</v>
      </c>
      <c r="N585" s="84">
        <v>14404555</v>
      </c>
      <c r="O585" s="84">
        <v>19975279</v>
      </c>
      <c r="P585" s="84">
        <v>17075424</v>
      </c>
      <c r="Q585" s="84">
        <v>10810782</v>
      </c>
      <c r="R585" s="140"/>
      <c r="S585" s="84">
        <f>11341381-5269624</f>
        <v>6071757</v>
      </c>
      <c r="T585" s="84">
        <v>10424830</v>
      </c>
      <c r="U585" s="84">
        <v>9845412</v>
      </c>
      <c r="V585" s="82">
        <v>12995038</v>
      </c>
      <c r="W585" s="82">
        <v>12544131</v>
      </c>
      <c r="X585" s="82">
        <v>14189228</v>
      </c>
      <c r="Y585" s="70">
        <f t="shared" si="215"/>
        <v>-450907</v>
      </c>
    </row>
    <row r="586" spans="2:25" ht="16" hidden="1" x14ac:dyDescent="0.2">
      <c r="B586" s="121" t="s">
        <v>243</v>
      </c>
      <c r="C586" s="81" t="s">
        <v>208</v>
      </c>
      <c r="D586" s="81" t="s">
        <v>210</v>
      </c>
      <c r="E586" s="81" t="s">
        <v>207</v>
      </c>
      <c r="F586" s="80" t="s">
        <v>310</v>
      </c>
      <c r="G586" s="81" t="str">
        <f t="shared" si="219"/>
        <v>lending_Payday_payroll_VDS_underwritting</v>
      </c>
      <c r="H586" s="125"/>
      <c r="I586" s="142" t="s">
        <v>273</v>
      </c>
      <c r="J586" s="125">
        <f t="shared" si="229"/>
        <v>23707451.678930059</v>
      </c>
      <c r="K586" s="125">
        <v>2862509.551761942</v>
      </c>
      <c r="L586" s="125">
        <v>3417174.2213739529</v>
      </c>
      <c r="M586" s="84">
        <v>3185873.3866700148</v>
      </c>
      <c r="N586" s="84">
        <v>1442842.8832614694</v>
      </c>
      <c r="O586" s="84">
        <v>1590697.9579911467</v>
      </c>
      <c r="P586" s="84">
        <v>1232889.4863738026</v>
      </c>
      <c r="Q586" s="84">
        <v>1039847.6122289476</v>
      </c>
      <c r="R586" s="125">
        <v>1040878.8093546797</v>
      </c>
      <c r="S586" s="125">
        <v>2272137.3086558762</v>
      </c>
      <c r="T586" s="125">
        <v>2245622.192253232</v>
      </c>
      <c r="U586" s="125">
        <v>2493647.3013300914</v>
      </c>
      <c r="V586" s="125">
        <v>2224373.5199588831</v>
      </c>
      <c r="W586" s="125">
        <v>1864700.153302745</v>
      </c>
      <c r="X586" s="125">
        <v>3073941.0675491723</v>
      </c>
      <c r="Y586" s="70">
        <f t="shared" si="215"/>
        <v>-359673.3666561381</v>
      </c>
    </row>
    <row r="587" spans="2:25" ht="16" hidden="1" x14ac:dyDescent="0.2">
      <c r="B587" s="121" t="s">
        <v>243</v>
      </c>
      <c r="C587" s="81" t="s">
        <v>208</v>
      </c>
      <c r="D587" s="81" t="s">
        <v>210</v>
      </c>
      <c r="E587" s="81" t="s">
        <v>207</v>
      </c>
      <c r="F587" s="80" t="s">
        <v>311</v>
      </c>
      <c r="G587" s="81" t="str">
        <f t="shared" si="219"/>
        <v>lending_Payday_payroll_VDS_e_contract</v>
      </c>
      <c r="H587" s="125"/>
      <c r="I587" s="142" t="s">
        <v>274</v>
      </c>
      <c r="J587" s="125">
        <f t="shared" si="229"/>
        <v>3102044</v>
      </c>
      <c r="K587" s="125">
        <v>256094</v>
      </c>
      <c r="L587" s="125">
        <v>197956</v>
      </c>
      <c r="M587" s="84">
        <v>141883</v>
      </c>
      <c r="N587" s="84">
        <v>190925</v>
      </c>
      <c r="O587" s="84">
        <v>294267</v>
      </c>
      <c r="P587" s="84">
        <v>543831</v>
      </c>
      <c r="Q587" s="84">
        <v>150122</v>
      </c>
      <c r="R587" s="143">
        <v>199625</v>
      </c>
      <c r="S587" s="125">
        <v>345600</v>
      </c>
      <c r="T587" s="125">
        <v>390600</v>
      </c>
      <c r="U587" s="125">
        <v>243681</v>
      </c>
      <c r="V587" s="125">
        <v>192969</v>
      </c>
      <c r="W587" s="125">
        <v>187551</v>
      </c>
      <c r="X587" s="125">
        <v>220990</v>
      </c>
      <c r="Y587" s="70">
        <f t="shared" si="215"/>
        <v>-5418</v>
      </c>
    </row>
    <row r="588" spans="2:25" ht="16" hidden="1" x14ac:dyDescent="0.2">
      <c r="B588" s="121" t="s">
        <v>243</v>
      </c>
      <c r="C588" s="81" t="s">
        <v>208</v>
      </c>
      <c r="D588" s="81" t="s">
        <v>210</v>
      </c>
      <c r="E588" s="81" t="s">
        <v>207</v>
      </c>
      <c r="F588" s="80" t="s">
        <v>312</v>
      </c>
      <c r="G588" s="81" t="str">
        <f t="shared" si="219"/>
        <v>lending_Payday_payroll_VDS_nfc</v>
      </c>
      <c r="H588" s="125"/>
      <c r="I588" s="142" t="s">
        <v>275</v>
      </c>
      <c r="J588" s="125">
        <f t="shared" si="229"/>
        <v>1780795.2013020006</v>
      </c>
      <c r="K588" s="125"/>
      <c r="L588" s="125"/>
      <c r="M588" s="84">
        <v>218612.98825784808</v>
      </c>
      <c r="N588" s="84">
        <v>200518.80108606498</v>
      </c>
      <c r="O588" s="84">
        <v>361457.37722496246</v>
      </c>
      <c r="P588" s="84">
        <v>228423.55254371429</v>
      </c>
      <c r="Q588" s="84">
        <v>161934.65958450196</v>
      </c>
      <c r="R588" s="84">
        <v>118194.24011337564</v>
      </c>
      <c r="S588" s="84">
        <v>127787.96598929468</v>
      </c>
      <c r="T588" s="125">
        <v>95389.174166512879</v>
      </c>
      <c r="U588" s="125">
        <v>67535.430672497445</v>
      </c>
      <c r="V588" s="125">
        <v>48591.819812006281</v>
      </c>
      <c r="W588" s="125">
        <v>66623.098148587713</v>
      </c>
      <c r="X588" s="125">
        <v>85726.093702634127</v>
      </c>
      <c r="Y588" s="70">
        <f t="shared" si="215"/>
        <v>18031.278336581432</v>
      </c>
    </row>
    <row r="589" spans="2:25" ht="16" hidden="1" x14ac:dyDescent="0.2">
      <c r="B589" s="121" t="s">
        <v>243</v>
      </c>
      <c r="C589" s="81" t="s">
        <v>208</v>
      </c>
      <c r="D589" s="81" t="s">
        <v>210</v>
      </c>
      <c r="E589" s="81" t="s">
        <v>207</v>
      </c>
      <c r="F589" s="80" t="s">
        <v>313</v>
      </c>
      <c r="G589" s="81" t="str">
        <f t="shared" si="219"/>
        <v>lending_Payday_payroll_VDS_collection</v>
      </c>
      <c r="H589" s="125"/>
      <c r="I589" s="142" t="s">
        <v>196</v>
      </c>
      <c r="J589" s="125">
        <f t="shared" si="229"/>
        <v>11534097.035988111</v>
      </c>
      <c r="K589" s="125">
        <v>1521323.6846725643</v>
      </c>
      <c r="L589" s="125">
        <v>2320183.5682578087</v>
      </c>
      <c r="M589" s="84">
        <v>2213269.4738643765</v>
      </c>
      <c r="N589" s="84">
        <v>3017504.1376940752</v>
      </c>
      <c r="O589" s="84">
        <v>1041531.8120296896</v>
      </c>
      <c r="P589" s="84">
        <v>1238079.3437371254</v>
      </c>
      <c r="Q589" s="84">
        <v>1122645.1540863514</v>
      </c>
      <c r="R589" s="125">
        <v>246114.41785529256</v>
      </c>
      <c r="S589" s="125">
        <v>264809</v>
      </c>
      <c r="T589" s="125">
        <v>273036.03221437265</v>
      </c>
      <c r="U589" s="125">
        <v>273317.7362642893</v>
      </c>
      <c r="V589" s="125">
        <v>596955.19052640675</v>
      </c>
      <c r="W589" s="125">
        <v>629439.23587518535</v>
      </c>
      <c r="X589" s="125">
        <v>617395.50184094557</v>
      </c>
      <c r="Y589" s="70">
        <f t="shared" si="215"/>
        <v>32484.0453487786</v>
      </c>
    </row>
    <row r="590" spans="2:25" ht="16" hidden="1" x14ac:dyDescent="0.2">
      <c r="B590" s="121" t="s">
        <v>243</v>
      </c>
      <c r="C590" s="81" t="s">
        <v>208</v>
      </c>
      <c r="D590" s="81" t="s">
        <v>210</v>
      </c>
      <c r="E590" s="81" t="s">
        <v>207</v>
      </c>
      <c r="F590" s="80" t="s">
        <v>314</v>
      </c>
      <c r="G590" s="81" t="str">
        <f t="shared" si="219"/>
        <v>lending_Payday_payroll_VDS_promotion</v>
      </c>
      <c r="H590" s="125"/>
      <c r="I590" s="142" t="s">
        <v>276</v>
      </c>
      <c r="J590" s="125"/>
      <c r="K590" s="125"/>
      <c r="L590" s="125"/>
      <c r="M590" s="84"/>
      <c r="N590" s="84"/>
      <c r="O590" s="84"/>
      <c r="P590" s="84"/>
      <c r="Q590" s="84"/>
      <c r="R590" s="125"/>
      <c r="S590" s="84"/>
      <c r="T590" s="125"/>
      <c r="U590" s="125"/>
      <c r="V590" s="125"/>
      <c r="W590" s="125"/>
      <c r="X590" s="125"/>
      <c r="Y590" s="70">
        <f t="shared" si="215"/>
        <v>0</v>
      </c>
    </row>
    <row r="591" spans="2:25" x14ac:dyDescent="0.2">
      <c r="B591" s="121" t="s">
        <v>243</v>
      </c>
      <c r="C591" s="81" t="s">
        <v>208</v>
      </c>
      <c r="D591" s="81" t="s">
        <v>210</v>
      </c>
      <c r="E591" s="81" t="s">
        <v>207</v>
      </c>
      <c r="F591" s="80" t="s">
        <v>315</v>
      </c>
      <c r="G591" s="81" t="str">
        <f t="shared" si="219"/>
        <v>lending_Payday_payroll_VDS_sms</v>
      </c>
      <c r="H591" s="125"/>
      <c r="I591" s="144" t="s">
        <v>197</v>
      </c>
      <c r="J591" s="125">
        <f>SUM(M591:X591)</f>
        <v>895806.90025430615</v>
      </c>
      <c r="K591" s="143">
        <v>42199.174714141467</v>
      </c>
      <c r="L591" s="143">
        <v>109369.90800631401</v>
      </c>
      <c r="M591" s="143">
        <v>84887.096468030446</v>
      </c>
      <c r="N591" s="143">
        <v>39653.702503792556</v>
      </c>
      <c r="O591" s="143">
        <v>71942.113518555474</v>
      </c>
      <c r="P591" s="143">
        <v>145807.70431681923</v>
      </c>
      <c r="Q591" s="143">
        <v>85420.435387143953</v>
      </c>
      <c r="R591" s="143">
        <v>52197.086663425915</v>
      </c>
      <c r="S591" s="143">
        <v>50665.364069321338</v>
      </c>
      <c r="T591" s="143">
        <v>53031.257021607358</v>
      </c>
      <c r="U591" s="143">
        <v>77871.793613074798</v>
      </c>
      <c r="V591" s="143">
        <v>94142.400913201127</v>
      </c>
      <c r="W591" s="143">
        <v>72503.89894956052</v>
      </c>
      <c r="X591" s="143">
        <v>67684.046829773404</v>
      </c>
      <c r="Y591" s="70">
        <f t="shared" si="215"/>
        <v>-21638.501963640607</v>
      </c>
    </row>
    <row r="592" spans="2:25" ht="16" hidden="1" thickTop="1" x14ac:dyDescent="0.2">
      <c r="B592" s="121" t="s">
        <v>243</v>
      </c>
      <c r="C592" s="207" t="s">
        <v>208</v>
      </c>
      <c r="D592" s="81" t="s">
        <v>210</v>
      </c>
      <c r="E592" s="207" t="s">
        <v>207</v>
      </c>
      <c r="F592" s="208" t="s">
        <v>316</v>
      </c>
      <c r="G592" s="207" t="str">
        <f t="shared" si="219"/>
        <v>lending_Payday_payroll_VDS_profit_before_overhead</v>
      </c>
      <c r="H592" s="125"/>
      <c r="I592" s="209" t="s">
        <v>289</v>
      </c>
      <c r="J592" s="209">
        <f t="shared" ref="J592:X592" si="230">J571-J582-J583</f>
        <v>101249432.08252552</v>
      </c>
      <c r="K592" s="209">
        <f t="shared" si="230"/>
        <v>20523459.588851355</v>
      </c>
      <c r="L592" s="209">
        <f t="shared" si="230"/>
        <v>14366599.302361924</v>
      </c>
      <c r="M592" s="209">
        <f t="shared" si="230"/>
        <v>-15961191.945260271</v>
      </c>
      <c r="N592" s="209">
        <f t="shared" si="230"/>
        <v>6880501.4754545987</v>
      </c>
      <c r="O592" s="209">
        <f t="shared" si="230"/>
        <v>23487374.638235651</v>
      </c>
      <c r="P592" s="209">
        <f t="shared" si="230"/>
        <v>21709251.913028535</v>
      </c>
      <c r="Q592" s="209">
        <f t="shared" si="230"/>
        <v>8882122.1387130562</v>
      </c>
      <c r="R592" s="209">
        <f t="shared" si="230"/>
        <v>3171194.4460132262</v>
      </c>
      <c r="S592" s="209">
        <f t="shared" si="230"/>
        <v>13537662.361285506</v>
      </c>
      <c r="T592" s="209">
        <f t="shared" si="230"/>
        <v>9041589.3443442732</v>
      </c>
      <c r="U592" s="209">
        <f t="shared" si="230"/>
        <v>-2323373.2618799508</v>
      </c>
      <c r="V592" s="209">
        <f t="shared" si="230"/>
        <v>12249477.068789503</v>
      </c>
      <c r="W592" s="209">
        <f t="shared" si="230"/>
        <v>9802983.6137239225</v>
      </c>
      <c r="X592" s="209">
        <f t="shared" si="230"/>
        <v>10771840.290077474</v>
      </c>
      <c r="Y592" s="70">
        <f t="shared" si="215"/>
        <v>-2446493.4550655801</v>
      </c>
    </row>
    <row r="593" spans="2:26" hidden="1" x14ac:dyDescent="0.2">
      <c r="B593" s="121"/>
      <c r="C593" s="81"/>
      <c r="D593" s="81"/>
      <c r="E593" s="81"/>
      <c r="F593" s="80"/>
      <c r="G593" s="81"/>
      <c r="H593" s="125"/>
      <c r="I593" s="147"/>
      <c r="J593" s="147"/>
      <c r="K593" s="147"/>
      <c r="L593" s="147"/>
      <c r="M593" s="147"/>
      <c r="N593" s="147"/>
      <c r="O593" s="147"/>
      <c r="P593" s="147"/>
      <c r="Q593" s="147"/>
      <c r="R593" s="147"/>
      <c r="S593" s="147"/>
      <c r="T593" s="147"/>
      <c r="U593" s="147"/>
      <c r="V593" s="147"/>
      <c r="W593" s="147"/>
      <c r="X593" s="147"/>
      <c r="Y593" s="70">
        <f t="shared" si="215"/>
        <v>0</v>
      </c>
    </row>
    <row r="594" spans="2:26" hidden="1" x14ac:dyDescent="0.2">
      <c r="B594" s="121" t="s">
        <v>243</v>
      </c>
      <c r="C594" s="81" t="s">
        <v>208</v>
      </c>
      <c r="D594" s="81" t="s">
        <v>209</v>
      </c>
      <c r="E594" s="81" t="s">
        <v>211</v>
      </c>
      <c r="F594" s="124"/>
      <c r="G594" s="81" t="str">
        <f t="shared" ref="G594:G657" si="231">B594&amp;"_"&amp;C594&amp;"_"&amp;D594&amp;"_"&amp;E594&amp;"_"&amp;F594</f>
        <v>lending_Payday_payday_CAKE_</v>
      </c>
      <c r="H594" s="125"/>
      <c r="I594" s="123" t="s">
        <v>338</v>
      </c>
      <c r="J594" s="123"/>
      <c r="K594" s="123"/>
      <c r="L594" s="123"/>
      <c r="M594" s="123"/>
      <c r="N594" s="123"/>
      <c r="O594" s="123"/>
      <c r="P594" s="123"/>
      <c r="Q594" s="123"/>
      <c r="R594" s="123"/>
      <c r="S594" s="123"/>
      <c r="T594" s="123"/>
      <c r="U594" s="123"/>
      <c r="V594" s="123"/>
      <c r="W594" s="123"/>
      <c r="X594" s="123"/>
      <c r="Y594" s="70">
        <f t="shared" si="215"/>
        <v>0</v>
      </c>
    </row>
    <row r="595" spans="2:26" ht="16" hidden="1" x14ac:dyDescent="0.2">
      <c r="B595" s="121" t="s">
        <v>243</v>
      </c>
      <c r="C595" s="81" t="s">
        <v>208</v>
      </c>
      <c r="D595" s="81" t="s">
        <v>209</v>
      </c>
      <c r="E595" s="81" t="s">
        <v>211</v>
      </c>
      <c r="F595" s="80" t="s">
        <v>292</v>
      </c>
      <c r="G595" s="81" t="str">
        <f t="shared" si="231"/>
        <v>lending_Payday_payday_CAKE_new_account</v>
      </c>
      <c r="H595" s="125"/>
      <c r="I595" s="126" t="s">
        <v>245</v>
      </c>
      <c r="J595" s="125">
        <f>SUM(M595:X595)</f>
        <v>475922</v>
      </c>
      <c r="K595" s="84"/>
      <c r="L595" s="84"/>
      <c r="M595" s="175"/>
      <c r="N595" s="175"/>
      <c r="O595" s="84"/>
      <c r="P595" s="175"/>
      <c r="Q595" s="84"/>
      <c r="R595" s="175"/>
      <c r="S595" s="125">
        <v>22130</v>
      </c>
      <c r="T595" s="84">
        <v>50556</v>
      </c>
      <c r="U595" s="84">
        <v>77044</v>
      </c>
      <c r="V595" s="84">
        <v>99651</v>
      </c>
      <c r="W595" s="84">
        <v>105326</v>
      </c>
      <c r="X595" s="84">
        <v>121215</v>
      </c>
      <c r="Y595" s="70">
        <f t="shared" si="215"/>
        <v>5675</v>
      </c>
    </row>
    <row r="596" spans="2:26" ht="15" hidden="1" customHeight="1" x14ac:dyDescent="0.2">
      <c r="B596" s="121" t="s">
        <v>243</v>
      </c>
      <c r="C596" s="81" t="s">
        <v>208</v>
      </c>
      <c r="D596" s="81" t="s">
        <v>209</v>
      </c>
      <c r="E596" s="81" t="s">
        <v>211</v>
      </c>
      <c r="F596" s="84" t="s">
        <v>246</v>
      </c>
      <c r="G596" s="81" t="str">
        <f t="shared" si="231"/>
        <v>lending_Payday_payday_CAKE_Repeat account</v>
      </c>
      <c r="H596" s="125"/>
      <c r="I596" s="84" t="s">
        <v>246</v>
      </c>
      <c r="J596" s="125">
        <f>SUM(M596:X596)</f>
        <v>285140</v>
      </c>
      <c r="K596" s="84"/>
      <c r="L596" s="84"/>
      <c r="M596" s="84"/>
      <c r="N596" s="175"/>
      <c r="O596" s="84"/>
      <c r="P596" s="175"/>
      <c r="Q596" s="84"/>
      <c r="R596" s="175"/>
      <c r="S596" s="125">
        <v>716</v>
      </c>
      <c r="T596" s="84">
        <v>21979</v>
      </c>
      <c r="U596" s="84">
        <v>39179</v>
      </c>
      <c r="V596" s="82">
        <v>64799</v>
      </c>
      <c r="W596" s="84">
        <v>72462</v>
      </c>
      <c r="X596" s="84">
        <v>86005</v>
      </c>
      <c r="Y596" s="70">
        <f t="shared" si="215"/>
        <v>7663</v>
      </c>
    </row>
    <row r="597" spans="2:26" ht="16" hidden="1" x14ac:dyDescent="0.2">
      <c r="B597" s="121" t="s">
        <v>243</v>
      </c>
      <c r="C597" s="81" t="s">
        <v>208</v>
      </c>
      <c r="D597" s="81" t="s">
        <v>209</v>
      </c>
      <c r="E597" s="81" t="s">
        <v>211</v>
      </c>
      <c r="F597" s="80" t="s">
        <v>293</v>
      </c>
      <c r="G597" s="81" t="str">
        <f t="shared" si="231"/>
        <v>lending_Payday_payday_CAKE_active_account</v>
      </c>
      <c r="H597" s="125"/>
      <c r="I597" s="126" t="s">
        <v>247</v>
      </c>
      <c r="J597" s="125">
        <f>W597</f>
        <v>100854</v>
      </c>
      <c r="K597" s="84"/>
      <c r="L597" s="84"/>
      <c r="M597" s="84"/>
      <c r="N597" s="175"/>
      <c r="O597" s="84"/>
      <c r="P597" s="84"/>
      <c r="Q597" s="84"/>
      <c r="R597" s="175"/>
      <c r="S597" s="125">
        <v>1608</v>
      </c>
      <c r="T597" s="84">
        <v>39490</v>
      </c>
      <c r="U597" s="155">
        <v>68100</v>
      </c>
      <c r="V597" s="84">
        <v>87775</v>
      </c>
      <c r="W597" s="84">
        <v>100854</v>
      </c>
      <c r="X597" s="84">
        <v>117298</v>
      </c>
      <c r="Y597" s="70">
        <f t="shared" si="215"/>
        <v>13079</v>
      </c>
    </row>
    <row r="598" spans="2:26" ht="16" hidden="1" x14ac:dyDescent="0.2">
      <c r="B598" s="121" t="s">
        <v>243</v>
      </c>
      <c r="C598" s="81" t="s">
        <v>208</v>
      </c>
      <c r="D598" s="81" t="s">
        <v>209</v>
      </c>
      <c r="E598" s="81" t="s">
        <v>211</v>
      </c>
      <c r="F598" s="80" t="s">
        <v>294</v>
      </c>
      <c r="G598" s="81" t="str">
        <f t="shared" si="231"/>
        <v>lending_Payday_payday_CAKE_disburse/spend</v>
      </c>
      <c r="H598" s="125"/>
      <c r="I598" s="84" t="s">
        <v>191</v>
      </c>
      <c r="J598" s="125">
        <f>SUM(M598:X598)</f>
        <v>1298555716000</v>
      </c>
      <c r="K598" s="125"/>
      <c r="L598" s="125"/>
      <c r="M598" s="125"/>
      <c r="N598" s="125"/>
      <c r="O598" s="84"/>
      <c r="P598" s="84"/>
      <c r="Q598" s="84"/>
      <c r="R598" s="84"/>
      <c r="S598" s="82">
        <v>54643680000</v>
      </c>
      <c r="T598" s="84">
        <v>124745616000</v>
      </c>
      <c r="U598" s="84">
        <v>196882488000</v>
      </c>
      <c r="V598" s="84">
        <v>261600732000</v>
      </c>
      <c r="W598" s="125">
        <v>276096276000</v>
      </c>
      <c r="X598" s="125">
        <v>384586924000</v>
      </c>
      <c r="Y598" s="70">
        <f t="shared" si="215"/>
        <v>14495544000</v>
      </c>
    </row>
    <row r="599" spans="2:26" ht="16" hidden="1" x14ac:dyDescent="0.2">
      <c r="B599" s="121" t="s">
        <v>243</v>
      </c>
      <c r="C599" s="81" t="s">
        <v>208</v>
      </c>
      <c r="D599" s="81" t="s">
        <v>209</v>
      </c>
      <c r="E599" s="81" t="s">
        <v>211</v>
      </c>
      <c r="F599" s="124"/>
      <c r="G599" s="81" t="str">
        <f t="shared" si="231"/>
        <v>lending_Payday_payday_CAKE_</v>
      </c>
      <c r="H599" s="125"/>
      <c r="I599" s="84" t="s">
        <v>248</v>
      </c>
      <c r="J599" s="125"/>
      <c r="K599" s="84">
        <f t="shared" ref="K599:W599" si="232">K598</f>
        <v>0</v>
      </c>
      <c r="L599" s="84">
        <f t="shared" si="232"/>
        <v>0</v>
      </c>
      <c r="M599" s="84">
        <f t="shared" si="232"/>
        <v>0</v>
      </c>
      <c r="N599" s="84">
        <f t="shared" si="232"/>
        <v>0</v>
      </c>
      <c r="O599" s="84">
        <f t="shared" si="232"/>
        <v>0</v>
      </c>
      <c r="P599" s="84">
        <f t="shared" si="232"/>
        <v>0</v>
      </c>
      <c r="Q599" s="84">
        <f t="shared" si="232"/>
        <v>0</v>
      </c>
      <c r="R599" s="84">
        <f t="shared" si="232"/>
        <v>0</v>
      </c>
      <c r="S599" s="84">
        <f t="shared" si="232"/>
        <v>54643680000</v>
      </c>
      <c r="T599" s="84">
        <f t="shared" si="232"/>
        <v>124745616000</v>
      </c>
      <c r="U599" s="84">
        <f t="shared" si="232"/>
        <v>196882488000</v>
      </c>
      <c r="V599" s="84">
        <f t="shared" si="232"/>
        <v>261600732000</v>
      </c>
      <c r="W599" s="84">
        <f t="shared" si="232"/>
        <v>276096276000</v>
      </c>
      <c r="X599" s="84">
        <v>384582924000</v>
      </c>
      <c r="Y599" s="70">
        <f t="shared" si="215"/>
        <v>14495544000</v>
      </c>
    </row>
    <row r="600" spans="2:26" ht="15" hidden="1" customHeight="1" x14ac:dyDescent="0.2">
      <c r="B600" s="121" t="s">
        <v>243</v>
      </c>
      <c r="C600" s="81" t="s">
        <v>208</v>
      </c>
      <c r="D600" s="81" t="s">
        <v>209</v>
      </c>
      <c r="E600" s="81" t="s">
        <v>211</v>
      </c>
      <c r="F600" s="124"/>
      <c r="G600" s="81" t="str">
        <f t="shared" si="231"/>
        <v>lending_Payday_payday_CAKE_</v>
      </c>
      <c r="H600" s="125"/>
      <c r="I600" s="84" t="s">
        <v>249</v>
      </c>
      <c r="J600" s="125"/>
      <c r="K600" s="125"/>
      <c r="L600" s="125"/>
      <c r="M600" s="125">
        <f>M598-M599</f>
        <v>0</v>
      </c>
      <c r="N600" s="125">
        <f>N598-N599</f>
        <v>0</v>
      </c>
      <c r="O600" s="84"/>
      <c r="P600" s="84"/>
      <c r="Q600" s="84"/>
      <c r="R600" s="125"/>
      <c r="S600" s="84">
        <f>S598*8%</f>
        <v>4371494400</v>
      </c>
      <c r="T600" s="84"/>
      <c r="U600" s="84"/>
      <c r="V600" s="84"/>
      <c r="W600" s="125"/>
      <c r="X600" s="125"/>
      <c r="Y600" s="70">
        <f t="shared" si="215"/>
        <v>0</v>
      </c>
    </row>
    <row r="601" spans="2:26" ht="15" hidden="1" customHeight="1" x14ac:dyDescent="0.2">
      <c r="B601" s="121" t="s">
        <v>243</v>
      </c>
      <c r="C601" s="81" t="s">
        <v>208</v>
      </c>
      <c r="D601" s="81" t="s">
        <v>209</v>
      </c>
      <c r="E601" s="81" t="s">
        <v>211</v>
      </c>
      <c r="F601" s="124" t="s">
        <v>295</v>
      </c>
      <c r="G601" s="81" t="str">
        <f t="shared" si="231"/>
        <v>lending_Payday_payday_CAKE_ENR</v>
      </c>
      <c r="H601" s="125"/>
      <c r="I601" s="84" t="s">
        <v>250</v>
      </c>
      <c r="J601" s="125">
        <f>W601</f>
        <v>259490838401</v>
      </c>
      <c r="K601" s="84"/>
      <c r="L601" s="125"/>
      <c r="M601" s="84"/>
      <c r="N601" s="84"/>
      <c r="O601" s="84"/>
      <c r="P601" s="84"/>
      <c r="Q601" s="84"/>
      <c r="R601" s="84"/>
      <c r="S601" s="125">
        <v>48634267021</v>
      </c>
      <c r="T601" s="125">
        <v>96267633529</v>
      </c>
      <c r="U601" s="125">
        <v>170712874053</v>
      </c>
      <c r="V601" s="84">
        <v>220126645159</v>
      </c>
      <c r="W601" s="84">
        <v>259490838401</v>
      </c>
      <c r="X601" s="125">
        <v>347679887886</v>
      </c>
      <c r="Y601" s="70">
        <f t="shared" si="215"/>
        <v>39364193242</v>
      </c>
    </row>
    <row r="602" spans="2:26" ht="15" hidden="1" customHeight="1" x14ac:dyDescent="0.2">
      <c r="B602" s="121" t="s">
        <v>243</v>
      </c>
      <c r="C602" s="81" t="s">
        <v>208</v>
      </c>
      <c r="D602" s="81" t="s">
        <v>209</v>
      </c>
      <c r="E602" s="81" t="s">
        <v>211</v>
      </c>
      <c r="F602" s="124"/>
      <c r="G602" s="81" t="str">
        <f t="shared" si="231"/>
        <v>lending_Payday_payday_CAKE_</v>
      </c>
      <c r="H602" s="125"/>
      <c r="I602" s="127" t="s">
        <v>251</v>
      </c>
      <c r="J602" s="128"/>
      <c r="K602" s="155">
        <f t="shared" ref="K602:X602" si="233">K601-K603</f>
        <v>0</v>
      </c>
      <c r="L602" s="155">
        <f t="shared" si="233"/>
        <v>0</v>
      </c>
      <c r="M602" s="155">
        <f t="shared" si="233"/>
        <v>0</v>
      </c>
      <c r="N602" s="155">
        <f t="shared" si="233"/>
        <v>0</v>
      </c>
      <c r="O602" s="155">
        <f t="shared" si="233"/>
        <v>0</v>
      </c>
      <c r="P602" s="155">
        <f t="shared" si="233"/>
        <v>0</v>
      </c>
      <c r="Q602" s="155">
        <f t="shared" si="233"/>
        <v>0</v>
      </c>
      <c r="R602" s="155">
        <f t="shared" si="233"/>
        <v>0</v>
      </c>
      <c r="S602" s="155">
        <f t="shared" si="233"/>
        <v>48634267021</v>
      </c>
      <c r="T602" s="155">
        <f t="shared" si="233"/>
        <v>89518517151</v>
      </c>
      <c r="U602" s="155">
        <f t="shared" si="233"/>
        <v>158533467201</v>
      </c>
      <c r="V602" s="155">
        <f t="shared" si="233"/>
        <v>193387004307</v>
      </c>
      <c r="W602" s="155">
        <f t="shared" si="233"/>
        <v>219297187604</v>
      </c>
      <c r="X602" s="155">
        <f t="shared" si="233"/>
        <v>294132291985</v>
      </c>
      <c r="Y602" s="70">
        <f t="shared" si="215"/>
        <v>25910183297</v>
      </c>
    </row>
    <row r="603" spans="2:26" ht="15" hidden="1" customHeight="1" x14ac:dyDescent="0.2">
      <c r="B603" s="121" t="s">
        <v>243</v>
      </c>
      <c r="C603" s="81" t="s">
        <v>208</v>
      </c>
      <c r="D603" s="81" t="s">
        <v>209</v>
      </c>
      <c r="E603" s="81" t="s">
        <v>211</v>
      </c>
      <c r="F603" s="124"/>
      <c r="G603" s="81" t="str">
        <f t="shared" si="231"/>
        <v>lending_Payday_payday_CAKE_</v>
      </c>
      <c r="H603" s="125"/>
      <c r="I603" s="127" t="s">
        <v>252</v>
      </c>
      <c r="J603" s="128"/>
      <c r="K603" s="155"/>
      <c r="L603" s="155"/>
      <c r="M603" s="155"/>
      <c r="N603" s="155"/>
      <c r="O603" s="155"/>
      <c r="P603" s="155"/>
      <c r="Q603" s="155"/>
      <c r="R603" s="155"/>
      <c r="S603" s="128"/>
      <c r="T603" s="128">
        <v>6749116378</v>
      </c>
      <c r="U603" s="155">
        <v>12179406852</v>
      </c>
      <c r="V603" s="155">
        <v>26739640852</v>
      </c>
      <c r="W603" s="155">
        <v>40193650797</v>
      </c>
      <c r="X603" s="155">
        <v>53547595901</v>
      </c>
      <c r="Y603" s="70">
        <f t="shared" si="215"/>
        <v>13454009945</v>
      </c>
    </row>
    <row r="604" spans="2:26" ht="15" hidden="1" customHeight="1" x14ac:dyDescent="0.2">
      <c r="B604" s="121" t="s">
        <v>243</v>
      </c>
      <c r="C604" s="81" t="s">
        <v>208</v>
      </c>
      <c r="D604" s="81" t="s">
        <v>209</v>
      </c>
      <c r="E604" s="81" t="s">
        <v>211</v>
      </c>
      <c r="F604" s="124"/>
      <c r="G604" s="81" t="str">
        <f t="shared" si="231"/>
        <v>lending_Payday_payday_CAKE_</v>
      </c>
      <c r="H604" s="125"/>
      <c r="I604" s="126" t="s">
        <v>253</v>
      </c>
      <c r="J604" s="128"/>
      <c r="K604" s="155"/>
      <c r="L604" s="155"/>
      <c r="M604" s="155"/>
      <c r="N604" s="155"/>
      <c r="O604" s="155"/>
      <c r="P604" s="155"/>
      <c r="Q604" s="155"/>
      <c r="R604" s="155"/>
      <c r="S604" s="155"/>
      <c r="T604" s="155"/>
      <c r="U604" s="84"/>
      <c r="V604" s="155"/>
      <c r="W604" s="155">
        <v>4674236350</v>
      </c>
      <c r="X604" s="155">
        <v>9837390087</v>
      </c>
      <c r="Y604" s="70">
        <f t="shared" si="215"/>
        <v>4674236350</v>
      </c>
    </row>
    <row r="605" spans="2:26" ht="15" hidden="1" customHeight="1" x14ac:dyDescent="0.2">
      <c r="B605" s="121" t="s">
        <v>243</v>
      </c>
      <c r="C605" s="81" t="s">
        <v>208</v>
      </c>
      <c r="D605" s="81" t="s">
        <v>209</v>
      </c>
      <c r="E605" s="81" t="s">
        <v>211</v>
      </c>
      <c r="F605" s="80" t="s">
        <v>298</v>
      </c>
      <c r="G605" s="81" t="str">
        <f t="shared" si="231"/>
        <v>lending_Payday_payday_CAKE_overdue_balance_10d</v>
      </c>
      <c r="H605" s="125"/>
      <c r="I605" s="84" t="s">
        <v>254</v>
      </c>
      <c r="J605" s="128"/>
      <c r="K605" s="155"/>
      <c r="L605" s="155"/>
      <c r="M605" s="155"/>
      <c r="N605" s="155"/>
      <c r="O605" s="155"/>
      <c r="P605" s="155"/>
      <c r="Q605" s="84"/>
      <c r="R605" s="84"/>
      <c r="S605" s="82">
        <v>201560000</v>
      </c>
      <c r="T605" s="128">
        <v>3430934035</v>
      </c>
      <c r="U605" s="155">
        <v>16820595477</v>
      </c>
      <c r="V605" s="155">
        <v>24441615498</v>
      </c>
      <c r="W605" s="155">
        <v>38962172466</v>
      </c>
      <c r="X605" s="155"/>
      <c r="Y605" s="70">
        <f t="shared" ref="Y605:Y669" si="234">W605-V605</f>
        <v>14520556968</v>
      </c>
    </row>
    <row r="606" spans="2:26" ht="15" hidden="1" customHeight="1" x14ac:dyDescent="0.2">
      <c r="B606" s="121" t="s">
        <v>243</v>
      </c>
      <c r="C606" s="81" t="s">
        <v>208</v>
      </c>
      <c r="D606" s="81" t="s">
        <v>209</v>
      </c>
      <c r="E606" s="81" t="s">
        <v>211</v>
      </c>
      <c r="F606" s="80" t="s">
        <v>299</v>
      </c>
      <c r="G606" s="81" t="str">
        <f t="shared" si="231"/>
        <v>lending_Payday_payday_CAKE_overdue_balance_90d</v>
      </c>
      <c r="H606" s="125"/>
      <c r="I606" s="84" t="s">
        <v>255</v>
      </c>
      <c r="J606" s="125"/>
      <c r="K606" s="84"/>
      <c r="L606" s="84"/>
      <c r="M606" s="84"/>
      <c r="N606" s="84"/>
      <c r="O606" s="84"/>
      <c r="P606" s="155"/>
      <c r="Q606" s="84"/>
      <c r="R606" s="84"/>
      <c r="S606" s="125"/>
      <c r="T606" s="84">
        <v>2160000</v>
      </c>
      <c r="U606" s="84">
        <v>97639681</v>
      </c>
      <c r="V606" s="82">
        <v>220657441</v>
      </c>
      <c r="W606" s="84">
        <v>5412778650</v>
      </c>
      <c r="X606" s="84"/>
      <c r="Y606" s="70">
        <f t="shared" si="234"/>
        <v>5192121209</v>
      </c>
    </row>
    <row r="607" spans="2:26" ht="15" hidden="1" customHeight="1" x14ac:dyDescent="0.2">
      <c r="B607" s="121" t="s">
        <v>243</v>
      </c>
      <c r="C607" s="81" t="s">
        <v>208</v>
      </c>
      <c r="D607" s="81" t="s">
        <v>209</v>
      </c>
      <c r="E607" s="81" t="s">
        <v>211</v>
      </c>
      <c r="F607" s="124"/>
      <c r="G607" s="81" t="str">
        <f t="shared" si="231"/>
        <v>lending_Payday_payday_CAKE_</v>
      </c>
      <c r="H607" s="125"/>
      <c r="I607" s="84" t="s">
        <v>256</v>
      </c>
      <c r="J607" s="128"/>
      <c r="K607" s="155">
        <f t="shared" ref="K607:X607" si="235">K605-K606</f>
        <v>0</v>
      </c>
      <c r="L607" s="155">
        <f t="shared" si="235"/>
        <v>0</v>
      </c>
      <c r="M607" s="155">
        <f t="shared" si="235"/>
        <v>0</v>
      </c>
      <c r="N607" s="155">
        <f t="shared" si="235"/>
        <v>0</v>
      </c>
      <c r="O607" s="155">
        <f t="shared" si="235"/>
        <v>0</v>
      </c>
      <c r="P607" s="155">
        <f t="shared" si="235"/>
        <v>0</v>
      </c>
      <c r="Q607" s="155">
        <f t="shared" si="235"/>
        <v>0</v>
      </c>
      <c r="R607" s="155">
        <f t="shared" si="235"/>
        <v>0</v>
      </c>
      <c r="S607" s="155">
        <f t="shared" si="235"/>
        <v>201560000</v>
      </c>
      <c r="T607" s="155">
        <f t="shared" si="235"/>
        <v>3428774035</v>
      </c>
      <c r="U607" s="155">
        <f t="shared" si="235"/>
        <v>16722955796</v>
      </c>
      <c r="V607" s="155">
        <f t="shared" si="235"/>
        <v>24220958057</v>
      </c>
      <c r="W607" s="155">
        <f t="shared" si="235"/>
        <v>33549393816</v>
      </c>
      <c r="X607" s="155">
        <f t="shared" si="235"/>
        <v>0</v>
      </c>
      <c r="Y607" s="70">
        <f t="shared" si="234"/>
        <v>9328435759</v>
      </c>
      <c r="Z607" s="70">
        <f>V607-U607</f>
        <v>7498002261</v>
      </c>
    </row>
    <row r="608" spans="2:26" ht="15" hidden="1" customHeight="1" x14ac:dyDescent="0.2">
      <c r="B608" s="121" t="s">
        <v>243</v>
      </c>
      <c r="C608" s="81" t="s">
        <v>208</v>
      </c>
      <c r="D608" s="81" t="s">
        <v>209</v>
      </c>
      <c r="E608" s="81" t="s">
        <v>211</v>
      </c>
      <c r="F608" s="124"/>
      <c r="G608" s="81" t="str">
        <f t="shared" si="231"/>
        <v>lending_Payday_payday_CAKE_</v>
      </c>
      <c r="H608" s="125"/>
      <c r="I608" s="84" t="s">
        <v>257</v>
      </c>
      <c r="J608" s="125"/>
      <c r="K608" s="177" t="e">
        <f t="shared" ref="K608:X608" si="236">K604/K601</f>
        <v>#DIV/0!</v>
      </c>
      <c r="L608" s="177" t="e">
        <f t="shared" si="236"/>
        <v>#DIV/0!</v>
      </c>
      <c r="M608" s="177" t="e">
        <f t="shared" si="236"/>
        <v>#DIV/0!</v>
      </c>
      <c r="N608" s="177" t="e">
        <f t="shared" si="236"/>
        <v>#DIV/0!</v>
      </c>
      <c r="O608" s="177" t="e">
        <f t="shared" si="236"/>
        <v>#DIV/0!</v>
      </c>
      <c r="P608" s="177" t="e">
        <f t="shared" si="236"/>
        <v>#DIV/0!</v>
      </c>
      <c r="Q608" s="177" t="e">
        <f t="shared" si="236"/>
        <v>#DIV/0!</v>
      </c>
      <c r="R608" s="177" t="e">
        <f t="shared" si="236"/>
        <v>#DIV/0!</v>
      </c>
      <c r="S608" s="177">
        <f t="shared" si="236"/>
        <v>0</v>
      </c>
      <c r="T608" s="177">
        <f t="shared" si="236"/>
        <v>0</v>
      </c>
      <c r="U608" s="177">
        <f t="shared" si="236"/>
        <v>0</v>
      </c>
      <c r="V608" s="177">
        <f t="shared" si="236"/>
        <v>0</v>
      </c>
      <c r="W608" s="177">
        <f t="shared" si="236"/>
        <v>1.801310743301366E-2</v>
      </c>
      <c r="X608" s="177">
        <f t="shared" si="236"/>
        <v>2.8294389263682575E-2</v>
      </c>
      <c r="Y608" s="70">
        <f t="shared" si="234"/>
        <v>1.801310743301366E-2</v>
      </c>
    </row>
    <row r="609" spans="1:27" ht="15" hidden="1" customHeight="1" x14ac:dyDescent="0.2">
      <c r="B609" s="121" t="s">
        <v>243</v>
      </c>
      <c r="C609" s="81" t="s">
        <v>208</v>
      </c>
      <c r="D609" s="81" t="s">
        <v>209</v>
      </c>
      <c r="E609" s="81" t="s">
        <v>211</v>
      </c>
      <c r="F609" s="80" t="s">
        <v>258</v>
      </c>
      <c r="G609" s="81" t="str">
        <f t="shared" si="231"/>
        <v>lending_Payday_payday_CAKE_npl</v>
      </c>
      <c r="H609" s="125"/>
      <c r="I609" s="84" t="s">
        <v>259</v>
      </c>
      <c r="J609" s="125"/>
      <c r="K609" s="129" t="e">
        <f t="shared" ref="K609:X609" si="237">K606/K601</f>
        <v>#DIV/0!</v>
      </c>
      <c r="L609" s="129" t="e">
        <f t="shared" si="237"/>
        <v>#DIV/0!</v>
      </c>
      <c r="M609" s="129" t="e">
        <f t="shared" si="237"/>
        <v>#DIV/0!</v>
      </c>
      <c r="N609" s="129" t="e">
        <f t="shared" si="237"/>
        <v>#DIV/0!</v>
      </c>
      <c r="O609" s="129" t="e">
        <f t="shared" si="237"/>
        <v>#DIV/0!</v>
      </c>
      <c r="P609" s="129" t="e">
        <f t="shared" si="237"/>
        <v>#DIV/0!</v>
      </c>
      <c r="Q609" s="129" t="e">
        <f t="shared" si="237"/>
        <v>#DIV/0!</v>
      </c>
      <c r="R609" s="129" t="e">
        <f t="shared" si="237"/>
        <v>#DIV/0!</v>
      </c>
      <c r="S609" s="129">
        <f t="shared" si="237"/>
        <v>0</v>
      </c>
      <c r="T609" s="129">
        <f t="shared" si="237"/>
        <v>2.2437447777807003E-5</v>
      </c>
      <c r="U609" s="129">
        <f t="shared" si="237"/>
        <v>5.7195265173548961E-4</v>
      </c>
      <c r="V609" s="129">
        <f t="shared" si="237"/>
        <v>1.0024113202680056E-3</v>
      </c>
      <c r="W609" s="129">
        <f t="shared" si="237"/>
        <v>2.0859228338672403E-2</v>
      </c>
      <c r="X609" s="129">
        <f t="shared" si="237"/>
        <v>0</v>
      </c>
      <c r="Y609" s="70">
        <f t="shared" si="234"/>
        <v>1.9856817018404398E-2</v>
      </c>
    </row>
    <row r="610" spans="1:27" ht="15" hidden="1" customHeight="1" x14ac:dyDescent="0.2">
      <c r="B610" s="121" t="s">
        <v>243</v>
      </c>
      <c r="C610" s="81" t="s">
        <v>208</v>
      </c>
      <c r="D610" s="81" t="s">
        <v>209</v>
      </c>
      <c r="E610" s="81" t="s">
        <v>211</v>
      </c>
      <c r="F610" s="80" t="s">
        <v>260</v>
      </c>
      <c r="G610" s="81" t="str">
        <f t="shared" si="231"/>
        <v>lending_Payday_payday_CAKE_TOI</v>
      </c>
      <c r="H610" s="125"/>
      <c r="I610" s="130" t="s">
        <v>260</v>
      </c>
      <c r="J610" s="131">
        <f t="shared" ref="J610:X610" si="238">J611+J616+J620</f>
        <v>113395085076</v>
      </c>
      <c r="K610" s="131">
        <f t="shared" si="238"/>
        <v>0</v>
      </c>
      <c r="L610" s="131">
        <f t="shared" si="238"/>
        <v>0</v>
      </c>
      <c r="M610" s="131">
        <f t="shared" si="238"/>
        <v>0</v>
      </c>
      <c r="N610" s="131">
        <f t="shared" si="238"/>
        <v>0</v>
      </c>
      <c r="O610" s="131">
        <f t="shared" si="238"/>
        <v>0</v>
      </c>
      <c r="P610" s="131">
        <f t="shared" si="238"/>
        <v>0</v>
      </c>
      <c r="Q610" s="131">
        <f t="shared" si="238"/>
        <v>0</v>
      </c>
      <c r="R610" s="131">
        <f t="shared" si="238"/>
        <v>0</v>
      </c>
      <c r="S610" s="131">
        <f t="shared" si="238"/>
        <v>3746885161</v>
      </c>
      <c r="T610" s="131">
        <f t="shared" si="238"/>
        <v>10829491213</v>
      </c>
      <c r="U610" s="131">
        <f t="shared" si="238"/>
        <v>16638366603</v>
      </c>
      <c r="V610" s="131">
        <f t="shared" si="238"/>
        <v>23266112691</v>
      </c>
      <c r="W610" s="131">
        <f t="shared" si="238"/>
        <v>24765868671</v>
      </c>
      <c r="X610" s="131">
        <f t="shared" si="238"/>
        <v>34148360737</v>
      </c>
      <c r="Y610" s="70">
        <f t="shared" si="234"/>
        <v>1499755980</v>
      </c>
    </row>
    <row r="611" spans="1:27" ht="15" hidden="1" customHeight="1" x14ac:dyDescent="0.2">
      <c r="B611" s="121" t="s">
        <v>243</v>
      </c>
      <c r="C611" s="81" t="s">
        <v>208</v>
      </c>
      <c r="D611" s="81" t="s">
        <v>209</v>
      </c>
      <c r="E611" s="81" t="s">
        <v>211</v>
      </c>
      <c r="F611" s="80" t="s">
        <v>300</v>
      </c>
      <c r="G611" s="81" t="str">
        <f t="shared" si="231"/>
        <v>lending_Payday_payday_CAKE_NII</v>
      </c>
      <c r="H611" s="125"/>
      <c r="I611" s="132" t="s">
        <v>261</v>
      </c>
      <c r="J611" s="131">
        <f t="shared" ref="J611:X611" si="239">J612-J615</f>
        <v>32410103351</v>
      </c>
      <c r="K611" s="131">
        <f t="shared" si="239"/>
        <v>0</v>
      </c>
      <c r="L611" s="131">
        <f t="shared" si="239"/>
        <v>0</v>
      </c>
      <c r="M611" s="131">
        <f t="shared" si="239"/>
        <v>0</v>
      </c>
      <c r="N611" s="131">
        <f t="shared" si="239"/>
        <v>0</v>
      </c>
      <c r="O611" s="131">
        <f t="shared" si="239"/>
        <v>0</v>
      </c>
      <c r="P611" s="131">
        <f t="shared" si="239"/>
        <v>0</v>
      </c>
      <c r="Q611" s="131">
        <f t="shared" si="239"/>
        <v>0</v>
      </c>
      <c r="R611" s="131">
        <f t="shared" si="239"/>
        <v>0</v>
      </c>
      <c r="S611" s="131">
        <f t="shared" si="239"/>
        <v>366253187</v>
      </c>
      <c r="T611" s="131">
        <f t="shared" si="239"/>
        <v>3112074236</v>
      </c>
      <c r="U611" s="131">
        <f t="shared" si="239"/>
        <v>4457467717</v>
      </c>
      <c r="V611" s="131">
        <f t="shared" si="239"/>
        <v>7026576042</v>
      </c>
      <c r="W611" s="131">
        <f t="shared" si="239"/>
        <v>7437117491</v>
      </c>
      <c r="X611" s="131">
        <f t="shared" si="239"/>
        <v>10010614678</v>
      </c>
      <c r="Y611" s="70">
        <f t="shared" si="234"/>
        <v>410541449</v>
      </c>
    </row>
    <row r="612" spans="1:27" ht="15" hidden="1" customHeight="1" x14ac:dyDescent="0.2">
      <c r="B612" s="121" t="s">
        <v>243</v>
      </c>
      <c r="C612" s="81" t="s">
        <v>208</v>
      </c>
      <c r="D612" s="81" t="s">
        <v>209</v>
      </c>
      <c r="E612" s="81" t="s">
        <v>211</v>
      </c>
      <c r="F612" s="80" t="s">
        <v>301</v>
      </c>
      <c r="G612" s="81" t="str">
        <f t="shared" si="231"/>
        <v>lending_Payday_payday_CAKE_CII</v>
      </c>
      <c r="H612" s="125"/>
      <c r="I612" s="134" t="s">
        <v>262</v>
      </c>
      <c r="J612" s="125">
        <f>SUM(M612:X612)</f>
        <v>36901064657</v>
      </c>
      <c r="K612" s="125">
        <f>K613+J614-K614</f>
        <v>0</v>
      </c>
      <c r="L612" s="125">
        <f>L613+K614-L614</f>
        <v>0</v>
      </c>
      <c r="M612" s="125">
        <f t="shared" ref="M612:W612" si="240">M613-M614+L614</f>
        <v>0</v>
      </c>
      <c r="N612" s="125">
        <f t="shared" si="240"/>
        <v>0</v>
      </c>
      <c r="O612" s="125">
        <f t="shared" si="240"/>
        <v>0</v>
      </c>
      <c r="P612" s="125">
        <f t="shared" si="240"/>
        <v>0</v>
      </c>
      <c r="Q612" s="125">
        <f t="shared" si="240"/>
        <v>0</v>
      </c>
      <c r="R612" s="125">
        <f t="shared" si="240"/>
        <v>0</v>
      </c>
      <c r="S612" s="125">
        <f t="shared" si="240"/>
        <v>390240034</v>
      </c>
      <c r="T612" s="125">
        <f t="shared" si="240"/>
        <v>3436270109</v>
      </c>
      <c r="U612" s="125">
        <f t="shared" si="240"/>
        <v>5004146738</v>
      </c>
      <c r="V612" s="125">
        <f t="shared" si="240"/>
        <v>7965835702</v>
      </c>
      <c r="W612" s="125">
        <f t="shared" si="240"/>
        <v>8525449049</v>
      </c>
      <c r="X612" s="125">
        <f>X613-X614+W614</f>
        <v>11579123025</v>
      </c>
      <c r="Y612" s="70">
        <f t="shared" si="234"/>
        <v>559613347</v>
      </c>
    </row>
    <row r="613" spans="1:27" ht="15" hidden="1" customHeight="1" x14ac:dyDescent="0.2">
      <c r="B613" s="121" t="s">
        <v>243</v>
      </c>
      <c r="C613" s="81" t="s">
        <v>208</v>
      </c>
      <c r="D613" s="81" t="s">
        <v>209</v>
      </c>
      <c r="E613" s="81" t="s">
        <v>211</v>
      </c>
      <c r="F613" s="80"/>
      <c r="G613" s="81" t="str">
        <f t="shared" si="231"/>
        <v>lending_Payday_payday_CAKE_</v>
      </c>
      <c r="H613" s="125"/>
      <c r="I613" s="201" t="s">
        <v>263</v>
      </c>
      <c r="J613" s="136">
        <f>SUM(M613:X613)</f>
        <v>37229410075</v>
      </c>
      <c r="K613" s="202"/>
      <c r="L613" s="202"/>
      <c r="M613" s="139"/>
      <c r="N613" s="139"/>
      <c r="O613" s="139"/>
      <c r="P613" s="139"/>
      <c r="Q613" s="139"/>
      <c r="R613" s="137"/>
      <c r="S613" s="125">
        <v>391891006</v>
      </c>
      <c r="T613" s="125">
        <v>3621267892</v>
      </c>
      <c r="U613" s="125">
        <v>4957905791</v>
      </c>
      <c r="V613" s="125">
        <v>8068998585</v>
      </c>
      <c r="W613" s="125">
        <v>8596248464</v>
      </c>
      <c r="X613" s="125">
        <v>11593098337</v>
      </c>
      <c r="Y613" s="70">
        <f t="shared" si="234"/>
        <v>527249879</v>
      </c>
    </row>
    <row r="614" spans="1:27" ht="15" hidden="1" customHeight="1" x14ac:dyDescent="0.2">
      <c r="B614" s="121" t="s">
        <v>243</v>
      </c>
      <c r="C614" s="81" t="s">
        <v>208</v>
      </c>
      <c r="D614" s="81" t="s">
        <v>209</v>
      </c>
      <c r="E614" s="81" t="s">
        <v>211</v>
      </c>
      <c r="F614" s="124"/>
      <c r="G614" s="81" t="str">
        <f t="shared" si="231"/>
        <v>lending_Payday_payday_CAKE_</v>
      </c>
      <c r="H614" s="125"/>
      <c r="I614" s="201" t="s">
        <v>264</v>
      </c>
      <c r="J614" s="136"/>
      <c r="K614" s="203"/>
      <c r="L614" s="203"/>
      <c r="M614" s="139"/>
      <c r="N614" s="139"/>
      <c r="O614" s="139"/>
      <c r="P614" s="139"/>
      <c r="Q614" s="139"/>
      <c r="R614" s="139"/>
      <c r="S614" s="125">
        <v>1650972</v>
      </c>
      <c r="T614" s="125">
        <v>186648755</v>
      </c>
      <c r="U614" s="125">
        <v>140407808</v>
      </c>
      <c r="V614" s="125">
        <f>246677894-3107203</f>
        <v>243570691</v>
      </c>
      <c r="W614" s="125">
        <v>314370106</v>
      </c>
      <c r="X614" s="125">
        <v>328345418</v>
      </c>
      <c r="Y614" s="70">
        <f t="shared" si="234"/>
        <v>70799415</v>
      </c>
      <c r="Z614" s="70"/>
      <c r="AA614" s="70"/>
    </row>
    <row r="615" spans="1:27" ht="15" hidden="1" customHeight="1" x14ac:dyDescent="0.2">
      <c r="B615" s="121" t="s">
        <v>243</v>
      </c>
      <c r="C615" s="81" t="s">
        <v>208</v>
      </c>
      <c r="D615" s="81" t="s">
        <v>209</v>
      </c>
      <c r="E615" s="81" t="s">
        <v>211</v>
      </c>
      <c r="F615" s="80" t="s">
        <v>62</v>
      </c>
      <c r="G615" s="81" t="str">
        <f t="shared" si="231"/>
        <v>lending_Payday_payday_CAKE_COF</v>
      </c>
      <c r="H615" s="125"/>
      <c r="I615" s="134" t="s">
        <v>62</v>
      </c>
      <c r="J615" s="125">
        <f>SUM(M615:X615)</f>
        <v>4490961306</v>
      </c>
      <c r="K615" s="154"/>
      <c r="L615" s="154"/>
      <c r="M615" s="84"/>
      <c r="N615" s="84"/>
      <c r="O615" s="84"/>
      <c r="P615" s="84"/>
      <c r="Q615" s="84"/>
      <c r="R615" s="84"/>
      <c r="S615" s="125">
        <v>23986847</v>
      </c>
      <c r="T615" s="125">
        <v>324195873</v>
      </c>
      <c r="U615" s="82">
        <v>546679021</v>
      </c>
      <c r="V615" s="64">
        <f>962600599-23340939</f>
        <v>939259660</v>
      </c>
      <c r="W615" s="154">
        <f>1104935163-16603605</f>
        <v>1088331558</v>
      </c>
      <c r="X615" s="154">
        <v>1568508347</v>
      </c>
      <c r="Y615" s="70">
        <f t="shared" si="234"/>
        <v>149071898</v>
      </c>
    </row>
    <row r="616" spans="1:27" ht="15" hidden="1" customHeight="1" x14ac:dyDescent="0.2">
      <c r="B616" s="121" t="s">
        <v>243</v>
      </c>
      <c r="C616" s="81" t="s">
        <v>208</v>
      </c>
      <c r="D616" s="81" t="s">
        <v>209</v>
      </c>
      <c r="E616" s="81" t="s">
        <v>211</v>
      </c>
      <c r="F616" s="80" t="s">
        <v>302</v>
      </c>
      <c r="G616" s="81" t="str">
        <f t="shared" si="231"/>
        <v>lending_Payday_payday_CAKE_NFI</v>
      </c>
      <c r="H616" s="125"/>
      <c r="I616" s="132" t="s">
        <v>265</v>
      </c>
      <c r="J616" s="131">
        <f t="shared" ref="J616:X616" si="241">SUM(J617:J619)</f>
        <v>80984981725</v>
      </c>
      <c r="K616" s="131">
        <f t="shared" si="241"/>
        <v>0</v>
      </c>
      <c r="L616" s="131">
        <f t="shared" si="241"/>
        <v>0</v>
      </c>
      <c r="M616" s="131">
        <f t="shared" si="241"/>
        <v>0</v>
      </c>
      <c r="N616" s="131">
        <f t="shared" si="241"/>
        <v>0</v>
      </c>
      <c r="O616" s="131">
        <f t="shared" si="241"/>
        <v>0</v>
      </c>
      <c r="P616" s="131">
        <f t="shared" si="241"/>
        <v>0</v>
      </c>
      <c r="Q616" s="131">
        <f t="shared" si="241"/>
        <v>0</v>
      </c>
      <c r="R616" s="131">
        <f t="shared" si="241"/>
        <v>0</v>
      </c>
      <c r="S616" s="131">
        <f t="shared" si="241"/>
        <v>3380631974</v>
      </c>
      <c r="T616" s="131">
        <f t="shared" si="241"/>
        <v>7717416977</v>
      </c>
      <c r="U616" s="131">
        <f t="shared" si="241"/>
        <v>12180898886</v>
      </c>
      <c r="V616" s="131">
        <f t="shared" si="241"/>
        <v>16239536649</v>
      </c>
      <c r="W616" s="131">
        <f t="shared" si="241"/>
        <v>17328751180</v>
      </c>
      <c r="X616" s="131">
        <f t="shared" si="241"/>
        <v>24137746059</v>
      </c>
      <c r="Y616" s="70">
        <f t="shared" si="234"/>
        <v>1089214531</v>
      </c>
    </row>
    <row r="617" spans="1:27" ht="15" hidden="1" customHeight="1" x14ac:dyDescent="0.2">
      <c r="B617" s="121" t="s">
        <v>243</v>
      </c>
      <c r="C617" s="81" t="s">
        <v>208</v>
      </c>
      <c r="D617" s="81" t="s">
        <v>209</v>
      </c>
      <c r="E617" s="81" t="s">
        <v>211</v>
      </c>
      <c r="F617" s="80" t="s">
        <v>303</v>
      </c>
      <c r="G617" s="81" t="str">
        <f t="shared" si="231"/>
        <v>lending_Payday_payday_CAKE_insurance_fee</v>
      </c>
      <c r="H617" s="125"/>
      <c r="I617" s="134" t="s">
        <v>266</v>
      </c>
      <c r="J617" s="125">
        <f>SUM(M617:X617)</f>
        <v>80984981725</v>
      </c>
      <c r="K617" s="64"/>
      <c r="L617" s="64"/>
      <c r="M617" s="64"/>
      <c r="N617" s="64"/>
      <c r="O617" s="64"/>
      <c r="P617" s="64"/>
      <c r="Q617" s="64"/>
      <c r="R617" s="64"/>
      <c r="S617" s="64">
        <v>3380631974</v>
      </c>
      <c r="T617" s="82">
        <v>7717416977</v>
      </c>
      <c r="U617" s="82">
        <v>12180898886</v>
      </c>
      <c r="V617" s="64">
        <v>16239536649</v>
      </c>
      <c r="W617" s="64">
        <v>17328751180</v>
      </c>
      <c r="X617" s="64">
        <v>24137746059</v>
      </c>
      <c r="Y617" s="70">
        <f t="shared" si="234"/>
        <v>1089214531</v>
      </c>
    </row>
    <row r="618" spans="1:27" ht="15" hidden="1" customHeight="1" x14ac:dyDescent="0.2">
      <c r="B618" s="121" t="s">
        <v>243</v>
      </c>
      <c r="C618" s="81" t="s">
        <v>208</v>
      </c>
      <c r="D618" s="81" t="s">
        <v>209</v>
      </c>
      <c r="E618" s="81" t="s">
        <v>211</v>
      </c>
      <c r="F618" s="80" t="s">
        <v>304</v>
      </c>
      <c r="G618" s="81" t="str">
        <f t="shared" si="231"/>
        <v>lending_Payday_payday_CAKE_early_terminate_fee</v>
      </c>
      <c r="H618" s="125"/>
      <c r="I618" s="134" t="s">
        <v>267</v>
      </c>
      <c r="J618" s="125">
        <f>SUM(M618:X618)</f>
        <v>0</v>
      </c>
      <c r="K618" s="136"/>
      <c r="L618" s="64"/>
      <c r="M618" s="162"/>
      <c r="N618" s="162"/>
      <c r="O618" s="162"/>
      <c r="P618" s="162"/>
      <c r="Q618" s="162"/>
      <c r="R618" s="136"/>
      <c r="S618" s="164"/>
      <c r="T618" s="136"/>
      <c r="U618" s="136"/>
      <c r="V618" s="136"/>
      <c r="W618" s="136"/>
      <c r="X618" s="64"/>
      <c r="Y618" s="70">
        <f t="shared" si="234"/>
        <v>0</v>
      </c>
    </row>
    <row r="619" spans="1:27" ht="15" hidden="1" customHeight="1" x14ac:dyDescent="0.2">
      <c r="B619" s="121" t="s">
        <v>243</v>
      </c>
      <c r="C619" s="81" t="s">
        <v>208</v>
      </c>
      <c r="D619" s="81" t="s">
        <v>209</v>
      </c>
      <c r="E619" s="81" t="s">
        <v>211</v>
      </c>
      <c r="F619" s="80" t="s">
        <v>305</v>
      </c>
      <c r="G619" s="81" t="str">
        <f t="shared" si="231"/>
        <v>lending_Payday_payday_CAKE_loan_grant_fee</v>
      </c>
      <c r="H619" s="125"/>
      <c r="I619" s="134" t="s">
        <v>187</v>
      </c>
      <c r="J619" s="125">
        <f>SUM(M619:X619)</f>
        <v>0</v>
      </c>
      <c r="K619" s="136"/>
      <c r="L619" s="136"/>
      <c r="M619" s="162"/>
      <c r="N619" s="162"/>
      <c r="O619" s="162"/>
      <c r="P619" s="162"/>
      <c r="Q619" s="162"/>
      <c r="R619" s="136"/>
      <c r="S619" s="164"/>
      <c r="T619" s="136"/>
      <c r="U619" s="136"/>
      <c r="V619" s="136"/>
      <c r="W619" s="136"/>
      <c r="X619" s="136"/>
      <c r="Y619" s="70">
        <f t="shared" si="234"/>
        <v>0</v>
      </c>
    </row>
    <row r="620" spans="1:27" ht="15" hidden="1" customHeight="1" x14ac:dyDescent="0.2">
      <c r="A620" s="54"/>
      <c r="B620" s="121" t="s">
        <v>243</v>
      </c>
      <c r="C620" s="138" t="s">
        <v>208</v>
      </c>
      <c r="D620" s="81" t="s">
        <v>209</v>
      </c>
      <c r="E620" s="81" t="s">
        <v>211</v>
      </c>
      <c r="F620" s="80" t="s">
        <v>306</v>
      </c>
      <c r="G620" s="138" t="str">
        <f t="shared" si="231"/>
        <v>lending_Payday_payday_CAKE_other_TOI</v>
      </c>
      <c r="H620" s="125"/>
      <c r="I620" s="132" t="s">
        <v>269</v>
      </c>
      <c r="J620" s="131">
        <f>SUM(M620:X620)</f>
        <v>0</v>
      </c>
      <c r="K620" s="178"/>
      <c r="L620" s="178"/>
      <c r="M620" s="179"/>
      <c r="N620" s="179"/>
      <c r="O620" s="179"/>
      <c r="P620" s="179"/>
      <c r="Q620" s="179"/>
      <c r="R620" s="178"/>
      <c r="S620" s="210"/>
      <c r="T620" s="178"/>
      <c r="U620" s="178"/>
      <c r="V620" s="178"/>
      <c r="W620" s="178"/>
      <c r="X620" s="178"/>
      <c r="Y620" s="70">
        <f t="shared" si="234"/>
        <v>0</v>
      </c>
    </row>
    <row r="621" spans="1:27" ht="15" hidden="1" customHeight="1" x14ac:dyDescent="0.2">
      <c r="B621" s="121" t="s">
        <v>243</v>
      </c>
      <c r="C621" s="81" t="s">
        <v>208</v>
      </c>
      <c r="D621" s="81" t="s">
        <v>209</v>
      </c>
      <c r="E621" s="81" t="s">
        <v>211</v>
      </c>
      <c r="F621" s="80" t="s">
        <v>307</v>
      </c>
      <c r="G621" s="81" t="str">
        <f t="shared" si="231"/>
        <v>lending_Payday_payday_CAKE_provision</v>
      </c>
      <c r="H621" s="125"/>
      <c r="I621" s="140" t="s">
        <v>270</v>
      </c>
      <c r="J621" s="131">
        <f>SUM(M621:X621)</f>
        <v>10929703261</v>
      </c>
      <c r="K621" s="168"/>
      <c r="L621" s="168"/>
      <c r="M621" s="168"/>
      <c r="N621" s="168"/>
      <c r="O621" s="168"/>
      <c r="P621" s="140"/>
      <c r="Q621" s="204"/>
      <c r="R621" s="204"/>
      <c r="S621" s="205">
        <v>374835003</v>
      </c>
      <c r="T621" s="168">
        <v>520754770</v>
      </c>
      <c r="U621" s="168">
        <f>984001425+260502719</f>
        <v>1244504144</v>
      </c>
      <c r="V621" s="206">
        <f>817896054-52854253</f>
        <v>765041801</v>
      </c>
      <c r="W621" s="168">
        <f>1801997677+15684743</f>
        <v>1817682420</v>
      </c>
      <c r="X621" s="168">
        <v>6206885123</v>
      </c>
      <c r="Y621" s="70">
        <f>X621-W621</f>
        <v>4389202703</v>
      </c>
    </row>
    <row r="622" spans="1:27" ht="15" hidden="1" customHeight="1" x14ac:dyDescent="0.2">
      <c r="B622" s="121" t="s">
        <v>243</v>
      </c>
      <c r="C622" s="81" t="s">
        <v>208</v>
      </c>
      <c r="D622" s="81" t="s">
        <v>209</v>
      </c>
      <c r="E622" s="81" t="s">
        <v>211</v>
      </c>
      <c r="F622" s="80" t="s">
        <v>308</v>
      </c>
      <c r="G622" s="81" t="str">
        <f t="shared" si="231"/>
        <v>lending_Payday_payday_CAKE_variable_cost</v>
      </c>
      <c r="H622" s="125"/>
      <c r="I622" s="140" t="s">
        <v>271</v>
      </c>
      <c r="J622" s="131">
        <f t="shared" ref="J622:X622" si="242">SUM(J623:J630)</f>
        <v>6073729915.7039623</v>
      </c>
      <c r="K622" s="131">
        <f t="shared" si="242"/>
        <v>0</v>
      </c>
      <c r="L622" s="131">
        <f t="shared" si="242"/>
        <v>0</v>
      </c>
      <c r="M622" s="131">
        <f t="shared" si="242"/>
        <v>0</v>
      </c>
      <c r="N622" s="131">
        <f t="shared" si="242"/>
        <v>0</v>
      </c>
      <c r="O622" s="131">
        <f t="shared" si="242"/>
        <v>0</v>
      </c>
      <c r="P622" s="131">
        <f t="shared" si="242"/>
        <v>0</v>
      </c>
      <c r="Q622" s="131">
        <f t="shared" si="242"/>
        <v>0</v>
      </c>
      <c r="R622" s="131">
        <f t="shared" si="242"/>
        <v>0</v>
      </c>
      <c r="S622" s="131">
        <f t="shared" si="242"/>
        <v>409937781.28281438</v>
      </c>
      <c r="T622" s="131">
        <f t="shared" si="242"/>
        <v>738387129.45893109</v>
      </c>
      <c r="U622" s="131">
        <f t="shared" si="242"/>
        <v>944703759.81063247</v>
      </c>
      <c r="V622" s="131">
        <f t="shared" si="242"/>
        <v>1222960634.5567141</v>
      </c>
      <c r="W622" s="131">
        <f t="shared" si="242"/>
        <v>1324925612.9722681</v>
      </c>
      <c r="X622" s="131">
        <f t="shared" si="242"/>
        <v>1432814997.6226029</v>
      </c>
      <c r="Y622" s="70">
        <f t="shared" si="234"/>
        <v>101964978.41555405</v>
      </c>
    </row>
    <row r="623" spans="1:27" ht="15" hidden="1" customHeight="1" x14ac:dyDescent="0.2">
      <c r="B623" s="121" t="s">
        <v>243</v>
      </c>
      <c r="C623" s="81" t="s">
        <v>208</v>
      </c>
      <c r="D623" s="81" t="s">
        <v>209</v>
      </c>
      <c r="E623" s="81" t="s">
        <v>211</v>
      </c>
      <c r="F623" s="80" t="s">
        <v>198</v>
      </c>
      <c r="G623" s="81" t="str">
        <f t="shared" si="231"/>
        <v>lending_Payday_payday_CAKE_marketing_acquisition_cost</v>
      </c>
      <c r="H623" s="125"/>
      <c r="I623" s="142" t="s">
        <v>272</v>
      </c>
      <c r="J623" s="125">
        <f t="shared" ref="J623:J628" si="243">SUM(M623:X623)</f>
        <v>427503467</v>
      </c>
      <c r="K623" s="122"/>
      <c r="L623" s="122"/>
      <c r="M623" s="84"/>
      <c r="N623" s="84"/>
      <c r="O623" s="84"/>
      <c r="P623" s="122"/>
      <c r="Q623" s="84"/>
      <c r="R623" s="122"/>
      <c r="S623" s="82">
        <v>40000000</v>
      </c>
      <c r="T623" s="82">
        <v>38824927</v>
      </c>
      <c r="U623" s="82">
        <v>104403980</v>
      </c>
      <c r="V623" s="82">
        <v>94113533</v>
      </c>
      <c r="W623" s="82">
        <v>125757047</v>
      </c>
      <c r="X623" s="82">
        <v>24403980</v>
      </c>
      <c r="Y623" s="70">
        <f t="shared" si="234"/>
        <v>31643514</v>
      </c>
    </row>
    <row r="624" spans="1:27" ht="15" hidden="1" customHeight="1" x14ac:dyDescent="0.2">
      <c r="B624" s="121" t="s">
        <v>243</v>
      </c>
      <c r="C624" s="81" t="s">
        <v>208</v>
      </c>
      <c r="D624" s="81" t="s">
        <v>209</v>
      </c>
      <c r="E624" s="81" t="s">
        <v>211</v>
      </c>
      <c r="F624" s="80" t="s">
        <v>309</v>
      </c>
      <c r="G624" s="81" t="str">
        <f t="shared" si="231"/>
        <v>lending_Payday_payday_CAKE_partner_acquisition_cost</v>
      </c>
      <c r="H624" s="125"/>
      <c r="I624" s="142" t="s">
        <v>202</v>
      </c>
      <c r="J624" s="125">
        <f t="shared" si="243"/>
        <v>0</v>
      </c>
      <c r="K624" s="153"/>
      <c r="L624" s="84"/>
      <c r="M624" s="84"/>
      <c r="N624" s="84"/>
      <c r="O624" s="84"/>
      <c r="P624" s="84"/>
      <c r="Q624" s="84"/>
      <c r="R624" s="140"/>
      <c r="S624" s="140"/>
      <c r="T624" s="140"/>
      <c r="U624" s="140"/>
      <c r="V624" s="187"/>
      <c r="W624" s="187"/>
      <c r="X624" s="140"/>
      <c r="Y624" s="70">
        <f t="shared" si="234"/>
        <v>0</v>
      </c>
    </row>
    <row r="625" spans="2:25" ht="15" hidden="1" customHeight="1" x14ac:dyDescent="0.2">
      <c r="B625" s="121" t="s">
        <v>243</v>
      </c>
      <c r="C625" s="81" t="s">
        <v>208</v>
      </c>
      <c r="D625" s="81" t="s">
        <v>209</v>
      </c>
      <c r="E625" s="81" t="s">
        <v>211</v>
      </c>
      <c r="F625" s="80" t="s">
        <v>310</v>
      </c>
      <c r="G625" s="81" t="str">
        <f t="shared" si="231"/>
        <v>lending_Payday_payday_CAKE_underwritting</v>
      </c>
      <c r="H625" s="125"/>
      <c r="I625" s="142" t="s">
        <v>273</v>
      </c>
      <c r="J625" s="125">
        <f t="shared" si="243"/>
        <v>3970450869.7890625</v>
      </c>
      <c r="K625" s="125"/>
      <c r="L625" s="125"/>
      <c r="M625" s="84">
        <v>0</v>
      </c>
      <c r="N625" s="84">
        <v>0</v>
      </c>
      <c r="O625" s="84">
        <v>0</v>
      </c>
      <c r="P625" s="84">
        <v>0</v>
      </c>
      <c r="Q625" s="84">
        <v>0</v>
      </c>
      <c r="R625" s="125">
        <v>0</v>
      </c>
      <c r="S625" s="125">
        <v>338633977.44855738</v>
      </c>
      <c r="T625" s="125">
        <v>602161915.01524723</v>
      </c>
      <c r="U625" s="125">
        <v>670330385.33437216</v>
      </c>
      <c r="V625" s="125">
        <v>762503259.48489523</v>
      </c>
      <c r="W625" s="125">
        <v>719192140.08755064</v>
      </c>
      <c r="X625" s="125">
        <v>877629192.41843998</v>
      </c>
      <c r="Y625" s="70">
        <f t="shared" si="234"/>
        <v>-43311119.397344589</v>
      </c>
    </row>
    <row r="626" spans="2:25" ht="15" hidden="1" customHeight="1" x14ac:dyDescent="0.2">
      <c r="B626" s="121" t="s">
        <v>243</v>
      </c>
      <c r="C626" s="81" t="s">
        <v>208</v>
      </c>
      <c r="D626" s="81" t="s">
        <v>209</v>
      </c>
      <c r="E626" s="81" t="s">
        <v>211</v>
      </c>
      <c r="F626" s="80" t="s">
        <v>311</v>
      </c>
      <c r="G626" s="81" t="str">
        <f t="shared" si="231"/>
        <v>lending_Payday_payday_CAKE_e_contract</v>
      </c>
      <c r="H626" s="125"/>
      <c r="I626" s="142" t="s">
        <v>274</v>
      </c>
      <c r="J626" s="125">
        <f t="shared" si="243"/>
        <v>353519823</v>
      </c>
      <c r="K626" s="125"/>
      <c r="L626" s="125"/>
      <c r="M626" s="84"/>
      <c r="N626" s="84"/>
      <c r="O626" s="84"/>
      <c r="P626" s="84"/>
      <c r="Q626" s="84"/>
      <c r="R626" s="143"/>
      <c r="S626" s="125">
        <v>16497795</v>
      </c>
      <c r="T626" s="125">
        <v>37018920</v>
      </c>
      <c r="U626" s="125">
        <v>56309038</v>
      </c>
      <c r="V626" s="125">
        <v>73589575</v>
      </c>
      <c r="W626" s="125">
        <v>78132235</v>
      </c>
      <c r="X626" s="125">
        <v>91972260</v>
      </c>
      <c r="Y626" s="70">
        <f t="shared" si="234"/>
        <v>4542660</v>
      </c>
    </row>
    <row r="627" spans="2:25" ht="15" hidden="1" customHeight="1" x14ac:dyDescent="0.2">
      <c r="B627" s="121" t="s">
        <v>243</v>
      </c>
      <c r="C627" s="81" t="s">
        <v>208</v>
      </c>
      <c r="D627" s="81" t="s">
        <v>209</v>
      </c>
      <c r="E627" s="81" t="s">
        <v>211</v>
      </c>
      <c r="F627" s="80" t="s">
        <v>312</v>
      </c>
      <c r="G627" s="81" t="str">
        <f t="shared" si="231"/>
        <v>lending_Payday_payday_CAKE_nfc</v>
      </c>
      <c r="H627" s="125"/>
      <c r="I627" s="142" t="s">
        <v>275</v>
      </c>
      <c r="J627" s="125">
        <f t="shared" si="243"/>
        <v>153144400.36777702</v>
      </c>
      <c r="K627" s="125"/>
      <c r="L627" s="125"/>
      <c r="M627" s="84"/>
      <c r="N627" s="84"/>
      <c r="O627" s="84"/>
      <c r="P627" s="84"/>
      <c r="Q627" s="84"/>
      <c r="R627" s="84"/>
      <c r="S627" s="84">
        <v>14806008.834257023</v>
      </c>
      <c r="T627" s="125">
        <v>22326366.153528817</v>
      </c>
      <c r="U627" s="125">
        <v>22427585.00315471</v>
      </c>
      <c r="V627" s="125">
        <v>26901241.31159021</v>
      </c>
      <c r="W627" s="125">
        <v>28758788.670484219</v>
      </c>
      <c r="X627" s="125">
        <v>37924410.394762032</v>
      </c>
      <c r="Y627" s="70">
        <f t="shared" si="234"/>
        <v>1857547.3588940091</v>
      </c>
    </row>
    <row r="628" spans="2:25" ht="15" hidden="1" customHeight="1" x14ac:dyDescent="0.2">
      <c r="B628" s="121" t="s">
        <v>243</v>
      </c>
      <c r="C628" s="81" t="s">
        <v>208</v>
      </c>
      <c r="D628" s="81" t="s">
        <v>209</v>
      </c>
      <c r="E628" s="81" t="s">
        <v>211</v>
      </c>
      <c r="F628" s="80" t="s">
        <v>313</v>
      </c>
      <c r="G628" s="81" t="str">
        <f t="shared" si="231"/>
        <v>lending_Payday_payday_CAKE_collection</v>
      </c>
      <c r="H628" s="125"/>
      <c r="I628" s="142" t="s">
        <v>196</v>
      </c>
      <c r="J628" s="125">
        <f t="shared" si="243"/>
        <v>1031054868.8691094</v>
      </c>
      <c r="K628" s="125"/>
      <c r="L628" s="125"/>
      <c r="M628" s="84"/>
      <c r="N628" s="84"/>
      <c r="O628" s="84"/>
      <c r="P628" s="84"/>
      <c r="Q628" s="84"/>
      <c r="R628" s="125"/>
      <c r="S628" s="84"/>
      <c r="T628" s="125">
        <v>37462818.920080379</v>
      </c>
      <c r="U628" s="125">
        <v>71001474.566656113</v>
      </c>
      <c r="V628" s="125">
        <v>229632135.91735289</v>
      </c>
      <c r="W628" s="125">
        <v>331760533.83567697</v>
      </c>
      <c r="X628" s="125">
        <v>361197905.62934297</v>
      </c>
      <c r="Y628" s="70">
        <f t="shared" si="234"/>
        <v>102128397.91832408</v>
      </c>
    </row>
    <row r="629" spans="2:25" ht="15" hidden="1" customHeight="1" x14ac:dyDescent="0.2">
      <c r="B629" s="121" t="s">
        <v>243</v>
      </c>
      <c r="C629" s="81" t="s">
        <v>208</v>
      </c>
      <c r="D629" s="81" t="s">
        <v>209</v>
      </c>
      <c r="E629" s="81" t="s">
        <v>211</v>
      </c>
      <c r="F629" s="80" t="s">
        <v>314</v>
      </c>
      <c r="G629" s="81" t="str">
        <f t="shared" si="231"/>
        <v>lending_Payday_payday_CAKE_promotion</v>
      </c>
      <c r="H629" s="125"/>
      <c r="I629" s="142" t="s">
        <v>276</v>
      </c>
      <c r="J629" s="125"/>
      <c r="K629" s="125"/>
      <c r="L629" s="125"/>
      <c r="M629" s="84"/>
      <c r="N629" s="84"/>
      <c r="O629" s="84"/>
      <c r="P629" s="84"/>
      <c r="Q629" s="84"/>
      <c r="R629" s="125"/>
      <c r="S629" s="84"/>
      <c r="T629" s="125"/>
      <c r="U629" s="125"/>
      <c r="V629" s="125"/>
      <c r="W629" s="125"/>
      <c r="X629" s="125"/>
      <c r="Y629" s="70">
        <f t="shared" si="234"/>
        <v>0</v>
      </c>
    </row>
    <row r="630" spans="2:25" ht="15" customHeight="1" x14ac:dyDescent="0.2">
      <c r="B630" s="121" t="s">
        <v>243</v>
      </c>
      <c r="C630" s="81" t="s">
        <v>208</v>
      </c>
      <c r="D630" s="81" t="s">
        <v>209</v>
      </c>
      <c r="E630" s="81" t="s">
        <v>211</v>
      </c>
      <c r="F630" s="80" t="s">
        <v>315</v>
      </c>
      <c r="G630" s="81" t="str">
        <f t="shared" si="231"/>
        <v>lending_Payday_payday_CAKE_sms</v>
      </c>
      <c r="H630" s="125"/>
      <c r="I630" s="144" t="s">
        <v>197</v>
      </c>
      <c r="J630" s="125">
        <f>SUM(M630:X630)</f>
        <v>138056486.67801407</v>
      </c>
      <c r="K630" s="143"/>
      <c r="L630" s="143"/>
      <c r="M630" s="143"/>
      <c r="N630" s="143"/>
      <c r="O630" s="143"/>
      <c r="P630" s="143"/>
      <c r="Q630" s="143"/>
      <c r="R630" s="143"/>
      <c r="S630" s="143"/>
      <c r="T630" s="143">
        <v>592182.37007461558</v>
      </c>
      <c r="U630" s="143">
        <v>20231296.906449497</v>
      </c>
      <c r="V630" s="143">
        <v>36220889.842875689</v>
      </c>
      <c r="W630" s="143">
        <v>41324868.378556333</v>
      </c>
      <c r="X630" s="143">
        <v>39687249.180057943</v>
      </c>
      <c r="Y630" s="70">
        <f t="shared" si="234"/>
        <v>5103978.5356806442</v>
      </c>
    </row>
    <row r="631" spans="2:25" ht="15" hidden="1" customHeight="1" thickTop="1" x14ac:dyDescent="0.2">
      <c r="B631" s="121" t="s">
        <v>243</v>
      </c>
      <c r="C631" s="207" t="s">
        <v>208</v>
      </c>
      <c r="D631" s="81" t="s">
        <v>209</v>
      </c>
      <c r="E631" s="81" t="s">
        <v>211</v>
      </c>
      <c r="F631" s="208" t="s">
        <v>316</v>
      </c>
      <c r="G631" s="207" t="str">
        <f t="shared" si="231"/>
        <v>lending_Payday_payday_CAKE_profit_before_overhead</v>
      </c>
      <c r="H631" s="125"/>
      <c r="I631" s="209" t="s">
        <v>289</v>
      </c>
      <c r="J631" s="209">
        <f t="shared" ref="J631:X631" si="244">J610-J621-J622</f>
        <v>96391651899.296036</v>
      </c>
      <c r="K631" s="209">
        <f t="shared" si="244"/>
        <v>0</v>
      </c>
      <c r="L631" s="209">
        <f t="shared" si="244"/>
        <v>0</v>
      </c>
      <c r="M631" s="209">
        <f t="shared" si="244"/>
        <v>0</v>
      </c>
      <c r="N631" s="209">
        <f t="shared" si="244"/>
        <v>0</v>
      </c>
      <c r="O631" s="209">
        <f t="shared" si="244"/>
        <v>0</v>
      </c>
      <c r="P631" s="209">
        <f t="shared" si="244"/>
        <v>0</v>
      </c>
      <c r="Q631" s="209">
        <f t="shared" si="244"/>
        <v>0</v>
      </c>
      <c r="R631" s="209">
        <f t="shared" si="244"/>
        <v>0</v>
      </c>
      <c r="S631" s="209">
        <f t="shared" si="244"/>
        <v>2962112376.7171855</v>
      </c>
      <c r="T631" s="209">
        <f t="shared" si="244"/>
        <v>9570349313.541069</v>
      </c>
      <c r="U631" s="209">
        <f t="shared" si="244"/>
        <v>14449158699.189367</v>
      </c>
      <c r="V631" s="209">
        <f t="shared" si="244"/>
        <v>21278110255.443287</v>
      </c>
      <c r="W631" s="209">
        <f t="shared" si="244"/>
        <v>21623260638.027733</v>
      </c>
      <c r="X631" s="209">
        <f t="shared" si="244"/>
        <v>26508660616.377396</v>
      </c>
      <c r="Y631" s="70">
        <f t="shared" si="234"/>
        <v>345150382.58444595</v>
      </c>
    </row>
    <row r="632" spans="2:25" ht="15" hidden="1" customHeight="1" x14ac:dyDescent="0.2">
      <c r="B632" s="121"/>
      <c r="C632" s="81"/>
      <c r="D632" s="81"/>
      <c r="E632" s="81"/>
      <c r="F632" s="80"/>
      <c r="G632" s="81"/>
      <c r="H632" s="125"/>
      <c r="I632" s="147"/>
      <c r="J632" s="147"/>
      <c r="K632" s="147"/>
      <c r="L632" s="147"/>
      <c r="M632" s="147"/>
      <c r="N632" s="147"/>
      <c r="O632" s="147"/>
      <c r="P632" s="147"/>
      <c r="Q632" s="147"/>
      <c r="R632" s="147"/>
      <c r="S632" s="147"/>
      <c r="T632" s="147"/>
      <c r="U632" s="147"/>
      <c r="V632" s="147"/>
      <c r="W632" s="147"/>
      <c r="X632" s="147"/>
      <c r="Y632" s="70"/>
    </row>
    <row r="633" spans="2:25" ht="15" hidden="1" customHeight="1" x14ac:dyDescent="0.2">
      <c r="B633" s="121" t="s">
        <v>243</v>
      </c>
      <c r="C633" s="81" t="s">
        <v>208</v>
      </c>
      <c r="D633" s="81" t="s">
        <v>209</v>
      </c>
      <c r="E633" s="81" t="s">
        <v>212</v>
      </c>
      <c r="F633" s="124"/>
      <c r="G633" s="81" t="str">
        <f t="shared" si="231"/>
        <v>lending_Payday_payday_VNPAY_</v>
      </c>
      <c r="H633" s="125"/>
      <c r="I633" s="123" t="s">
        <v>339</v>
      </c>
      <c r="J633" s="123"/>
      <c r="K633" s="123"/>
      <c r="L633" s="123"/>
      <c r="M633" s="123"/>
      <c r="N633" s="123"/>
      <c r="O633" s="123"/>
      <c r="P633" s="123"/>
      <c r="Q633" s="123"/>
      <c r="R633" s="123"/>
      <c r="S633" s="123"/>
      <c r="T633" s="123"/>
      <c r="U633" s="123"/>
      <c r="V633" s="123"/>
      <c r="W633" s="123"/>
      <c r="X633" s="123"/>
      <c r="Y633" s="70">
        <f t="shared" si="234"/>
        <v>0</v>
      </c>
    </row>
    <row r="634" spans="2:25" ht="15" hidden="1" customHeight="1" x14ac:dyDescent="0.2">
      <c r="B634" s="121" t="s">
        <v>243</v>
      </c>
      <c r="C634" s="81" t="s">
        <v>208</v>
      </c>
      <c r="D634" s="81" t="s">
        <v>209</v>
      </c>
      <c r="E634" s="81" t="s">
        <v>212</v>
      </c>
      <c r="F634" s="80" t="s">
        <v>292</v>
      </c>
      <c r="G634" s="81" t="str">
        <f t="shared" si="231"/>
        <v>lending_Payday_payday_VNPAY_new_account</v>
      </c>
      <c r="H634" s="125"/>
      <c r="I634" s="126" t="s">
        <v>245</v>
      </c>
      <c r="J634" s="125">
        <f>SUM(M634:X634)</f>
        <v>8214</v>
      </c>
      <c r="K634" s="84"/>
      <c r="L634" s="84"/>
      <c r="M634" s="175"/>
      <c r="N634" s="175"/>
      <c r="O634" s="84"/>
      <c r="P634" s="175"/>
      <c r="Q634" s="84"/>
      <c r="R634" s="175"/>
      <c r="S634" s="125">
        <v>0</v>
      </c>
      <c r="T634" s="84">
        <v>0</v>
      </c>
      <c r="U634" s="84">
        <v>309</v>
      </c>
      <c r="V634" s="84">
        <v>2661</v>
      </c>
      <c r="W634" s="84">
        <v>2593</v>
      </c>
      <c r="X634" s="84">
        <v>2651</v>
      </c>
      <c r="Y634" s="70">
        <f t="shared" si="234"/>
        <v>-68</v>
      </c>
    </row>
    <row r="635" spans="2:25" ht="15" hidden="1" customHeight="1" x14ac:dyDescent="0.2">
      <c r="B635" s="121" t="s">
        <v>243</v>
      </c>
      <c r="C635" s="81" t="s">
        <v>208</v>
      </c>
      <c r="D635" s="81" t="s">
        <v>209</v>
      </c>
      <c r="E635" s="81" t="s">
        <v>212</v>
      </c>
      <c r="F635" s="84" t="s">
        <v>246</v>
      </c>
      <c r="G635" s="81" t="str">
        <f t="shared" si="231"/>
        <v>lending_Payday_payday_VNPAY_Repeat account</v>
      </c>
      <c r="H635" s="125"/>
      <c r="I635" s="84" t="s">
        <v>246</v>
      </c>
      <c r="J635" s="125">
        <f>SUM(M635:X635)</f>
        <v>3832</v>
      </c>
      <c r="K635" s="84"/>
      <c r="L635" s="84"/>
      <c r="M635" s="84"/>
      <c r="N635" s="175"/>
      <c r="O635" s="84"/>
      <c r="P635" s="175"/>
      <c r="Q635" s="84"/>
      <c r="R635" s="175"/>
      <c r="S635" s="125">
        <v>0</v>
      </c>
      <c r="T635" s="84">
        <v>0</v>
      </c>
      <c r="U635" s="84">
        <v>15</v>
      </c>
      <c r="V635" s="82">
        <v>699</v>
      </c>
      <c r="W635" s="84">
        <v>1439</v>
      </c>
      <c r="X635" s="84">
        <v>1679</v>
      </c>
      <c r="Y635" s="70">
        <f t="shared" si="234"/>
        <v>740</v>
      </c>
    </row>
    <row r="636" spans="2:25" ht="15" hidden="1" customHeight="1" x14ac:dyDescent="0.2">
      <c r="B636" s="121" t="s">
        <v>243</v>
      </c>
      <c r="C636" s="81" t="s">
        <v>208</v>
      </c>
      <c r="D636" s="81" t="s">
        <v>209</v>
      </c>
      <c r="E636" s="81" t="s">
        <v>212</v>
      </c>
      <c r="F636" s="80" t="s">
        <v>293</v>
      </c>
      <c r="G636" s="81" t="str">
        <f t="shared" si="231"/>
        <v>lending_Payday_payday_VNPAY_active_account</v>
      </c>
      <c r="H636" s="125"/>
      <c r="I636" s="126" t="s">
        <v>247</v>
      </c>
      <c r="J636" s="125">
        <f>W636</f>
        <v>2172</v>
      </c>
      <c r="K636" s="84"/>
      <c r="L636" s="84"/>
      <c r="M636" s="84"/>
      <c r="N636" s="175"/>
      <c r="O636" s="84"/>
      <c r="P636" s="84"/>
      <c r="Q636" s="84"/>
      <c r="R636" s="175"/>
      <c r="S636" s="125">
        <v>0</v>
      </c>
      <c r="T636" s="84">
        <v>0</v>
      </c>
      <c r="U636" s="84">
        <v>277</v>
      </c>
      <c r="V636" s="84">
        <v>1771</v>
      </c>
      <c r="W636" s="84">
        <v>2172</v>
      </c>
      <c r="X636" s="84">
        <v>2451</v>
      </c>
      <c r="Y636" s="70">
        <f t="shared" si="234"/>
        <v>401</v>
      </c>
    </row>
    <row r="637" spans="2:25" ht="15" hidden="1" customHeight="1" x14ac:dyDescent="0.2">
      <c r="B637" s="121" t="s">
        <v>243</v>
      </c>
      <c r="C637" s="81" t="s">
        <v>208</v>
      </c>
      <c r="D637" s="81" t="s">
        <v>209</v>
      </c>
      <c r="E637" s="81" t="s">
        <v>212</v>
      </c>
      <c r="F637" s="80" t="s">
        <v>294</v>
      </c>
      <c r="G637" s="81" t="str">
        <f t="shared" si="231"/>
        <v>lending_Payday_payday_VNPAY_disburse/spend</v>
      </c>
      <c r="H637" s="125"/>
      <c r="I637" s="84" t="s">
        <v>191</v>
      </c>
      <c r="J637" s="125">
        <f>SUM(M637:X637)</f>
        <v>22749228000</v>
      </c>
      <c r="K637" s="125"/>
      <c r="L637" s="125"/>
      <c r="M637" s="125"/>
      <c r="N637" s="125"/>
      <c r="O637" s="84"/>
      <c r="P637" s="84"/>
      <c r="Q637" s="84"/>
      <c r="R637" s="84"/>
      <c r="S637" s="82">
        <v>0</v>
      </c>
      <c r="T637" s="84">
        <v>0</v>
      </c>
      <c r="U637" s="84">
        <v>756000000</v>
      </c>
      <c r="V637" s="84">
        <v>6445440000</v>
      </c>
      <c r="W637" s="125">
        <v>6465528000</v>
      </c>
      <c r="X637" s="125">
        <v>9082260000</v>
      </c>
      <c r="Y637" s="70">
        <f t="shared" si="234"/>
        <v>20088000</v>
      </c>
    </row>
    <row r="638" spans="2:25" ht="15" hidden="1" customHeight="1" x14ac:dyDescent="0.2">
      <c r="B638" s="121" t="s">
        <v>243</v>
      </c>
      <c r="C638" s="81" t="s">
        <v>208</v>
      </c>
      <c r="D638" s="81" t="s">
        <v>209</v>
      </c>
      <c r="E638" s="81" t="s">
        <v>212</v>
      </c>
      <c r="F638" s="124"/>
      <c r="G638" s="81" t="str">
        <f t="shared" si="231"/>
        <v>lending_Payday_payday_VNPAY_</v>
      </c>
      <c r="H638" s="125"/>
      <c r="I638" s="84" t="s">
        <v>248</v>
      </c>
      <c r="J638" s="125"/>
      <c r="K638" s="84">
        <f t="shared" ref="K638:X638" si="245">K637</f>
        <v>0</v>
      </c>
      <c r="L638" s="84">
        <f t="shared" si="245"/>
        <v>0</v>
      </c>
      <c r="M638" s="84">
        <f t="shared" si="245"/>
        <v>0</v>
      </c>
      <c r="N638" s="84">
        <f t="shared" si="245"/>
        <v>0</v>
      </c>
      <c r="O638" s="84">
        <f t="shared" si="245"/>
        <v>0</v>
      </c>
      <c r="P638" s="84">
        <f t="shared" si="245"/>
        <v>0</v>
      </c>
      <c r="Q638" s="84">
        <f t="shared" si="245"/>
        <v>0</v>
      </c>
      <c r="R638" s="84">
        <f t="shared" si="245"/>
        <v>0</v>
      </c>
      <c r="S638" s="84">
        <f t="shared" si="245"/>
        <v>0</v>
      </c>
      <c r="T638" s="84">
        <f t="shared" si="245"/>
        <v>0</v>
      </c>
      <c r="U638" s="84">
        <f t="shared" si="245"/>
        <v>756000000</v>
      </c>
      <c r="V638" s="84">
        <f t="shared" si="245"/>
        <v>6445440000</v>
      </c>
      <c r="W638" s="84">
        <f t="shared" si="245"/>
        <v>6465528000</v>
      </c>
      <c r="X638" s="84">
        <f t="shared" si="245"/>
        <v>9082260000</v>
      </c>
      <c r="Y638" s="70">
        <f t="shared" si="234"/>
        <v>20088000</v>
      </c>
    </row>
    <row r="639" spans="2:25" ht="15" hidden="1" customHeight="1" x14ac:dyDescent="0.2">
      <c r="B639" s="121" t="s">
        <v>243</v>
      </c>
      <c r="C639" s="81" t="s">
        <v>208</v>
      </c>
      <c r="D639" s="81" t="s">
        <v>209</v>
      </c>
      <c r="E639" s="81" t="s">
        <v>212</v>
      </c>
      <c r="F639" s="124"/>
      <c r="G639" s="81" t="str">
        <f t="shared" si="231"/>
        <v>lending_Payday_payday_VNPAY_</v>
      </c>
      <c r="H639" s="125"/>
      <c r="I639" s="84" t="s">
        <v>249</v>
      </c>
      <c r="J639" s="125"/>
      <c r="K639" s="125"/>
      <c r="L639" s="125"/>
      <c r="M639" s="125">
        <f>M637-M638</f>
        <v>0</v>
      </c>
      <c r="N639" s="125">
        <f>N637-N638</f>
        <v>0</v>
      </c>
      <c r="O639" s="84"/>
      <c r="P639" s="84"/>
      <c r="Q639" s="84"/>
      <c r="R639" s="125"/>
      <c r="S639" s="84">
        <f>S637*8%</f>
        <v>0</v>
      </c>
      <c r="T639" s="84"/>
      <c r="U639" s="84"/>
      <c r="V639" s="84"/>
      <c r="W639" s="125"/>
      <c r="X639" s="125"/>
      <c r="Y639" s="70">
        <f t="shared" si="234"/>
        <v>0</v>
      </c>
    </row>
    <row r="640" spans="2:25" ht="15" hidden="1" customHeight="1" x14ac:dyDescent="0.2">
      <c r="B640" s="121" t="s">
        <v>243</v>
      </c>
      <c r="C640" s="81" t="s">
        <v>208</v>
      </c>
      <c r="D640" s="81" t="s">
        <v>209</v>
      </c>
      <c r="E640" s="81" t="s">
        <v>212</v>
      </c>
      <c r="F640" s="124" t="s">
        <v>295</v>
      </c>
      <c r="G640" s="81" t="str">
        <f t="shared" si="231"/>
        <v>lending_Payday_payday_VNPAY_ENR</v>
      </c>
      <c r="H640" s="125"/>
      <c r="I640" s="84" t="s">
        <v>250</v>
      </c>
      <c r="J640" s="125">
        <f>W640</f>
        <v>5379795732</v>
      </c>
      <c r="K640" s="84"/>
      <c r="L640" s="125"/>
      <c r="M640" s="84"/>
      <c r="N640" s="84"/>
      <c r="O640" s="84"/>
      <c r="P640" s="84"/>
      <c r="Q640" s="84"/>
      <c r="R640" s="84"/>
      <c r="S640" s="125">
        <v>0</v>
      </c>
      <c r="T640" s="125">
        <v>0</v>
      </c>
      <c r="U640" s="84">
        <v>674587102</v>
      </c>
      <c r="V640" s="84">
        <v>4312758511</v>
      </c>
      <c r="W640" s="84">
        <v>5379795732</v>
      </c>
      <c r="X640" s="125">
        <v>7975887517</v>
      </c>
      <c r="Y640" s="70">
        <f t="shared" si="234"/>
        <v>1067037221</v>
      </c>
    </row>
    <row r="641" spans="2:27" ht="15" hidden="1" customHeight="1" x14ac:dyDescent="0.2">
      <c r="B641" s="121" t="s">
        <v>243</v>
      </c>
      <c r="C641" s="81" t="s">
        <v>208</v>
      </c>
      <c r="D641" s="81" t="s">
        <v>209</v>
      </c>
      <c r="E641" s="81" t="s">
        <v>212</v>
      </c>
      <c r="F641" s="124"/>
      <c r="G641" s="81" t="str">
        <f t="shared" si="231"/>
        <v>lending_Payday_payday_VNPAY_</v>
      </c>
      <c r="H641" s="125"/>
      <c r="I641" s="127" t="s">
        <v>251</v>
      </c>
      <c r="J641" s="125">
        <f>W641</f>
        <v>4913849310</v>
      </c>
      <c r="K641" s="155">
        <f t="shared" ref="K641:X641" si="246">K640-K642</f>
        <v>0</v>
      </c>
      <c r="L641" s="155">
        <f t="shared" si="246"/>
        <v>0</v>
      </c>
      <c r="M641" s="155">
        <f t="shared" si="246"/>
        <v>0</v>
      </c>
      <c r="N641" s="155">
        <f t="shared" si="246"/>
        <v>0</v>
      </c>
      <c r="O641" s="155">
        <f t="shared" si="246"/>
        <v>0</v>
      </c>
      <c r="P641" s="155">
        <f t="shared" si="246"/>
        <v>0</v>
      </c>
      <c r="Q641" s="155">
        <f t="shared" si="246"/>
        <v>0</v>
      </c>
      <c r="R641" s="155">
        <f t="shared" si="246"/>
        <v>0</v>
      </c>
      <c r="S641" s="155">
        <f t="shared" si="246"/>
        <v>0</v>
      </c>
      <c r="T641" s="155">
        <f t="shared" si="246"/>
        <v>0</v>
      </c>
      <c r="U641" s="155">
        <f t="shared" si="246"/>
        <v>674587102</v>
      </c>
      <c r="V641" s="155">
        <f t="shared" si="246"/>
        <v>4242468730</v>
      </c>
      <c r="W641" s="155">
        <f t="shared" si="246"/>
        <v>4913849310</v>
      </c>
      <c r="X641" s="155">
        <f t="shared" si="246"/>
        <v>7189051979</v>
      </c>
      <c r="Y641" s="70">
        <f t="shared" si="234"/>
        <v>671380580</v>
      </c>
    </row>
    <row r="642" spans="2:27" ht="15" hidden="1" customHeight="1" x14ac:dyDescent="0.2">
      <c r="B642" s="121" t="s">
        <v>243</v>
      </c>
      <c r="C642" s="81" t="s">
        <v>208</v>
      </c>
      <c r="D642" s="81" t="s">
        <v>209</v>
      </c>
      <c r="E642" s="81" t="s">
        <v>212</v>
      </c>
      <c r="F642" s="124"/>
      <c r="G642" s="81" t="str">
        <f t="shared" si="231"/>
        <v>lending_Payday_payday_VNPAY_</v>
      </c>
      <c r="H642" s="125"/>
      <c r="I642" s="127" t="s">
        <v>252</v>
      </c>
      <c r="J642" s="125">
        <f>U642</f>
        <v>0</v>
      </c>
      <c r="K642" s="155"/>
      <c r="L642" s="155"/>
      <c r="M642" s="155"/>
      <c r="N642" s="155"/>
      <c r="O642" s="155"/>
      <c r="P642" s="155"/>
      <c r="Q642" s="155"/>
      <c r="R642" s="155"/>
      <c r="S642" s="128"/>
      <c r="T642" s="128">
        <v>0</v>
      </c>
      <c r="U642" s="155"/>
      <c r="V642" s="155">
        <v>70289781</v>
      </c>
      <c r="W642" s="155">
        <v>465946422</v>
      </c>
      <c r="X642" s="155">
        <v>786835538</v>
      </c>
      <c r="Y642" s="70">
        <f t="shared" si="234"/>
        <v>395656641</v>
      </c>
    </row>
    <row r="643" spans="2:27" ht="15" hidden="1" customHeight="1" x14ac:dyDescent="0.2">
      <c r="B643" s="121" t="s">
        <v>243</v>
      </c>
      <c r="C643" s="81" t="s">
        <v>208</v>
      </c>
      <c r="D643" s="81" t="s">
        <v>209</v>
      </c>
      <c r="E643" s="81" t="s">
        <v>212</v>
      </c>
      <c r="F643" s="124"/>
      <c r="G643" s="81" t="str">
        <f t="shared" si="231"/>
        <v>lending_Payday_payday_VNPAY_</v>
      </c>
      <c r="H643" s="125"/>
      <c r="I643" s="126" t="s">
        <v>253</v>
      </c>
      <c r="J643" s="125">
        <f>U643</f>
        <v>0</v>
      </c>
      <c r="K643" s="155"/>
      <c r="L643" s="155"/>
      <c r="M643" s="155"/>
      <c r="N643" s="155"/>
      <c r="O643" s="155"/>
      <c r="P643" s="155"/>
      <c r="Q643" s="155"/>
      <c r="R643" s="155"/>
      <c r="S643" s="155"/>
      <c r="T643" s="155"/>
      <c r="U643" s="155"/>
      <c r="V643" s="155"/>
      <c r="W643" s="155"/>
      <c r="X643" s="155"/>
      <c r="Y643" s="70">
        <f t="shared" si="234"/>
        <v>0</v>
      </c>
    </row>
    <row r="644" spans="2:27" ht="15" hidden="1" customHeight="1" x14ac:dyDescent="0.2">
      <c r="B644" s="121" t="s">
        <v>243</v>
      </c>
      <c r="C644" s="81" t="s">
        <v>208</v>
      </c>
      <c r="D644" s="81" t="s">
        <v>209</v>
      </c>
      <c r="E644" s="81" t="s">
        <v>212</v>
      </c>
      <c r="F644" s="80" t="s">
        <v>298</v>
      </c>
      <c r="G644" s="81" t="str">
        <f t="shared" si="231"/>
        <v>lending_Payday_payday_VNPAY_overdue_balance_10d</v>
      </c>
      <c r="H644" s="125"/>
      <c r="I644" s="84" t="s">
        <v>254</v>
      </c>
      <c r="J644" s="125">
        <f>W644</f>
        <v>425452925</v>
      </c>
      <c r="K644" s="155"/>
      <c r="L644" s="155"/>
      <c r="M644" s="155"/>
      <c r="N644" s="155"/>
      <c r="O644" s="155"/>
      <c r="P644" s="155"/>
      <c r="Q644" s="84"/>
      <c r="R644" s="84"/>
      <c r="S644" s="82">
        <v>0</v>
      </c>
      <c r="T644" s="128">
        <v>0</v>
      </c>
      <c r="U644" s="155">
        <v>8640000</v>
      </c>
      <c r="V644" s="155">
        <v>56160000</v>
      </c>
      <c r="W644" s="155">
        <v>425452925</v>
      </c>
      <c r="X644" s="155"/>
      <c r="Y644" s="70">
        <f t="shared" si="234"/>
        <v>369292925</v>
      </c>
    </row>
    <row r="645" spans="2:27" ht="15" hidden="1" customHeight="1" x14ac:dyDescent="0.2">
      <c r="B645" s="121" t="s">
        <v>243</v>
      </c>
      <c r="C645" s="81" t="s">
        <v>208</v>
      </c>
      <c r="D645" s="81" t="s">
        <v>209</v>
      </c>
      <c r="E645" s="81" t="s">
        <v>212</v>
      </c>
      <c r="F645" s="80" t="s">
        <v>299</v>
      </c>
      <c r="G645" s="81" t="str">
        <f t="shared" si="231"/>
        <v>lending_Payday_payday_VNPAY_overdue_balance_90d</v>
      </c>
      <c r="H645" s="125"/>
      <c r="I645" s="84" t="s">
        <v>255</v>
      </c>
      <c r="J645" s="125">
        <f>U645</f>
        <v>0</v>
      </c>
      <c r="K645" s="84"/>
      <c r="L645" s="84"/>
      <c r="M645" s="84"/>
      <c r="N645" s="84"/>
      <c r="O645" s="84"/>
      <c r="P645" s="155"/>
      <c r="Q645" s="84"/>
      <c r="R645" s="84"/>
      <c r="S645" s="125"/>
      <c r="T645" s="84">
        <v>0</v>
      </c>
      <c r="U645" s="84"/>
      <c r="V645" s="168"/>
      <c r="W645" s="84"/>
      <c r="X645" s="84"/>
      <c r="Y645" s="70">
        <f t="shared" si="234"/>
        <v>0</v>
      </c>
    </row>
    <row r="646" spans="2:27" ht="15" hidden="1" customHeight="1" x14ac:dyDescent="0.2">
      <c r="B646" s="121" t="s">
        <v>243</v>
      </c>
      <c r="C646" s="81" t="s">
        <v>208</v>
      </c>
      <c r="D646" s="81" t="s">
        <v>209</v>
      </c>
      <c r="E646" s="81" t="s">
        <v>212</v>
      </c>
      <c r="F646" s="124"/>
      <c r="G646" s="81" t="str">
        <f t="shared" si="231"/>
        <v>lending_Payday_payday_VNPAY_</v>
      </c>
      <c r="H646" s="125"/>
      <c r="I646" s="84" t="s">
        <v>256</v>
      </c>
      <c r="J646" s="125">
        <f>W646</f>
        <v>425452925</v>
      </c>
      <c r="K646" s="155">
        <f t="shared" ref="K646:X646" si="247">K644-K645</f>
        <v>0</v>
      </c>
      <c r="L646" s="155">
        <f t="shared" si="247"/>
        <v>0</v>
      </c>
      <c r="M646" s="155">
        <f t="shared" si="247"/>
        <v>0</v>
      </c>
      <c r="N646" s="155">
        <f t="shared" si="247"/>
        <v>0</v>
      </c>
      <c r="O646" s="155">
        <f t="shared" si="247"/>
        <v>0</v>
      </c>
      <c r="P646" s="155">
        <f t="shared" si="247"/>
        <v>0</v>
      </c>
      <c r="Q646" s="155">
        <f t="shared" si="247"/>
        <v>0</v>
      </c>
      <c r="R646" s="155">
        <f t="shared" si="247"/>
        <v>0</v>
      </c>
      <c r="S646" s="155">
        <f t="shared" si="247"/>
        <v>0</v>
      </c>
      <c r="T646" s="155">
        <f t="shared" si="247"/>
        <v>0</v>
      </c>
      <c r="U646" s="155">
        <f t="shared" si="247"/>
        <v>8640000</v>
      </c>
      <c r="V646" s="155">
        <f t="shared" si="247"/>
        <v>56160000</v>
      </c>
      <c r="W646" s="155">
        <f t="shared" si="247"/>
        <v>425452925</v>
      </c>
      <c r="X646" s="155">
        <f t="shared" si="247"/>
        <v>0</v>
      </c>
      <c r="Y646" s="70">
        <f t="shared" si="234"/>
        <v>369292925</v>
      </c>
      <c r="Z646" s="70">
        <f>V646-U646</f>
        <v>47520000</v>
      </c>
    </row>
    <row r="647" spans="2:27" ht="15" hidden="1" customHeight="1" x14ac:dyDescent="0.2">
      <c r="B647" s="121" t="s">
        <v>243</v>
      </c>
      <c r="C647" s="81" t="s">
        <v>208</v>
      </c>
      <c r="D647" s="81" t="s">
        <v>209</v>
      </c>
      <c r="E647" s="81" t="s">
        <v>212</v>
      </c>
      <c r="F647" s="124"/>
      <c r="G647" s="81" t="str">
        <f t="shared" si="231"/>
        <v>lending_Payday_payday_VNPAY_</v>
      </c>
      <c r="H647" s="125"/>
      <c r="I647" s="84" t="s">
        <v>257</v>
      </c>
      <c r="J647" s="125"/>
      <c r="K647" s="177" t="e">
        <f t="shared" ref="K647:X647" si="248">K643/K640</f>
        <v>#DIV/0!</v>
      </c>
      <c r="L647" s="177" t="e">
        <f t="shared" si="248"/>
        <v>#DIV/0!</v>
      </c>
      <c r="M647" s="177" t="e">
        <f t="shared" si="248"/>
        <v>#DIV/0!</v>
      </c>
      <c r="N647" s="177" t="e">
        <f t="shared" si="248"/>
        <v>#DIV/0!</v>
      </c>
      <c r="O647" s="177" t="e">
        <f t="shared" si="248"/>
        <v>#DIV/0!</v>
      </c>
      <c r="P647" s="177" t="e">
        <f t="shared" si="248"/>
        <v>#DIV/0!</v>
      </c>
      <c r="Q647" s="177" t="e">
        <f t="shared" si="248"/>
        <v>#DIV/0!</v>
      </c>
      <c r="R647" s="177" t="e">
        <f t="shared" si="248"/>
        <v>#DIV/0!</v>
      </c>
      <c r="S647" s="177" t="e">
        <f t="shared" si="248"/>
        <v>#DIV/0!</v>
      </c>
      <c r="T647" s="177" t="e">
        <f t="shared" si="248"/>
        <v>#DIV/0!</v>
      </c>
      <c r="U647" s="177">
        <f t="shared" si="248"/>
        <v>0</v>
      </c>
      <c r="V647" s="177">
        <f t="shared" si="248"/>
        <v>0</v>
      </c>
      <c r="W647" s="177">
        <f t="shared" si="248"/>
        <v>0</v>
      </c>
      <c r="X647" s="177">
        <f t="shared" si="248"/>
        <v>0</v>
      </c>
      <c r="Y647" s="70">
        <f t="shared" si="234"/>
        <v>0</v>
      </c>
    </row>
    <row r="648" spans="2:27" ht="15" hidden="1" customHeight="1" x14ac:dyDescent="0.2">
      <c r="B648" s="121" t="s">
        <v>243</v>
      </c>
      <c r="C648" s="81" t="s">
        <v>208</v>
      </c>
      <c r="D648" s="81" t="s">
        <v>209</v>
      </c>
      <c r="E648" s="81" t="s">
        <v>212</v>
      </c>
      <c r="F648" s="80" t="s">
        <v>258</v>
      </c>
      <c r="G648" s="81" t="str">
        <f t="shared" si="231"/>
        <v>lending_Payday_payday_VNPAY_npl</v>
      </c>
      <c r="H648" s="125"/>
      <c r="I648" s="84" t="s">
        <v>259</v>
      </c>
      <c r="J648" s="125"/>
      <c r="K648" s="129" t="e">
        <f t="shared" ref="K648:X648" si="249">K645/K640</f>
        <v>#DIV/0!</v>
      </c>
      <c r="L648" s="129" t="e">
        <f t="shared" si="249"/>
        <v>#DIV/0!</v>
      </c>
      <c r="M648" s="129" t="e">
        <f t="shared" si="249"/>
        <v>#DIV/0!</v>
      </c>
      <c r="N648" s="129" t="e">
        <f t="shared" si="249"/>
        <v>#DIV/0!</v>
      </c>
      <c r="O648" s="129" t="e">
        <f t="shared" si="249"/>
        <v>#DIV/0!</v>
      </c>
      <c r="P648" s="129" t="e">
        <f t="shared" si="249"/>
        <v>#DIV/0!</v>
      </c>
      <c r="Q648" s="129" t="e">
        <f t="shared" si="249"/>
        <v>#DIV/0!</v>
      </c>
      <c r="R648" s="129" t="e">
        <f t="shared" si="249"/>
        <v>#DIV/0!</v>
      </c>
      <c r="S648" s="129" t="e">
        <f t="shared" si="249"/>
        <v>#DIV/0!</v>
      </c>
      <c r="T648" s="129" t="e">
        <f t="shared" si="249"/>
        <v>#DIV/0!</v>
      </c>
      <c r="U648" s="129">
        <f t="shared" si="249"/>
        <v>0</v>
      </c>
      <c r="V648" s="129">
        <f t="shared" si="249"/>
        <v>0</v>
      </c>
      <c r="W648" s="129">
        <f t="shared" si="249"/>
        <v>0</v>
      </c>
      <c r="X648" s="129">
        <f t="shared" si="249"/>
        <v>0</v>
      </c>
      <c r="Y648" s="70">
        <f t="shared" si="234"/>
        <v>0</v>
      </c>
    </row>
    <row r="649" spans="2:27" ht="15" hidden="1" customHeight="1" x14ac:dyDescent="0.2">
      <c r="B649" s="121" t="s">
        <v>243</v>
      </c>
      <c r="C649" s="81" t="s">
        <v>208</v>
      </c>
      <c r="D649" s="81" t="s">
        <v>209</v>
      </c>
      <c r="E649" s="81" t="s">
        <v>212</v>
      </c>
      <c r="F649" s="80" t="s">
        <v>260</v>
      </c>
      <c r="G649" s="81" t="str">
        <f t="shared" si="231"/>
        <v>lending_Payday_payday_VNPAY_TOI</v>
      </c>
      <c r="H649" s="125"/>
      <c r="I649" s="130" t="s">
        <v>260</v>
      </c>
      <c r="J649" s="131">
        <f t="shared" ref="J649:X649" si="250">J650+J655+J659</f>
        <v>1971561043</v>
      </c>
      <c r="K649" s="131">
        <f t="shared" si="250"/>
        <v>0</v>
      </c>
      <c r="L649" s="131">
        <f t="shared" si="250"/>
        <v>0</v>
      </c>
      <c r="M649" s="131">
        <f t="shared" si="250"/>
        <v>0</v>
      </c>
      <c r="N649" s="131">
        <f t="shared" si="250"/>
        <v>0</v>
      </c>
      <c r="O649" s="131">
        <f t="shared" si="250"/>
        <v>0</v>
      </c>
      <c r="P649" s="131">
        <f t="shared" si="250"/>
        <v>0</v>
      </c>
      <c r="Q649" s="131">
        <f t="shared" si="250"/>
        <v>0</v>
      </c>
      <c r="R649" s="131">
        <f t="shared" si="250"/>
        <v>0</v>
      </c>
      <c r="S649" s="131">
        <f t="shared" si="250"/>
        <v>0</v>
      </c>
      <c r="T649" s="131">
        <f t="shared" si="250"/>
        <v>0</v>
      </c>
      <c r="U649" s="131">
        <f t="shared" si="250"/>
        <v>47594617</v>
      </c>
      <c r="V649" s="131">
        <f t="shared" si="250"/>
        <v>527425447</v>
      </c>
      <c r="W649" s="131">
        <f t="shared" si="250"/>
        <v>589093988</v>
      </c>
      <c r="X649" s="131">
        <f t="shared" si="250"/>
        <v>807446991</v>
      </c>
      <c r="Y649" s="70">
        <f t="shared" si="234"/>
        <v>61668541</v>
      </c>
    </row>
    <row r="650" spans="2:27" ht="15" hidden="1" customHeight="1" x14ac:dyDescent="0.2">
      <c r="B650" s="121" t="s">
        <v>243</v>
      </c>
      <c r="C650" s="81" t="s">
        <v>208</v>
      </c>
      <c r="D650" s="81" t="s">
        <v>209</v>
      </c>
      <c r="E650" s="81" t="s">
        <v>212</v>
      </c>
      <c r="F650" s="80" t="s">
        <v>300</v>
      </c>
      <c r="G650" s="81" t="str">
        <f t="shared" si="231"/>
        <v>lending_Payday_payday_VNPAY_NII</v>
      </c>
      <c r="H650" s="125"/>
      <c r="I650" s="132" t="s">
        <v>261</v>
      </c>
      <c r="J650" s="131">
        <f t="shared" ref="J650:X650" si="251">J651-J654</f>
        <v>550243015</v>
      </c>
      <c r="K650" s="131">
        <f t="shared" si="251"/>
        <v>0</v>
      </c>
      <c r="L650" s="131">
        <f t="shared" si="251"/>
        <v>0</v>
      </c>
      <c r="M650" s="131">
        <f t="shared" si="251"/>
        <v>0</v>
      </c>
      <c r="N650" s="131">
        <f t="shared" si="251"/>
        <v>0</v>
      </c>
      <c r="O650" s="131">
        <f t="shared" si="251"/>
        <v>0</v>
      </c>
      <c r="P650" s="131">
        <f t="shared" si="251"/>
        <v>0</v>
      </c>
      <c r="Q650" s="131">
        <f t="shared" si="251"/>
        <v>0</v>
      </c>
      <c r="R650" s="131">
        <f t="shared" si="251"/>
        <v>0</v>
      </c>
      <c r="S650" s="131">
        <f t="shared" si="251"/>
        <v>0</v>
      </c>
      <c r="T650" s="131">
        <f t="shared" si="251"/>
        <v>0</v>
      </c>
      <c r="U650" s="131">
        <f t="shared" si="251"/>
        <v>2226425</v>
      </c>
      <c r="V650" s="131">
        <f t="shared" si="251"/>
        <v>127308221</v>
      </c>
      <c r="W650" s="131">
        <f t="shared" si="251"/>
        <v>183295230</v>
      </c>
      <c r="X650" s="131">
        <f t="shared" si="251"/>
        <v>237413139</v>
      </c>
      <c r="Y650" s="70">
        <f t="shared" si="234"/>
        <v>55987009</v>
      </c>
    </row>
    <row r="651" spans="2:27" ht="15" hidden="1" customHeight="1" x14ac:dyDescent="0.2">
      <c r="B651" s="121" t="s">
        <v>243</v>
      </c>
      <c r="C651" s="81" t="s">
        <v>208</v>
      </c>
      <c r="D651" s="81" t="s">
        <v>209</v>
      </c>
      <c r="E651" s="81" t="s">
        <v>212</v>
      </c>
      <c r="F651" s="80" t="s">
        <v>301</v>
      </c>
      <c r="G651" s="81" t="str">
        <f t="shared" si="231"/>
        <v>lending_Payday_payday_VNPAY_CII</v>
      </c>
      <c r="H651" s="125"/>
      <c r="I651" s="134" t="s">
        <v>262</v>
      </c>
      <c r="J651" s="125">
        <f>SUM(M651:X651)</f>
        <v>614971051</v>
      </c>
      <c r="K651" s="125">
        <f>K652+J653-K653</f>
        <v>0</v>
      </c>
      <c r="L651" s="125">
        <f>L652+K653-L653</f>
        <v>0</v>
      </c>
      <c r="M651" s="84"/>
      <c r="N651" s="84"/>
      <c r="O651" s="125">
        <f t="shared" ref="O651:U651" si="252">O652-O653</f>
        <v>0</v>
      </c>
      <c r="P651" s="125">
        <f t="shared" si="252"/>
        <v>0</v>
      </c>
      <c r="Q651" s="125">
        <f t="shared" si="252"/>
        <v>0</v>
      </c>
      <c r="R651" s="125">
        <f t="shared" si="252"/>
        <v>0</v>
      </c>
      <c r="S651" s="125">
        <f t="shared" si="252"/>
        <v>0</v>
      </c>
      <c r="T651" s="125">
        <f t="shared" si="252"/>
        <v>0</v>
      </c>
      <c r="U651" s="125">
        <f t="shared" si="252"/>
        <v>2307342</v>
      </c>
      <c r="V651" s="125">
        <f>V652-V653+U653</f>
        <v>139311019</v>
      </c>
      <c r="W651" s="125">
        <f>W652-W653+V653</f>
        <v>204534691</v>
      </c>
      <c r="X651" s="125">
        <f>X652-X653+W653</f>
        <v>268817999</v>
      </c>
      <c r="Y651" s="70">
        <f t="shared" si="234"/>
        <v>65223672</v>
      </c>
    </row>
    <row r="652" spans="2:27" ht="15" hidden="1" customHeight="1" x14ac:dyDescent="0.2">
      <c r="B652" s="121" t="s">
        <v>243</v>
      </c>
      <c r="C652" s="81" t="s">
        <v>208</v>
      </c>
      <c r="D652" s="81" t="s">
        <v>209</v>
      </c>
      <c r="E652" s="81" t="s">
        <v>212</v>
      </c>
      <c r="F652" s="80"/>
      <c r="G652" s="81" t="str">
        <f t="shared" si="231"/>
        <v>lending_Payday_payday_VNPAY_</v>
      </c>
      <c r="H652" s="125"/>
      <c r="I652" s="201" t="s">
        <v>263</v>
      </c>
      <c r="J652" s="136">
        <f>SUM(M652:X652)</f>
        <v>624624961</v>
      </c>
      <c r="K652" s="202"/>
      <c r="L652" s="202"/>
      <c r="M652" s="139"/>
      <c r="N652" s="139"/>
      <c r="O652" s="139"/>
      <c r="P652" s="139"/>
      <c r="Q652" s="139"/>
      <c r="R652" s="137"/>
      <c r="S652" s="125">
        <v>0</v>
      </c>
      <c r="T652" s="125">
        <v>0</v>
      </c>
      <c r="U652" s="125">
        <v>2307342</v>
      </c>
      <c r="V652" s="125">
        <v>141655360</v>
      </c>
      <c r="W652" s="125">
        <v>209418312</v>
      </c>
      <c r="X652" s="125">
        <v>271243947</v>
      </c>
      <c r="Y652" s="70">
        <f t="shared" si="234"/>
        <v>67762952</v>
      </c>
    </row>
    <row r="653" spans="2:27" ht="15" hidden="1" customHeight="1" x14ac:dyDescent="0.2">
      <c r="B653" s="121" t="s">
        <v>243</v>
      </c>
      <c r="C653" s="81" t="s">
        <v>208</v>
      </c>
      <c r="D653" s="81" t="s">
        <v>209</v>
      </c>
      <c r="E653" s="81" t="s">
        <v>212</v>
      </c>
      <c r="F653" s="124"/>
      <c r="G653" s="81" t="str">
        <f t="shared" si="231"/>
        <v>lending_Payday_payday_VNPAY_</v>
      </c>
      <c r="H653" s="125"/>
      <c r="I653" s="201" t="s">
        <v>264</v>
      </c>
      <c r="J653" s="136"/>
      <c r="K653" s="203"/>
      <c r="L653" s="203"/>
      <c r="M653" s="139"/>
      <c r="N653" s="139"/>
      <c r="O653" s="139"/>
      <c r="P653" s="139"/>
      <c r="Q653" s="139"/>
      <c r="R653" s="139"/>
      <c r="S653" s="125">
        <v>0</v>
      </c>
      <c r="T653" s="125">
        <v>0</v>
      </c>
      <c r="U653" s="203"/>
      <c r="V653" s="125">
        <v>2344341</v>
      </c>
      <c r="W653" s="125">
        <v>7227962</v>
      </c>
      <c r="X653" s="125">
        <v>9653910</v>
      </c>
      <c r="Y653" s="70">
        <f t="shared" si="234"/>
        <v>4883621</v>
      </c>
      <c r="Z653" s="70"/>
      <c r="AA653" s="70"/>
    </row>
    <row r="654" spans="2:27" ht="15" hidden="1" customHeight="1" x14ac:dyDescent="0.2">
      <c r="B654" s="121" t="s">
        <v>243</v>
      </c>
      <c r="C654" s="81" t="s">
        <v>208</v>
      </c>
      <c r="D654" s="81" t="s">
        <v>209</v>
      </c>
      <c r="E654" s="81" t="s">
        <v>212</v>
      </c>
      <c r="F654" s="80" t="s">
        <v>62</v>
      </c>
      <c r="G654" s="81" t="str">
        <f t="shared" si="231"/>
        <v>lending_Payday_payday_VNPAY_COF</v>
      </c>
      <c r="H654" s="125"/>
      <c r="I654" s="134" t="s">
        <v>62</v>
      </c>
      <c r="J654" s="125">
        <f>SUM(M654:X654)</f>
        <v>64728036</v>
      </c>
      <c r="K654" s="154"/>
      <c r="L654" s="154"/>
      <c r="M654" s="84"/>
      <c r="N654" s="84"/>
      <c r="O654" s="84"/>
      <c r="P654" s="84"/>
      <c r="Q654" s="84"/>
      <c r="R654" s="84"/>
      <c r="S654" s="125">
        <v>0</v>
      </c>
      <c r="T654" s="125">
        <v>0</v>
      </c>
      <c r="U654" s="125">
        <v>80917</v>
      </c>
      <c r="V654" s="64">
        <v>12002798</v>
      </c>
      <c r="W654" s="154">
        <v>21239461</v>
      </c>
      <c r="X654" s="154">
        <v>31404860</v>
      </c>
      <c r="Y654" s="70">
        <f t="shared" si="234"/>
        <v>9236663</v>
      </c>
    </row>
    <row r="655" spans="2:27" ht="15" hidden="1" customHeight="1" x14ac:dyDescent="0.2">
      <c r="B655" s="121" t="s">
        <v>243</v>
      </c>
      <c r="C655" s="81" t="s">
        <v>208</v>
      </c>
      <c r="D655" s="81" t="s">
        <v>209</v>
      </c>
      <c r="E655" s="81" t="s">
        <v>212</v>
      </c>
      <c r="F655" s="80" t="s">
        <v>302</v>
      </c>
      <c r="G655" s="81" t="str">
        <f t="shared" si="231"/>
        <v>lending_Payday_payday_VNPAY_NFI</v>
      </c>
      <c r="H655" s="125"/>
      <c r="I655" s="132" t="s">
        <v>265</v>
      </c>
      <c r="J655" s="131">
        <f t="shared" ref="J655:X655" si="253">SUM(J656:J658)</f>
        <v>1421318028</v>
      </c>
      <c r="K655" s="131">
        <f t="shared" si="253"/>
        <v>0</v>
      </c>
      <c r="L655" s="131">
        <f t="shared" si="253"/>
        <v>0</v>
      </c>
      <c r="M655" s="131">
        <f t="shared" si="253"/>
        <v>0</v>
      </c>
      <c r="N655" s="131">
        <f t="shared" si="253"/>
        <v>0</v>
      </c>
      <c r="O655" s="131">
        <f t="shared" si="253"/>
        <v>0</v>
      </c>
      <c r="P655" s="131">
        <f t="shared" si="253"/>
        <v>0</v>
      </c>
      <c r="Q655" s="131">
        <f t="shared" si="253"/>
        <v>0</v>
      </c>
      <c r="R655" s="131">
        <f t="shared" si="253"/>
        <v>0</v>
      </c>
      <c r="S655" s="131">
        <f t="shared" si="253"/>
        <v>0</v>
      </c>
      <c r="T655" s="131">
        <f t="shared" si="253"/>
        <v>0</v>
      </c>
      <c r="U655" s="131">
        <f t="shared" si="253"/>
        <v>45368192</v>
      </c>
      <c r="V655" s="131">
        <f t="shared" si="253"/>
        <v>400117226</v>
      </c>
      <c r="W655" s="131">
        <f t="shared" si="253"/>
        <v>405798758</v>
      </c>
      <c r="X655" s="131">
        <f t="shared" si="253"/>
        <v>570033852</v>
      </c>
      <c r="Y655" s="70">
        <f t="shared" si="234"/>
        <v>5681532</v>
      </c>
    </row>
    <row r="656" spans="2:27" ht="15" hidden="1" customHeight="1" x14ac:dyDescent="0.2">
      <c r="B656" s="121" t="s">
        <v>243</v>
      </c>
      <c r="C656" s="81" t="s">
        <v>208</v>
      </c>
      <c r="D656" s="81" t="s">
        <v>209</v>
      </c>
      <c r="E656" s="81" t="s">
        <v>212</v>
      </c>
      <c r="F656" s="80" t="s">
        <v>303</v>
      </c>
      <c r="G656" s="81" t="str">
        <f t="shared" si="231"/>
        <v>lending_Payday_payday_VNPAY_insurance_fee</v>
      </c>
      <c r="H656" s="125"/>
      <c r="I656" s="134" t="s">
        <v>266</v>
      </c>
      <c r="J656" s="125">
        <f>SUM(M656:X656)</f>
        <v>1421318028</v>
      </c>
      <c r="K656" s="64"/>
      <c r="L656" s="64"/>
      <c r="M656" s="64"/>
      <c r="N656" s="64"/>
      <c r="O656" s="64"/>
      <c r="P656" s="64"/>
      <c r="Q656" s="64"/>
      <c r="R656" s="64"/>
      <c r="S656" s="82">
        <v>0</v>
      </c>
      <c r="T656" s="64">
        <v>0</v>
      </c>
      <c r="U656" s="82">
        <v>45368192</v>
      </c>
      <c r="V656" s="82">
        <v>400117226</v>
      </c>
      <c r="W656" s="64">
        <v>405798758</v>
      </c>
      <c r="X656" s="64">
        <v>570033852</v>
      </c>
      <c r="Y656" s="70">
        <f t="shared" si="234"/>
        <v>5681532</v>
      </c>
    </row>
    <row r="657" spans="1:25" ht="15" hidden="1" customHeight="1" x14ac:dyDescent="0.2">
      <c r="B657" s="121" t="s">
        <v>243</v>
      </c>
      <c r="C657" s="81" t="s">
        <v>208</v>
      </c>
      <c r="D657" s="81" t="s">
        <v>209</v>
      </c>
      <c r="E657" s="81" t="s">
        <v>212</v>
      </c>
      <c r="F657" s="80" t="s">
        <v>304</v>
      </c>
      <c r="G657" s="81" t="str">
        <f t="shared" si="231"/>
        <v>lending_Payday_payday_VNPAY_early_terminate_fee</v>
      </c>
      <c r="H657" s="125"/>
      <c r="I657" s="134" t="s">
        <v>267</v>
      </c>
      <c r="J657" s="125">
        <f>SUM(M657:X657)</f>
        <v>0</v>
      </c>
      <c r="K657" s="136"/>
      <c r="L657" s="64"/>
      <c r="M657" s="162"/>
      <c r="N657" s="162"/>
      <c r="O657" s="162"/>
      <c r="P657" s="162"/>
      <c r="Q657" s="162"/>
      <c r="R657" s="136"/>
      <c r="S657" s="164"/>
      <c r="T657" s="136"/>
      <c r="U657" s="136"/>
      <c r="V657" s="136"/>
      <c r="W657" s="136"/>
      <c r="X657" s="64"/>
      <c r="Y657" s="70">
        <f t="shared" si="234"/>
        <v>0</v>
      </c>
    </row>
    <row r="658" spans="1:25" ht="15" hidden="1" customHeight="1" x14ac:dyDescent="0.2">
      <c r="B658" s="121" t="s">
        <v>243</v>
      </c>
      <c r="C658" s="81" t="s">
        <v>208</v>
      </c>
      <c r="D658" s="81" t="s">
        <v>209</v>
      </c>
      <c r="E658" s="81" t="s">
        <v>212</v>
      </c>
      <c r="F658" s="80" t="s">
        <v>305</v>
      </c>
      <c r="G658" s="81" t="str">
        <f t="shared" ref="G658:G708" si="254">B658&amp;"_"&amp;C658&amp;"_"&amp;D658&amp;"_"&amp;E658&amp;"_"&amp;F658</f>
        <v>lending_Payday_payday_VNPAY_loan_grant_fee</v>
      </c>
      <c r="H658" s="125"/>
      <c r="I658" s="134" t="s">
        <v>187</v>
      </c>
      <c r="J658" s="125">
        <f>SUM(M658:X658)</f>
        <v>0</v>
      </c>
      <c r="K658" s="136"/>
      <c r="L658" s="136"/>
      <c r="M658" s="162"/>
      <c r="N658" s="162"/>
      <c r="O658" s="162"/>
      <c r="P658" s="162"/>
      <c r="Q658" s="162"/>
      <c r="R658" s="136"/>
      <c r="S658" s="164"/>
      <c r="T658" s="136"/>
      <c r="U658" s="136"/>
      <c r="V658" s="136"/>
      <c r="W658" s="136"/>
      <c r="X658" s="136"/>
      <c r="Y658" s="70">
        <f t="shared" si="234"/>
        <v>0</v>
      </c>
    </row>
    <row r="659" spans="1:25" ht="15" hidden="1" customHeight="1" x14ac:dyDescent="0.2">
      <c r="A659" s="54"/>
      <c r="B659" s="121" t="s">
        <v>243</v>
      </c>
      <c r="C659" s="138" t="s">
        <v>208</v>
      </c>
      <c r="D659" s="81" t="s">
        <v>209</v>
      </c>
      <c r="E659" s="81" t="s">
        <v>212</v>
      </c>
      <c r="F659" s="80" t="s">
        <v>306</v>
      </c>
      <c r="G659" s="138" t="str">
        <f t="shared" si="254"/>
        <v>lending_Payday_payday_VNPAY_other_TOI</v>
      </c>
      <c r="H659" s="125"/>
      <c r="I659" s="132" t="s">
        <v>269</v>
      </c>
      <c r="J659" s="131">
        <f>SUM(M659:X659)</f>
        <v>0</v>
      </c>
      <c r="K659" s="178"/>
      <c r="L659" s="178"/>
      <c r="M659" s="179"/>
      <c r="N659" s="179"/>
      <c r="O659" s="179"/>
      <c r="P659" s="179"/>
      <c r="Q659" s="179"/>
      <c r="R659" s="178"/>
      <c r="S659" s="210"/>
      <c r="T659" s="178"/>
      <c r="U659" s="178"/>
      <c r="V659" s="178"/>
      <c r="W659" s="178"/>
      <c r="X659" s="178"/>
      <c r="Y659" s="70">
        <f t="shared" si="234"/>
        <v>0</v>
      </c>
    </row>
    <row r="660" spans="1:25" ht="15" hidden="1" customHeight="1" x14ac:dyDescent="0.2">
      <c r="B660" s="121" t="s">
        <v>243</v>
      </c>
      <c r="C660" s="81" t="s">
        <v>208</v>
      </c>
      <c r="D660" s="81" t="s">
        <v>209</v>
      </c>
      <c r="E660" s="81" t="s">
        <v>212</v>
      </c>
      <c r="F660" s="80" t="s">
        <v>307</v>
      </c>
      <c r="G660" s="81" t="str">
        <f t="shared" si="254"/>
        <v>lending_Payday_payday_VNPAY_provision</v>
      </c>
      <c r="H660" s="125"/>
      <c r="I660" s="140" t="s">
        <v>270</v>
      </c>
      <c r="J660" s="131">
        <f>SUM(M660:X660)</f>
        <v>99779597</v>
      </c>
      <c r="K660" s="168"/>
      <c r="L660" s="168"/>
      <c r="M660" s="168"/>
      <c r="N660" s="168"/>
      <c r="O660" s="168"/>
      <c r="P660" s="140"/>
      <c r="Q660" s="204"/>
      <c r="R660" s="204"/>
      <c r="S660" s="205">
        <v>0</v>
      </c>
      <c r="T660" s="168">
        <v>0</v>
      </c>
      <c r="U660" s="168">
        <f>5059403+432000</f>
        <v>5491403</v>
      </c>
      <c r="V660" s="206">
        <v>29662284</v>
      </c>
      <c r="W660" s="168">
        <v>26467428</v>
      </c>
      <c r="X660" s="168">
        <v>38158482</v>
      </c>
      <c r="Y660" s="70">
        <f t="shared" si="234"/>
        <v>-3194856</v>
      </c>
    </row>
    <row r="661" spans="1:25" ht="15" hidden="1" customHeight="1" x14ac:dyDescent="0.2">
      <c r="B661" s="121" t="s">
        <v>243</v>
      </c>
      <c r="C661" s="81" t="s">
        <v>208</v>
      </c>
      <c r="D661" s="81" t="s">
        <v>209</v>
      </c>
      <c r="E661" s="81" t="s">
        <v>212</v>
      </c>
      <c r="F661" s="80" t="s">
        <v>308</v>
      </c>
      <c r="G661" s="81" t="str">
        <f t="shared" si="254"/>
        <v>lending_Payday_payday_VNPAY_variable_cost</v>
      </c>
      <c r="H661" s="125"/>
      <c r="I661" s="140" t="s">
        <v>271</v>
      </c>
      <c r="J661" s="131">
        <f t="shared" ref="J661:X661" si="255">SUM(J662:J669)</f>
        <v>305041254.46291971</v>
      </c>
      <c r="K661" s="131">
        <f t="shared" si="255"/>
        <v>0</v>
      </c>
      <c r="L661" s="131">
        <f t="shared" si="255"/>
        <v>0</v>
      </c>
      <c r="M661" s="131">
        <f t="shared" si="255"/>
        <v>0</v>
      </c>
      <c r="N661" s="131">
        <f t="shared" si="255"/>
        <v>0</v>
      </c>
      <c r="O661" s="131">
        <f t="shared" si="255"/>
        <v>0</v>
      </c>
      <c r="P661" s="131">
        <f t="shared" si="255"/>
        <v>0</v>
      </c>
      <c r="Q661" s="131">
        <f t="shared" si="255"/>
        <v>0</v>
      </c>
      <c r="R661" s="131">
        <f t="shared" si="255"/>
        <v>0</v>
      </c>
      <c r="S661" s="131">
        <f t="shared" si="255"/>
        <v>0</v>
      </c>
      <c r="T661" s="131">
        <f t="shared" si="255"/>
        <v>0</v>
      </c>
      <c r="U661" s="131">
        <f t="shared" si="255"/>
        <v>11118382.878142534</v>
      </c>
      <c r="V661" s="131">
        <f t="shared" si="255"/>
        <v>88584298.709126517</v>
      </c>
      <c r="W661" s="131">
        <f t="shared" si="255"/>
        <v>88972670.318425566</v>
      </c>
      <c r="X661" s="131">
        <f t="shared" si="255"/>
        <v>116365902.55722509</v>
      </c>
      <c r="Y661" s="70">
        <f t="shared" si="234"/>
        <v>388371.60929904878</v>
      </c>
    </row>
    <row r="662" spans="1:25" ht="15" hidden="1" customHeight="1" x14ac:dyDescent="0.2">
      <c r="B662" s="121" t="s">
        <v>243</v>
      </c>
      <c r="C662" s="81" t="s">
        <v>208</v>
      </c>
      <c r="D662" s="81" t="s">
        <v>209</v>
      </c>
      <c r="E662" s="81" t="s">
        <v>212</v>
      </c>
      <c r="F662" s="80" t="s">
        <v>198</v>
      </c>
      <c r="G662" s="81" t="str">
        <f t="shared" si="254"/>
        <v>lending_Payday_payday_VNPAY_marketing_acquisition_cost</v>
      </c>
      <c r="H662" s="125"/>
      <c r="I662" s="142" t="s">
        <v>272</v>
      </c>
      <c r="J662" s="125">
        <f t="shared" ref="J662:J667" si="256">SUM(M662:X662)</f>
        <v>0</v>
      </c>
      <c r="K662" s="122"/>
      <c r="L662" s="122"/>
      <c r="M662" s="84"/>
      <c r="N662" s="84"/>
      <c r="O662" s="84"/>
      <c r="P662" s="122"/>
      <c r="Q662" s="84"/>
      <c r="R662" s="122"/>
      <c r="S662" s="82">
        <v>0</v>
      </c>
      <c r="T662" s="125">
        <v>0</v>
      </c>
      <c r="U662" s="125"/>
      <c r="V662" s="122"/>
      <c r="W662" s="122"/>
      <c r="X662" s="122"/>
      <c r="Y662" s="70">
        <f t="shared" si="234"/>
        <v>0</v>
      </c>
    </row>
    <row r="663" spans="1:25" ht="15" hidden="1" customHeight="1" x14ac:dyDescent="0.2">
      <c r="B663" s="121" t="s">
        <v>243</v>
      </c>
      <c r="C663" s="81" t="s">
        <v>208</v>
      </c>
      <c r="D663" s="81" t="s">
        <v>209</v>
      </c>
      <c r="E663" s="81" t="s">
        <v>212</v>
      </c>
      <c r="F663" s="80" t="s">
        <v>309</v>
      </c>
      <c r="G663" s="81" t="str">
        <f t="shared" si="254"/>
        <v>lending_Payday_payday_VNPAY_partner_acquisition_cost</v>
      </c>
      <c r="H663" s="125"/>
      <c r="I663" s="142" t="s">
        <v>202</v>
      </c>
      <c r="J663" s="125">
        <f t="shared" si="256"/>
        <v>210641000</v>
      </c>
      <c r="K663" s="153"/>
      <c r="L663" s="84"/>
      <c r="M663" s="84"/>
      <c r="N663" s="84"/>
      <c r="O663" s="84"/>
      <c r="P663" s="84"/>
      <c r="Q663" s="84"/>
      <c r="R663" s="140"/>
      <c r="S663" s="140"/>
      <c r="T663" s="140"/>
      <c r="U663" s="82">
        <v>7000000</v>
      </c>
      <c r="V663" s="82">
        <v>59680000</v>
      </c>
      <c r="W663" s="82">
        <v>59866000</v>
      </c>
      <c r="X663" s="82">
        <v>84095000</v>
      </c>
      <c r="Y663" s="70">
        <f t="shared" si="234"/>
        <v>186000</v>
      </c>
    </row>
    <row r="664" spans="1:25" ht="15" hidden="1" customHeight="1" x14ac:dyDescent="0.2">
      <c r="B664" s="121" t="s">
        <v>243</v>
      </c>
      <c r="C664" s="81" t="s">
        <v>208</v>
      </c>
      <c r="D664" s="81" t="s">
        <v>209</v>
      </c>
      <c r="E664" s="81" t="s">
        <v>212</v>
      </c>
      <c r="F664" s="80" t="s">
        <v>310</v>
      </c>
      <c r="G664" s="81" t="str">
        <f t="shared" si="254"/>
        <v>lending_Payday_payday_VNPAY_underwritting</v>
      </c>
      <c r="H664" s="125"/>
      <c r="I664" s="142" t="s">
        <v>273</v>
      </c>
      <c r="J664" s="125">
        <f t="shared" si="256"/>
        <v>61109556.648638465</v>
      </c>
      <c r="K664" s="125"/>
      <c r="L664" s="125"/>
      <c r="M664" s="84">
        <v>0</v>
      </c>
      <c r="N664" s="84">
        <v>0</v>
      </c>
      <c r="O664" s="84">
        <v>0</v>
      </c>
      <c r="P664" s="84">
        <v>0</v>
      </c>
      <c r="Q664" s="84">
        <v>0</v>
      </c>
      <c r="R664" s="125">
        <v>0</v>
      </c>
      <c r="S664" s="125">
        <v>0</v>
      </c>
      <c r="T664" s="125">
        <v>0</v>
      </c>
      <c r="U664" s="125">
        <v>3499997.6709106308</v>
      </c>
      <c r="V664" s="125">
        <v>22666890.4315002</v>
      </c>
      <c r="W664" s="125">
        <v>16523226.401307</v>
      </c>
      <c r="X664" s="125">
        <v>18419442.144920632</v>
      </c>
      <c r="Y664" s="70">
        <f t="shared" si="234"/>
        <v>-6143664.0301932003</v>
      </c>
    </row>
    <row r="665" spans="1:25" ht="15" hidden="1" customHeight="1" x14ac:dyDescent="0.2">
      <c r="B665" s="121" t="s">
        <v>243</v>
      </c>
      <c r="C665" s="81" t="s">
        <v>208</v>
      </c>
      <c r="D665" s="81" t="s">
        <v>209</v>
      </c>
      <c r="E665" s="81" t="s">
        <v>212</v>
      </c>
      <c r="F665" s="80" t="s">
        <v>311</v>
      </c>
      <c r="G665" s="81" t="str">
        <f t="shared" si="254"/>
        <v>lending_Payday_payday_VNPAY_e_contract</v>
      </c>
      <c r="H665" s="125"/>
      <c r="I665" s="142" t="s">
        <v>274</v>
      </c>
      <c r="J665" s="125">
        <f t="shared" si="256"/>
        <v>5912923</v>
      </c>
      <c r="K665" s="125"/>
      <c r="L665" s="125"/>
      <c r="M665" s="84"/>
      <c r="N665" s="84"/>
      <c r="O665" s="84"/>
      <c r="P665" s="84"/>
      <c r="Q665" s="84"/>
      <c r="R665" s="143"/>
      <c r="S665" s="125">
        <v>0</v>
      </c>
      <c r="T665" s="125">
        <v>0</v>
      </c>
      <c r="U665" s="125">
        <v>213585</v>
      </c>
      <c r="V665" s="125">
        <v>1894289</v>
      </c>
      <c r="W665" s="125">
        <v>1851420</v>
      </c>
      <c r="X665" s="125">
        <v>1953629</v>
      </c>
      <c r="Y665" s="70">
        <f t="shared" si="234"/>
        <v>-42869</v>
      </c>
    </row>
    <row r="666" spans="1:25" ht="15" hidden="1" customHeight="1" x14ac:dyDescent="0.2">
      <c r="B666" s="121" t="s">
        <v>243</v>
      </c>
      <c r="C666" s="81" t="s">
        <v>208</v>
      </c>
      <c r="D666" s="81" t="s">
        <v>209</v>
      </c>
      <c r="E666" s="81" t="s">
        <v>212</v>
      </c>
      <c r="F666" s="80" t="s">
        <v>312</v>
      </c>
      <c r="G666" s="81" t="str">
        <f t="shared" si="254"/>
        <v>lending_Payday_payday_VNPAY_nfc</v>
      </c>
      <c r="H666" s="125"/>
      <c r="I666" s="142" t="s">
        <v>275</v>
      </c>
      <c r="J666" s="125">
        <f t="shared" si="256"/>
        <v>2345721.8173776567</v>
      </c>
      <c r="K666" s="125"/>
      <c r="L666" s="125"/>
      <c r="M666" s="84"/>
      <c r="N666" s="84"/>
      <c r="O666" s="84"/>
      <c r="P666" s="84"/>
      <c r="Q666" s="84"/>
      <c r="R666" s="84"/>
      <c r="S666" s="84">
        <v>0</v>
      </c>
      <c r="T666" s="125">
        <v>0</v>
      </c>
      <c r="U666" s="125">
        <v>89950.207231903929</v>
      </c>
      <c r="V666" s="125">
        <v>718349.06955415953</v>
      </c>
      <c r="W666" s="125">
        <v>708006.94057085214</v>
      </c>
      <c r="X666" s="125">
        <v>829415.60002074123</v>
      </c>
      <c r="Y666" s="70">
        <f t="shared" si="234"/>
        <v>-10342.128983307397</v>
      </c>
    </row>
    <row r="667" spans="1:25" ht="15" hidden="1" customHeight="1" x14ac:dyDescent="0.2">
      <c r="B667" s="121" t="s">
        <v>243</v>
      </c>
      <c r="C667" s="81" t="s">
        <v>208</v>
      </c>
      <c r="D667" s="81" t="s">
        <v>209</v>
      </c>
      <c r="E667" s="81" t="s">
        <v>212</v>
      </c>
      <c r="F667" s="80" t="s">
        <v>313</v>
      </c>
      <c r="G667" s="81" t="str">
        <f t="shared" si="254"/>
        <v>lending_Payday_payday_VNPAY_collection</v>
      </c>
      <c r="H667" s="125"/>
      <c r="I667" s="142" t="s">
        <v>196</v>
      </c>
      <c r="J667" s="125">
        <f t="shared" si="256"/>
        <v>15527807.113768369</v>
      </c>
      <c r="K667" s="125"/>
      <c r="L667" s="125"/>
      <c r="M667" s="84"/>
      <c r="N667" s="84"/>
      <c r="O667" s="84"/>
      <c r="P667" s="84"/>
      <c r="Q667" s="84"/>
      <c r="R667" s="125"/>
      <c r="S667" s="84"/>
      <c r="T667" s="125">
        <v>0</v>
      </c>
      <c r="U667" s="125"/>
      <c r="V667" s="125">
        <v>934218.01003285137</v>
      </c>
      <c r="W667" s="125">
        <v>6797176.1386277629</v>
      </c>
      <c r="X667" s="125">
        <v>7796412.9651077548</v>
      </c>
      <c r="Y667" s="70">
        <f t="shared" si="234"/>
        <v>5862958.1285949117</v>
      </c>
    </row>
    <row r="668" spans="1:25" ht="15" hidden="1" customHeight="1" x14ac:dyDescent="0.2">
      <c r="B668" s="121" t="s">
        <v>243</v>
      </c>
      <c r="C668" s="81" t="s">
        <v>208</v>
      </c>
      <c r="D668" s="81" t="s">
        <v>209</v>
      </c>
      <c r="E668" s="81" t="s">
        <v>212</v>
      </c>
      <c r="F668" s="80" t="s">
        <v>314</v>
      </c>
      <c r="G668" s="81" t="str">
        <f t="shared" si="254"/>
        <v>lending_Payday_payday_VNPAY_promotion</v>
      </c>
      <c r="H668" s="125"/>
      <c r="I668" s="142" t="s">
        <v>276</v>
      </c>
      <c r="J668" s="125"/>
      <c r="K668" s="125"/>
      <c r="L668" s="125"/>
      <c r="M668" s="84"/>
      <c r="N668" s="84"/>
      <c r="O668" s="84"/>
      <c r="P668" s="84"/>
      <c r="Q668" s="84"/>
      <c r="R668" s="125"/>
      <c r="S668" s="84"/>
      <c r="T668" s="125"/>
      <c r="U668" s="125"/>
      <c r="V668" s="125"/>
      <c r="W668" s="125"/>
      <c r="X668" s="125"/>
      <c r="Y668" s="70">
        <f t="shared" si="234"/>
        <v>0</v>
      </c>
    </row>
    <row r="669" spans="1:25" ht="15" customHeight="1" x14ac:dyDescent="0.2">
      <c r="B669" s="121" t="s">
        <v>243</v>
      </c>
      <c r="C669" s="81" t="s">
        <v>208</v>
      </c>
      <c r="D669" s="81" t="s">
        <v>209</v>
      </c>
      <c r="E669" s="81" t="s">
        <v>212</v>
      </c>
      <c r="F669" s="80" t="s">
        <v>315</v>
      </c>
      <c r="G669" s="81" t="str">
        <f t="shared" si="254"/>
        <v>lending_Payday_payday_VNPAY_sms</v>
      </c>
      <c r="H669" s="125"/>
      <c r="I669" s="144" t="s">
        <v>197</v>
      </c>
      <c r="J669" s="125">
        <f>SUM(M669:X669)</f>
        <v>9504245.8831352256</v>
      </c>
      <c r="K669" s="143"/>
      <c r="L669" s="143"/>
      <c r="M669" s="143"/>
      <c r="N669" s="143"/>
      <c r="O669" s="143"/>
      <c r="P669" s="143"/>
      <c r="Q669" s="143"/>
      <c r="R669" s="143"/>
      <c r="S669" s="143"/>
      <c r="T669" s="143">
        <v>0</v>
      </c>
      <c r="U669" s="143">
        <v>314850</v>
      </c>
      <c r="V669" s="143">
        <v>2690552.1980393035</v>
      </c>
      <c r="W669" s="143">
        <v>3226840.8379199463</v>
      </c>
      <c r="X669" s="143">
        <v>3272002.8471759758</v>
      </c>
      <c r="Y669" s="70">
        <f t="shared" si="234"/>
        <v>536288.63988064276</v>
      </c>
    </row>
    <row r="670" spans="1:25" ht="15" hidden="1" customHeight="1" thickTop="1" x14ac:dyDescent="0.2">
      <c r="B670" s="121" t="s">
        <v>243</v>
      </c>
      <c r="C670" s="207" t="s">
        <v>208</v>
      </c>
      <c r="D670" s="81" t="s">
        <v>209</v>
      </c>
      <c r="E670" s="81" t="s">
        <v>212</v>
      </c>
      <c r="F670" s="208" t="s">
        <v>316</v>
      </c>
      <c r="G670" s="207" t="str">
        <f t="shared" si="254"/>
        <v>lending_Payday_payday_VNPAY_profit_before_overhead</v>
      </c>
      <c r="H670" s="125"/>
      <c r="I670" s="209" t="s">
        <v>289</v>
      </c>
      <c r="J670" s="209">
        <f t="shared" ref="J670:X670" si="257">J649-J660-J661</f>
        <v>1566740191.5370803</v>
      </c>
      <c r="K670" s="209">
        <f t="shared" si="257"/>
        <v>0</v>
      </c>
      <c r="L670" s="209">
        <f t="shared" si="257"/>
        <v>0</v>
      </c>
      <c r="M670" s="209">
        <f t="shared" si="257"/>
        <v>0</v>
      </c>
      <c r="N670" s="209">
        <f t="shared" si="257"/>
        <v>0</v>
      </c>
      <c r="O670" s="209">
        <f t="shared" si="257"/>
        <v>0</v>
      </c>
      <c r="P670" s="209">
        <f t="shared" si="257"/>
        <v>0</v>
      </c>
      <c r="Q670" s="209">
        <f t="shared" si="257"/>
        <v>0</v>
      </c>
      <c r="R670" s="209">
        <f t="shared" si="257"/>
        <v>0</v>
      </c>
      <c r="S670" s="209">
        <f t="shared" si="257"/>
        <v>0</v>
      </c>
      <c r="T670" s="209">
        <f t="shared" si="257"/>
        <v>0</v>
      </c>
      <c r="U670" s="209">
        <f t="shared" si="257"/>
        <v>30984831.121857464</v>
      </c>
      <c r="V670" s="209">
        <f t="shared" si="257"/>
        <v>409178864.29087347</v>
      </c>
      <c r="W670" s="209">
        <f t="shared" si="257"/>
        <v>473653889.68157446</v>
      </c>
      <c r="X670" s="209">
        <f t="shared" si="257"/>
        <v>652922606.44277489</v>
      </c>
      <c r="Y670" s="70">
        <f t="shared" ref="Y670:Y708" si="258">W670-V670</f>
        <v>64475025.390700996</v>
      </c>
    </row>
    <row r="671" spans="1:25" ht="15" hidden="1" customHeight="1" x14ac:dyDescent="0.2">
      <c r="B671" s="121" t="s">
        <v>243</v>
      </c>
      <c r="C671" s="81" t="s">
        <v>208</v>
      </c>
      <c r="D671" s="81" t="s">
        <v>209</v>
      </c>
      <c r="E671" s="81" t="s">
        <v>213</v>
      </c>
      <c r="F671" s="124"/>
      <c r="G671" s="81" t="str">
        <f t="shared" si="254"/>
        <v>lending_Payday_payday_ZALOPAY_</v>
      </c>
      <c r="H671" s="125"/>
      <c r="I671" s="123" t="s">
        <v>340</v>
      </c>
      <c r="J671" s="123"/>
      <c r="K671" s="123"/>
      <c r="L671" s="123"/>
      <c r="M671" s="123"/>
      <c r="N671" s="123"/>
      <c r="O671" s="123"/>
      <c r="P671" s="123"/>
      <c r="Q671" s="123"/>
      <c r="R671" s="123"/>
      <c r="S671" s="123"/>
      <c r="T671" s="123"/>
      <c r="U671" s="123"/>
      <c r="V671" s="123"/>
      <c r="W671" s="123"/>
      <c r="X671" s="123"/>
      <c r="Y671" s="70">
        <f t="shared" si="258"/>
        <v>0</v>
      </c>
    </row>
    <row r="672" spans="1:25" ht="15" hidden="1" customHeight="1" x14ac:dyDescent="0.2">
      <c r="B672" s="121" t="s">
        <v>243</v>
      </c>
      <c r="C672" s="81" t="s">
        <v>208</v>
      </c>
      <c r="D672" s="81" t="s">
        <v>209</v>
      </c>
      <c r="E672" s="81" t="s">
        <v>213</v>
      </c>
      <c r="F672" s="80" t="s">
        <v>292</v>
      </c>
      <c r="G672" s="81" t="str">
        <f t="shared" si="254"/>
        <v>lending_Payday_payday_ZALOPAY_new_account</v>
      </c>
      <c r="H672" s="125"/>
      <c r="I672" s="126" t="s">
        <v>245</v>
      </c>
      <c r="J672" s="125">
        <f>SUM(M672:X672)</f>
        <v>3</v>
      </c>
      <c r="K672" s="84"/>
      <c r="L672" s="84"/>
      <c r="M672" s="175"/>
      <c r="N672" s="175"/>
      <c r="O672" s="84"/>
      <c r="P672" s="175"/>
      <c r="Q672" s="84"/>
      <c r="R672" s="175"/>
      <c r="S672" s="125">
        <v>0</v>
      </c>
      <c r="T672" s="84">
        <v>0</v>
      </c>
      <c r="U672" s="84"/>
      <c r="V672" s="84"/>
      <c r="W672" s="84"/>
      <c r="X672" s="152">
        <v>3</v>
      </c>
      <c r="Y672" s="70">
        <f t="shared" si="258"/>
        <v>0</v>
      </c>
    </row>
    <row r="673" spans="2:26" ht="15" hidden="1" customHeight="1" x14ac:dyDescent="0.2">
      <c r="B673" s="121" t="s">
        <v>243</v>
      </c>
      <c r="C673" s="81" t="s">
        <v>208</v>
      </c>
      <c r="D673" s="81" t="s">
        <v>209</v>
      </c>
      <c r="E673" s="81" t="s">
        <v>213</v>
      </c>
      <c r="F673" s="84" t="s">
        <v>246</v>
      </c>
      <c r="G673" s="81" t="str">
        <f t="shared" si="254"/>
        <v>lending_Payday_payday_ZALOPAY_Repeat account</v>
      </c>
      <c r="H673" s="125"/>
      <c r="I673" s="84" t="s">
        <v>246</v>
      </c>
      <c r="J673" s="125">
        <f>SUM(M673:X673)</f>
        <v>0</v>
      </c>
      <c r="K673" s="84"/>
      <c r="L673" s="84"/>
      <c r="M673" s="84"/>
      <c r="N673" s="175"/>
      <c r="O673" s="84"/>
      <c r="P673" s="175"/>
      <c r="Q673" s="84"/>
      <c r="R673" s="175"/>
      <c r="S673" s="125">
        <v>0</v>
      </c>
      <c r="T673" s="84">
        <v>0</v>
      </c>
      <c r="U673" s="84"/>
      <c r="V673" s="82"/>
      <c r="W673" s="84"/>
      <c r="X673" s="84"/>
      <c r="Y673" s="70">
        <f t="shared" si="258"/>
        <v>0</v>
      </c>
    </row>
    <row r="674" spans="2:26" ht="15" hidden="1" customHeight="1" x14ac:dyDescent="0.2">
      <c r="B674" s="121" t="s">
        <v>243</v>
      </c>
      <c r="C674" s="81" t="s">
        <v>208</v>
      </c>
      <c r="D674" s="81" t="s">
        <v>209</v>
      </c>
      <c r="E674" s="81" t="s">
        <v>213</v>
      </c>
      <c r="F674" s="80" t="s">
        <v>293</v>
      </c>
      <c r="G674" s="81" t="str">
        <f t="shared" si="254"/>
        <v>lending_Payday_payday_ZALOPAY_active_account</v>
      </c>
      <c r="H674" s="125"/>
      <c r="I674" s="126" t="s">
        <v>247</v>
      </c>
      <c r="J674" s="125">
        <f>W674</f>
        <v>0</v>
      </c>
      <c r="K674" s="84"/>
      <c r="L674" s="84"/>
      <c r="M674" s="84"/>
      <c r="N674" s="175"/>
      <c r="O674" s="84"/>
      <c r="P674" s="84"/>
      <c r="Q674" s="84"/>
      <c r="R674" s="175"/>
      <c r="S674" s="125">
        <v>0</v>
      </c>
      <c r="T674" s="84">
        <v>0</v>
      </c>
      <c r="U674" s="84"/>
      <c r="V674" s="84"/>
      <c r="W674" s="84"/>
      <c r="X674" s="84">
        <v>3</v>
      </c>
      <c r="Y674" s="70">
        <f t="shared" si="258"/>
        <v>0</v>
      </c>
    </row>
    <row r="675" spans="2:26" ht="15" hidden="1" customHeight="1" x14ac:dyDescent="0.2">
      <c r="B675" s="121" t="s">
        <v>243</v>
      </c>
      <c r="C675" s="81" t="s">
        <v>208</v>
      </c>
      <c r="D675" s="81" t="s">
        <v>209</v>
      </c>
      <c r="E675" s="81" t="s">
        <v>213</v>
      </c>
      <c r="F675" s="80" t="s">
        <v>294</v>
      </c>
      <c r="G675" s="81" t="str">
        <f t="shared" si="254"/>
        <v>lending_Payday_payday_ZALOPAY_disburse/spend</v>
      </c>
      <c r="H675" s="125"/>
      <c r="I675" s="84" t="s">
        <v>191</v>
      </c>
      <c r="J675" s="125">
        <f>SUM(M675:X675)</f>
        <v>10800000</v>
      </c>
      <c r="K675" s="125"/>
      <c r="L675" s="125"/>
      <c r="M675" s="125"/>
      <c r="N675" s="125"/>
      <c r="O675" s="84"/>
      <c r="P675" s="84"/>
      <c r="Q675" s="84"/>
      <c r="R675" s="84"/>
      <c r="S675" s="82">
        <v>0</v>
      </c>
      <c r="T675" s="84">
        <v>0</v>
      </c>
      <c r="U675" s="84"/>
      <c r="V675" s="84"/>
      <c r="W675" s="125"/>
      <c r="X675" s="125">
        <v>10800000</v>
      </c>
      <c r="Y675" s="70">
        <f t="shared" si="258"/>
        <v>0</v>
      </c>
    </row>
    <row r="676" spans="2:26" ht="15" hidden="1" customHeight="1" x14ac:dyDescent="0.2">
      <c r="B676" s="121" t="s">
        <v>243</v>
      </c>
      <c r="C676" s="81" t="s">
        <v>208</v>
      </c>
      <c r="D676" s="81" t="s">
        <v>209</v>
      </c>
      <c r="E676" s="81" t="s">
        <v>213</v>
      </c>
      <c r="F676" s="124"/>
      <c r="G676" s="81" t="str">
        <f t="shared" si="254"/>
        <v>lending_Payday_payday_ZALOPAY_</v>
      </c>
      <c r="H676" s="125"/>
      <c r="I676" s="84" t="s">
        <v>248</v>
      </c>
      <c r="J676" s="125"/>
      <c r="K676" s="84">
        <f t="shared" ref="K676:X676" si="259">K675</f>
        <v>0</v>
      </c>
      <c r="L676" s="84">
        <f t="shared" si="259"/>
        <v>0</v>
      </c>
      <c r="M676" s="84">
        <f t="shared" si="259"/>
        <v>0</v>
      </c>
      <c r="N676" s="84">
        <f t="shared" si="259"/>
        <v>0</v>
      </c>
      <c r="O676" s="84">
        <f t="shared" si="259"/>
        <v>0</v>
      </c>
      <c r="P676" s="84">
        <f t="shared" si="259"/>
        <v>0</v>
      </c>
      <c r="Q676" s="84">
        <f t="shared" si="259"/>
        <v>0</v>
      </c>
      <c r="R676" s="84">
        <f t="shared" si="259"/>
        <v>0</v>
      </c>
      <c r="S676" s="84">
        <f t="shared" si="259"/>
        <v>0</v>
      </c>
      <c r="T676" s="84">
        <f t="shared" si="259"/>
        <v>0</v>
      </c>
      <c r="U676" s="84"/>
      <c r="V676" s="84"/>
      <c r="W676" s="84"/>
      <c r="X676" s="84">
        <f t="shared" si="259"/>
        <v>10800000</v>
      </c>
      <c r="Y676" s="70">
        <f t="shared" si="258"/>
        <v>0</v>
      </c>
    </row>
    <row r="677" spans="2:26" ht="15" hidden="1" customHeight="1" x14ac:dyDescent="0.2">
      <c r="B677" s="121" t="s">
        <v>243</v>
      </c>
      <c r="C677" s="81" t="s">
        <v>208</v>
      </c>
      <c r="D677" s="81" t="s">
        <v>209</v>
      </c>
      <c r="E677" s="81" t="s">
        <v>213</v>
      </c>
      <c r="F677" s="124"/>
      <c r="G677" s="81" t="str">
        <f t="shared" si="254"/>
        <v>lending_Payday_payday_ZALOPAY_</v>
      </c>
      <c r="H677" s="125"/>
      <c r="I677" s="84" t="s">
        <v>249</v>
      </c>
      <c r="J677" s="125"/>
      <c r="K677" s="125"/>
      <c r="L677" s="125"/>
      <c r="M677" s="125">
        <f>M675-M676</f>
        <v>0</v>
      </c>
      <c r="N677" s="125">
        <f>N675-N676</f>
        <v>0</v>
      </c>
      <c r="O677" s="84"/>
      <c r="P677" s="84"/>
      <c r="Q677" s="84"/>
      <c r="R677" s="125"/>
      <c r="S677" s="84">
        <f>S675*8%</f>
        <v>0</v>
      </c>
      <c r="T677" s="84"/>
      <c r="U677" s="84"/>
      <c r="V677" s="84"/>
      <c r="W677" s="125"/>
      <c r="X677" s="125"/>
      <c r="Y677" s="70">
        <f t="shared" si="258"/>
        <v>0</v>
      </c>
    </row>
    <row r="678" spans="2:26" ht="15" hidden="1" customHeight="1" x14ac:dyDescent="0.2">
      <c r="B678" s="121" t="s">
        <v>243</v>
      </c>
      <c r="C678" s="81" t="s">
        <v>208</v>
      </c>
      <c r="D678" s="81" t="s">
        <v>209</v>
      </c>
      <c r="E678" s="81" t="s">
        <v>213</v>
      </c>
      <c r="F678" s="124" t="s">
        <v>295</v>
      </c>
      <c r="G678" s="81" t="str">
        <f t="shared" si="254"/>
        <v>lending_Payday_payday_ZALOPAY_ENR</v>
      </c>
      <c r="H678" s="125"/>
      <c r="I678" s="84" t="s">
        <v>250</v>
      </c>
      <c r="J678" s="125">
        <f>W678</f>
        <v>0</v>
      </c>
      <c r="K678" s="84"/>
      <c r="L678" s="125"/>
      <c r="M678" s="84"/>
      <c r="N678" s="84"/>
      <c r="O678" s="84"/>
      <c r="P678" s="84"/>
      <c r="Q678" s="84"/>
      <c r="R678" s="84"/>
      <c r="S678" s="125">
        <v>0</v>
      </c>
      <c r="T678" s="125">
        <v>0</v>
      </c>
      <c r="U678" s="84"/>
      <c r="V678" s="84"/>
      <c r="W678" s="84"/>
      <c r="X678" s="125">
        <v>10799304</v>
      </c>
      <c r="Y678" s="70">
        <f t="shared" si="258"/>
        <v>0</v>
      </c>
    </row>
    <row r="679" spans="2:26" ht="15" hidden="1" customHeight="1" x14ac:dyDescent="0.2">
      <c r="B679" s="121" t="s">
        <v>243</v>
      </c>
      <c r="C679" s="81" t="s">
        <v>208</v>
      </c>
      <c r="D679" s="81" t="s">
        <v>209</v>
      </c>
      <c r="E679" s="81" t="s">
        <v>213</v>
      </c>
      <c r="F679" s="124"/>
      <c r="G679" s="81" t="str">
        <f t="shared" si="254"/>
        <v>lending_Payday_payday_ZALOPAY_</v>
      </c>
      <c r="H679" s="125"/>
      <c r="I679" s="127" t="s">
        <v>251</v>
      </c>
      <c r="J679" s="125">
        <f>W679</f>
        <v>0</v>
      </c>
      <c r="K679" s="155">
        <f t="shared" ref="K679:X679" si="260">K678-K680</f>
        <v>0</v>
      </c>
      <c r="L679" s="155">
        <f t="shared" si="260"/>
        <v>0</v>
      </c>
      <c r="M679" s="155">
        <f t="shared" si="260"/>
        <v>0</v>
      </c>
      <c r="N679" s="155">
        <f t="shared" si="260"/>
        <v>0</v>
      </c>
      <c r="O679" s="155">
        <f t="shared" si="260"/>
        <v>0</v>
      </c>
      <c r="P679" s="155">
        <f t="shared" si="260"/>
        <v>0</v>
      </c>
      <c r="Q679" s="155">
        <f t="shared" si="260"/>
        <v>0</v>
      </c>
      <c r="R679" s="155">
        <f t="shared" si="260"/>
        <v>0</v>
      </c>
      <c r="S679" s="155">
        <f t="shared" si="260"/>
        <v>0</v>
      </c>
      <c r="T679" s="155">
        <f t="shared" si="260"/>
        <v>0</v>
      </c>
      <c r="U679" s="155">
        <f t="shared" si="260"/>
        <v>0</v>
      </c>
      <c r="V679" s="155">
        <f t="shared" si="260"/>
        <v>0</v>
      </c>
      <c r="W679" s="155">
        <f t="shared" si="260"/>
        <v>0</v>
      </c>
      <c r="X679" s="155">
        <f t="shared" si="260"/>
        <v>10799304</v>
      </c>
      <c r="Y679" s="70">
        <f t="shared" si="258"/>
        <v>0</v>
      </c>
    </row>
    <row r="680" spans="2:26" ht="15" hidden="1" customHeight="1" x14ac:dyDescent="0.2">
      <c r="B680" s="121" t="s">
        <v>243</v>
      </c>
      <c r="C680" s="81" t="s">
        <v>208</v>
      </c>
      <c r="D680" s="81" t="s">
        <v>209</v>
      </c>
      <c r="E680" s="81" t="s">
        <v>213</v>
      </c>
      <c r="F680" s="124"/>
      <c r="G680" s="81" t="str">
        <f t="shared" si="254"/>
        <v>lending_Payday_payday_ZALOPAY_</v>
      </c>
      <c r="H680" s="125"/>
      <c r="I680" s="127" t="s">
        <v>252</v>
      </c>
      <c r="J680" s="125">
        <f>U680</f>
        <v>0</v>
      </c>
      <c r="K680" s="155"/>
      <c r="L680" s="155"/>
      <c r="M680" s="155"/>
      <c r="N680" s="155"/>
      <c r="O680" s="155"/>
      <c r="P680" s="155"/>
      <c r="Q680" s="155"/>
      <c r="R680" s="155"/>
      <c r="S680" s="128"/>
      <c r="T680" s="128">
        <v>0</v>
      </c>
      <c r="U680" s="155"/>
      <c r="V680" s="155"/>
      <c r="W680" s="155"/>
      <c r="X680" s="155"/>
      <c r="Y680" s="70">
        <f t="shared" si="258"/>
        <v>0</v>
      </c>
    </row>
    <row r="681" spans="2:26" ht="15" hidden="1" customHeight="1" x14ac:dyDescent="0.2">
      <c r="B681" s="121" t="s">
        <v>243</v>
      </c>
      <c r="C681" s="81" t="s">
        <v>208</v>
      </c>
      <c r="D681" s="81" t="s">
        <v>209</v>
      </c>
      <c r="E681" s="81" t="s">
        <v>213</v>
      </c>
      <c r="F681" s="124"/>
      <c r="G681" s="81" t="str">
        <f t="shared" si="254"/>
        <v>lending_Payday_payday_ZALOPAY_</v>
      </c>
      <c r="H681" s="125"/>
      <c r="I681" s="126" t="s">
        <v>253</v>
      </c>
      <c r="J681" s="125">
        <f>U681</f>
        <v>0</v>
      </c>
      <c r="K681" s="155"/>
      <c r="L681" s="155"/>
      <c r="M681" s="155"/>
      <c r="N681" s="155"/>
      <c r="O681" s="155"/>
      <c r="P681" s="155"/>
      <c r="Q681" s="155"/>
      <c r="R681" s="155"/>
      <c r="S681" s="155"/>
      <c r="T681" s="155"/>
      <c r="U681" s="155"/>
      <c r="V681" s="155"/>
      <c r="W681" s="155"/>
      <c r="X681" s="155"/>
      <c r="Y681" s="70">
        <f t="shared" si="258"/>
        <v>0</v>
      </c>
    </row>
    <row r="682" spans="2:26" ht="15" hidden="1" customHeight="1" x14ac:dyDescent="0.2">
      <c r="B682" s="121" t="s">
        <v>243</v>
      </c>
      <c r="C682" s="81" t="s">
        <v>208</v>
      </c>
      <c r="D682" s="81" t="s">
        <v>209</v>
      </c>
      <c r="E682" s="81" t="s">
        <v>213</v>
      </c>
      <c r="F682" s="80" t="s">
        <v>298</v>
      </c>
      <c r="G682" s="81" t="str">
        <f t="shared" si="254"/>
        <v>lending_Payday_payday_ZALOPAY_overdue_balance_10d</v>
      </c>
      <c r="H682" s="125"/>
      <c r="I682" s="84" t="s">
        <v>254</v>
      </c>
      <c r="J682" s="125">
        <f>W682</f>
        <v>0</v>
      </c>
      <c r="K682" s="155"/>
      <c r="L682" s="155"/>
      <c r="M682" s="155"/>
      <c r="N682" s="155"/>
      <c r="O682" s="155"/>
      <c r="P682" s="155"/>
      <c r="Q682" s="84"/>
      <c r="R682" s="84"/>
      <c r="S682" s="82">
        <v>0</v>
      </c>
      <c r="T682" s="128">
        <v>0</v>
      </c>
      <c r="U682" s="155"/>
      <c r="V682" s="155"/>
      <c r="W682" s="155"/>
      <c r="X682" s="155"/>
      <c r="Y682" s="70">
        <f t="shared" si="258"/>
        <v>0</v>
      </c>
    </row>
    <row r="683" spans="2:26" ht="15" hidden="1" customHeight="1" x14ac:dyDescent="0.2">
      <c r="B683" s="121" t="s">
        <v>243</v>
      </c>
      <c r="C683" s="81" t="s">
        <v>208</v>
      </c>
      <c r="D683" s="81" t="s">
        <v>209</v>
      </c>
      <c r="E683" s="81" t="s">
        <v>213</v>
      </c>
      <c r="F683" s="80" t="s">
        <v>299</v>
      </c>
      <c r="G683" s="81" t="str">
        <f t="shared" si="254"/>
        <v>lending_Payday_payday_ZALOPAY_overdue_balance_90d</v>
      </c>
      <c r="H683" s="125"/>
      <c r="I683" s="84" t="s">
        <v>255</v>
      </c>
      <c r="J683" s="125">
        <f>U683</f>
        <v>0</v>
      </c>
      <c r="K683" s="84"/>
      <c r="L683" s="84"/>
      <c r="M683" s="84"/>
      <c r="N683" s="84"/>
      <c r="O683" s="84"/>
      <c r="P683" s="155"/>
      <c r="Q683" s="84"/>
      <c r="R683" s="84"/>
      <c r="S683" s="125"/>
      <c r="T683" s="84">
        <v>0</v>
      </c>
      <c r="U683" s="84"/>
      <c r="V683" s="168"/>
      <c r="W683" s="84"/>
      <c r="X683" s="84"/>
      <c r="Y683" s="70">
        <f t="shared" si="258"/>
        <v>0</v>
      </c>
    </row>
    <row r="684" spans="2:26" ht="15" hidden="1" customHeight="1" x14ac:dyDescent="0.2">
      <c r="B684" s="121" t="s">
        <v>243</v>
      </c>
      <c r="C684" s="81" t="s">
        <v>208</v>
      </c>
      <c r="D684" s="81" t="s">
        <v>209</v>
      </c>
      <c r="E684" s="81" t="s">
        <v>213</v>
      </c>
      <c r="F684" s="124"/>
      <c r="G684" s="81" t="str">
        <f t="shared" si="254"/>
        <v>lending_Payday_payday_ZALOPAY_</v>
      </c>
      <c r="H684" s="125"/>
      <c r="I684" s="84" t="s">
        <v>256</v>
      </c>
      <c r="J684" s="125">
        <f>W684</f>
        <v>0</v>
      </c>
      <c r="K684" s="155">
        <f t="shared" ref="K684:X684" si="261">K682-K683</f>
        <v>0</v>
      </c>
      <c r="L684" s="155">
        <f t="shared" si="261"/>
        <v>0</v>
      </c>
      <c r="M684" s="155">
        <f t="shared" si="261"/>
        <v>0</v>
      </c>
      <c r="N684" s="155">
        <f t="shared" si="261"/>
        <v>0</v>
      </c>
      <c r="O684" s="155">
        <f t="shared" si="261"/>
        <v>0</v>
      </c>
      <c r="P684" s="155">
        <f t="shared" si="261"/>
        <v>0</v>
      </c>
      <c r="Q684" s="155">
        <f t="shared" si="261"/>
        <v>0</v>
      </c>
      <c r="R684" s="155">
        <f t="shared" si="261"/>
        <v>0</v>
      </c>
      <c r="S684" s="155">
        <f t="shared" si="261"/>
        <v>0</v>
      </c>
      <c r="T684" s="155">
        <f t="shared" si="261"/>
        <v>0</v>
      </c>
      <c r="U684" s="155">
        <f t="shared" si="261"/>
        <v>0</v>
      </c>
      <c r="V684" s="155">
        <f t="shared" si="261"/>
        <v>0</v>
      </c>
      <c r="W684" s="155">
        <f t="shared" si="261"/>
        <v>0</v>
      </c>
      <c r="X684" s="155">
        <f t="shared" si="261"/>
        <v>0</v>
      </c>
      <c r="Y684" s="70">
        <f t="shared" si="258"/>
        <v>0</v>
      </c>
      <c r="Z684" s="70">
        <f>V684-U684</f>
        <v>0</v>
      </c>
    </row>
    <row r="685" spans="2:26" ht="15" hidden="1" customHeight="1" x14ac:dyDescent="0.2">
      <c r="B685" s="121" t="s">
        <v>243</v>
      </c>
      <c r="C685" s="81" t="s">
        <v>208</v>
      </c>
      <c r="D685" s="81" t="s">
        <v>209</v>
      </c>
      <c r="E685" s="81" t="s">
        <v>213</v>
      </c>
      <c r="F685" s="124"/>
      <c r="G685" s="81" t="str">
        <f t="shared" si="254"/>
        <v>lending_Payday_payday_ZALOPAY_</v>
      </c>
      <c r="H685" s="125"/>
      <c r="I685" s="84" t="s">
        <v>257</v>
      </c>
      <c r="J685" s="125"/>
      <c r="K685" s="177" t="e">
        <f t="shared" ref="K685:X685" si="262">K681/K678</f>
        <v>#DIV/0!</v>
      </c>
      <c r="L685" s="177" t="e">
        <f t="shared" si="262"/>
        <v>#DIV/0!</v>
      </c>
      <c r="M685" s="177" t="e">
        <f t="shared" si="262"/>
        <v>#DIV/0!</v>
      </c>
      <c r="N685" s="177" t="e">
        <f t="shared" si="262"/>
        <v>#DIV/0!</v>
      </c>
      <c r="O685" s="177" t="e">
        <f t="shared" si="262"/>
        <v>#DIV/0!</v>
      </c>
      <c r="P685" s="177" t="e">
        <f t="shared" si="262"/>
        <v>#DIV/0!</v>
      </c>
      <c r="Q685" s="177" t="e">
        <f t="shared" si="262"/>
        <v>#DIV/0!</v>
      </c>
      <c r="R685" s="177" t="e">
        <f t="shared" si="262"/>
        <v>#DIV/0!</v>
      </c>
      <c r="S685" s="177" t="e">
        <f t="shared" si="262"/>
        <v>#DIV/0!</v>
      </c>
      <c r="T685" s="177" t="e">
        <f t="shared" si="262"/>
        <v>#DIV/0!</v>
      </c>
      <c r="U685" s="177" t="e">
        <f t="shared" si="262"/>
        <v>#DIV/0!</v>
      </c>
      <c r="V685" s="177" t="e">
        <f t="shared" si="262"/>
        <v>#DIV/0!</v>
      </c>
      <c r="W685" s="177" t="e">
        <f t="shared" si="262"/>
        <v>#DIV/0!</v>
      </c>
      <c r="X685" s="177">
        <f t="shared" si="262"/>
        <v>0</v>
      </c>
      <c r="Y685" s="70" t="e">
        <f t="shared" si="258"/>
        <v>#DIV/0!</v>
      </c>
    </row>
    <row r="686" spans="2:26" ht="15" hidden="1" customHeight="1" x14ac:dyDescent="0.2">
      <c r="B686" s="121" t="s">
        <v>243</v>
      </c>
      <c r="C686" s="81" t="s">
        <v>208</v>
      </c>
      <c r="D686" s="81" t="s">
        <v>209</v>
      </c>
      <c r="E686" s="81" t="s">
        <v>213</v>
      </c>
      <c r="F686" s="80" t="s">
        <v>258</v>
      </c>
      <c r="G686" s="81" t="str">
        <f t="shared" si="254"/>
        <v>lending_Payday_payday_ZALOPAY_npl</v>
      </c>
      <c r="H686" s="125"/>
      <c r="I686" s="84" t="s">
        <v>259</v>
      </c>
      <c r="J686" s="125"/>
      <c r="K686" s="129" t="e">
        <f t="shared" ref="K686:X686" si="263">K683/K678</f>
        <v>#DIV/0!</v>
      </c>
      <c r="L686" s="129" t="e">
        <f t="shared" si="263"/>
        <v>#DIV/0!</v>
      </c>
      <c r="M686" s="129" t="e">
        <f t="shared" si="263"/>
        <v>#DIV/0!</v>
      </c>
      <c r="N686" s="129" t="e">
        <f t="shared" si="263"/>
        <v>#DIV/0!</v>
      </c>
      <c r="O686" s="129" t="e">
        <f t="shared" si="263"/>
        <v>#DIV/0!</v>
      </c>
      <c r="P686" s="129" t="e">
        <f t="shared" si="263"/>
        <v>#DIV/0!</v>
      </c>
      <c r="Q686" s="129" t="e">
        <f t="shared" si="263"/>
        <v>#DIV/0!</v>
      </c>
      <c r="R686" s="129" t="e">
        <f t="shared" si="263"/>
        <v>#DIV/0!</v>
      </c>
      <c r="S686" s="129" t="e">
        <f t="shared" si="263"/>
        <v>#DIV/0!</v>
      </c>
      <c r="T686" s="129" t="e">
        <f t="shared" si="263"/>
        <v>#DIV/0!</v>
      </c>
      <c r="U686" s="129" t="e">
        <f t="shared" si="263"/>
        <v>#DIV/0!</v>
      </c>
      <c r="V686" s="129" t="e">
        <f t="shared" si="263"/>
        <v>#DIV/0!</v>
      </c>
      <c r="W686" s="129" t="e">
        <f t="shared" si="263"/>
        <v>#DIV/0!</v>
      </c>
      <c r="X686" s="129">
        <f t="shared" si="263"/>
        <v>0</v>
      </c>
      <c r="Y686" s="70" t="e">
        <f t="shared" si="258"/>
        <v>#DIV/0!</v>
      </c>
    </row>
    <row r="687" spans="2:26" ht="15" hidden="1" customHeight="1" x14ac:dyDescent="0.2">
      <c r="B687" s="121" t="s">
        <v>243</v>
      </c>
      <c r="C687" s="81" t="s">
        <v>208</v>
      </c>
      <c r="D687" s="81" t="s">
        <v>209</v>
      </c>
      <c r="E687" s="81" t="s">
        <v>213</v>
      </c>
      <c r="F687" s="80" t="s">
        <v>260</v>
      </c>
      <c r="G687" s="81" t="str">
        <f t="shared" si="254"/>
        <v>lending_Payday_payday_ZALOPAY_TOI</v>
      </c>
      <c r="H687" s="125"/>
      <c r="I687" s="130" t="s">
        <v>260</v>
      </c>
      <c r="J687" s="131">
        <f t="shared" ref="J687:X687" si="264">J688+J693+J697</f>
        <v>928863</v>
      </c>
      <c r="K687" s="131">
        <f t="shared" si="264"/>
        <v>0</v>
      </c>
      <c r="L687" s="131">
        <f t="shared" si="264"/>
        <v>0</v>
      </c>
      <c r="M687" s="131">
        <f t="shared" si="264"/>
        <v>0</v>
      </c>
      <c r="N687" s="131">
        <f t="shared" si="264"/>
        <v>0</v>
      </c>
      <c r="O687" s="131">
        <f t="shared" si="264"/>
        <v>0</v>
      </c>
      <c r="P687" s="131">
        <f t="shared" si="264"/>
        <v>0</v>
      </c>
      <c r="Q687" s="131">
        <f t="shared" si="264"/>
        <v>0</v>
      </c>
      <c r="R687" s="131">
        <f t="shared" si="264"/>
        <v>0</v>
      </c>
      <c r="S687" s="131">
        <f t="shared" si="264"/>
        <v>0</v>
      </c>
      <c r="T687" s="131">
        <f t="shared" si="264"/>
        <v>0</v>
      </c>
      <c r="U687" s="131">
        <f t="shared" si="264"/>
        <v>0</v>
      </c>
      <c r="V687" s="131">
        <f t="shared" si="264"/>
        <v>0</v>
      </c>
      <c r="W687" s="131">
        <f t="shared" si="264"/>
        <v>0</v>
      </c>
      <c r="X687" s="131">
        <f t="shared" si="264"/>
        <v>928863</v>
      </c>
      <c r="Y687" s="70">
        <f t="shared" si="258"/>
        <v>0</v>
      </c>
    </row>
    <row r="688" spans="2:26" ht="15" hidden="1" customHeight="1" x14ac:dyDescent="0.2">
      <c r="B688" s="121" t="s">
        <v>243</v>
      </c>
      <c r="C688" s="81" t="s">
        <v>208</v>
      </c>
      <c r="D688" s="81" t="s">
        <v>209</v>
      </c>
      <c r="E688" s="81" t="s">
        <v>213</v>
      </c>
      <c r="F688" s="80" t="s">
        <v>300</v>
      </c>
      <c r="G688" s="81" t="str">
        <f t="shared" si="254"/>
        <v>lending_Payday_payday_ZALOPAY_NII</v>
      </c>
      <c r="H688" s="125"/>
      <c r="I688" s="132" t="s">
        <v>261</v>
      </c>
      <c r="J688" s="131">
        <f t="shared" ref="J688:X688" si="265">J689-J692</f>
        <v>251018</v>
      </c>
      <c r="K688" s="131">
        <f t="shared" si="265"/>
        <v>0</v>
      </c>
      <c r="L688" s="131">
        <f t="shared" si="265"/>
        <v>0</v>
      </c>
      <c r="M688" s="131">
        <f t="shared" si="265"/>
        <v>0</v>
      </c>
      <c r="N688" s="131">
        <f t="shared" si="265"/>
        <v>0</v>
      </c>
      <c r="O688" s="131">
        <f t="shared" si="265"/>
        <v>0</v>
      </c>
      <c r="P688" s="131">
        <f t="shared" si="265"/>
        <v>0</v>
      </c>
      <c r="Q688" s="131">
        <f t="shared" si="265"/>
        <v>0</v>
      </c>
      <c r="R688" s="131">
        <f t="shared" si="265"/>
        <v>0</v>
      </c>
      <c r="S688" s="131">
        <f t="shared" si="265"/>
        <v>0</v>
      </c>
      <c r="T688" s="131">
        <f t="shared" si="265"/>
        <v>0</v>
      </c>
      <c r="U688" s="131">
        <f t="shared" si="265"/>
        <v>0</v>
      </c>
      <c r="V688" s="131">
        <f t="shared" si="265"/>
        <v>0</v>
      </c>
      <c r="W688" s="131">
        <f t="shared" si="265"/>
        <v>0</v>
      </c>
      <c r="X688" s="131">
        <f t="shared" si="265"/>
        <v>251018</v>
      </c>
      <c r="Y688" s="70">
        <f t="shared" si="258"/>
        <v>0</v>
      </c>
    </row>
    <row r="689" spans="1:27" ht="15" hidden="1" customHeight="1" x14ac:dyDescent="0.2">
      <c r="B689" s="121" t="s">
        <v>243</v>
      </c>
      <c r="C689" s="81" t="s">
        <v>208</v>
      </c>
      <c r="D689" s="81" t="s">
        <v>209</v>
      </c>
      <c r="E689" s="81" t="s">
        <v>213</v>
      </c>
      <c r="F689" s="80" t="s">
        <v>301</v>
      </c>
      <c r="G689" s="81" t="str">
        <f t="shared" si="254"/>
        <v>lending_Payday_payday_ZALOPAY_CII</v>
      </c>
      <c r="H689" s="125"/>
      <c r="I689" s="134" t="s">
        <v>262</v>
      </c>
      <c r="J689" s="125">
        <f>SUM(M689:X689)</f>
        <v>276937</v>
      </c>
      <c r="K689" s="125">
        <f>K690+J691-K691</f>
        <v>0</v>
      </c>
      <c r="L689" s="125">
        <f>L690+K691-L691</f>
        <v>0</v>
      </c>
      <c r="M689" s="84"/>
      <c r="N689" s="84"/>
      <c r="O689" s="125">
        <f t="shared" ref="O689:U689" si="266">O690-O691</f>
        <v>0</v>
      </c>
      <c r="P689" s="125">
        <f t="shared" si="266"/>
        <v>0</v>
      </c>
      <c r="Q689" s="125">
        <f t="shared" si="266"/>
        <v>0</v>
      </c>
      <c r="R689" s="125">
        <f t="shared" si="266"/>
        <v>0</v>
      </c>
      <c r="S689" s="125">
        <f t="shared" si="266"/>
        <v>0</v>
      </c>
      <c r="T689" s="125">
        <f t="shared" si="266"/>
        <v>0</v>
      </c>
      <c r="U689" s="125">
        <f t="shared" si="266"/>
        <v>0</v>
      </c>
      <c r="V689" s="125">
        <f>V690-V691+U691</f>
        <v>0</v>
      </c>
      <c r="W689" s="125">
        <f>W690-W691+V691</f>
        <v>0</v>
      </c>
      <c r="X689" s="125">
        <f>X690-X691+W691</f>
        <v>276937</v>
      </c>
      <c r="Y689" s="70">
        <f t="shared" si="258"/>
        <v>0</v>
      </c>
    </row>
    <row r="690" spans="1:27" ht="15" hidden="1" customHeight="1" x14ac:dyDescent="0.2">
      <c r="B690" s="121" t="s">
        <v>243</v>
      </c>
      <c r="C690" s="81" t="s">
        <v>208</v>
      </c>
      <c r="D690" s="81" t="s">
        <v>209</v>
      </c>
      <c r="E690" s="81" t="s">
        <v>213</v>
      </c>
      <c r="F690" s="80"/>
      <c r="G690" s="81" t="str">
        <f t="shared" si="254"/>
        <v>lending_Payday_payday_ZALOPAY_</v>
      </c>
      <c r="H690" s="125"/>
      <c r="I690" s="201" t="s">
        <v>263</v>
      </c>
      <c r="J690" s="136">
        <f>SUM(M690:X690)</f>
        <v>276937</v>
      </c>
      <c r="K690" s="202"/>
      <c r="L690" s="202"/>
      <c r="M690" s="139"/>
      <c r="N690" s="139"/>
      <c r="O690" s="139"/>
      <c r="P690" s="139"/>
      <c r="Q690" s="139"/>
      <c r="R690" s="137"/>
      <c r="S690" s="125">
        <v>0</v>
      </c>
      <c r="T690" s="125">
        <v>0</v>
      </c>
      <c r="U690" s="125"/>
      <c r="V690" s="125"/>
      <c r="W690" s="125"/>
      <c r="X690" s="125">
        <v>276937</v>
      </c>
      <c r="Y690" s="70">
        <f t="shared" si="258"/>
        <v>0</v>
      </c>
    </row>
    <row r="691" spans="1:27" ht="15" hidden="1" customHeight="1" x14ac:dyDescent="0.2">
      <c r="B691" s="121" t="s">
        <v>243</v>
      </c>
      <c r="C691" s="81" t="s">
        <v>208</v>
      </c>
      <c r="D691" s="81" t="s">
        <v>209</v>
      </c>
      <c r="E691" s="81" t="s">
        <v>213</v>
      </c>
      <c r="F691" s="124"/>
      <c r="G691" s="81" t="str">
        <f t="shared" si="254"/>
        <v>lending_Payday_payday_ZALOPAY_</v>
      </c>
      <c r="H691" s="125"/>
      <c r="I691" s="201" t="s">
        <v>264</v>
      </c>
      <c r="J691" s="136"/>
      <c r="K691" s="203"/>
      <c r="L691" s="203"/>
      <c r="M691" s="139"/>
      <c r="N691" s="139"/>
      <c r="O691" s="139"/>
      <c r="P691" s="139"/>
      <c r="Q691" s="139"/>
      <c r="R691" s="139"/>
      <c r="S691" s="125">
        <v>0</v>
      </c>
      <c r="T691" s="125">
        <v>0</v>
      </c>
      <c r="U691" s="203"/>
      <c r="V691" s="125"/>
      <c r="W691" s="125"/>
      <c r="X691" s="203"/>
      <c r="Y691" s="70">
        <f t="shared" si="258"/>
        <v>0</v>
      </c>
      <c r="Z691" s="70"/>
      <c r="AA691" s="70"/>
    </row>
    <row r="692" spans="1:27" ht="15" hidden="1" customHeight="1" x14ac:dyDescent="0.2">
      <c r="B692" s="121" t="s">
        <v>243</v>
      </c>
      <c r="C692" s="81" t="s">
        <v>208</v>
      </c>
      <c r="D692" s="81" t="s">
        <v>209</v>
      </c>
      <c r="E692" s="81" t="s">
        <v>213</v>
      </c>
      <c r="F692" s="80" t="s">
        <v>62</v>
      </c>
      <c r="G692" s="81" t="str">
        <f t="shared" si="254"/>
        <v>lending_Payday_payday_ZALOPAY_COF</v>
      </c>
      <c r="H692" s="125"/>
      <c r="I692" s="134" t="s">
        <v>62</v>
      </c>
      <c r="J692" s="125">
        <f>SUM(M692:X692)</f>
        <v>25919</v>
      </c>
      <c r="K692" s="154"/>
      <c r="L692" s="154"/>
      <c r="M692" s="84"/>
      <c r="N692" s="84"/>
      <c r="O692" s="84"/>
      <c r="P692" s="84"/>
      <c r="Q692" s="84"/>
      <c r="R692" s="84"/>
      <c r="S692" s="125">
        <v>0</v>
      </c>
      <c r="T692" s="125">
        <v>0</v>
      </c>
      <c r="U692" s="125"/>
      <c r="V692" s="64"/>
      <c r="W692" s="154"/>
      <c r="X692" s="154">
        <v>25919</v>
      </c>
      <c r="Y692" s="70">
        <f t="shared" si="258"/>
        <v>0</v>
      </c>
    </row>
    <row r="693" spans="1:27" ht="15" hidden="1" customHeight="1" x14ac:dyDescent="0.2">
      <c r="B693" s="121" t="s">
        <v>243</v>
      </c>
      <c r="C693" s="81" t="s">
        <v>208</v>
      </c>
      <c r="D693" s="81" t="s">
        <v>209</v>
      </c>
      <c r="E693" s="81" t="s">
        <v>213</v>
      </c>
      <c r="F693" s="80" t="s">
        <v>302</v>
      </c>
      <c r="G693" s="81" t="str">
        <f t="shared" si="254"/>
        <v>lending_Payday_payday_ZALOPAY_NFI</v>
      </c>
      <c r="H693" s="125"/>
      <c r="I693" s="132" t="s">
        <v>265</v>
      </c>
      <c r="J693" s="131">
        <f t="shared" ref="J693:X693" si="267">SUM(J694:J696)</f>
        <v>677845</v>
      </c>
      <c r="K693" s="131">
        <f t="shared" si="267"/>
        <v>0</v>
      </c>
      <c r="L693" s="131">
        <f t="shared" si="267"/>
        <v>0</v>
      </c>
      <c r="M693" s="131">
        <f t="shared" si="267"/>
        <v>0</v>
      </c>
      <c r="N693" s="131">
        <f t="shared" si="267"/>
        <v>0</v>
      </c>
      <c r="O693" s="131">
        <f t="shared" si="267"/>
        <v>0</v>
      </c>
      <c r="P693" s="131">
        <f t="shared" si="267"/>
        <v>0</v>
      </c>
      <c r="Q693" s="131">
        <f t="shared" si="267"/>
        <v>0</v>
      </c>
      <c r="R693" s="131">
        <f t="shared" si="267"/>
        <v>0</v>
      </c>
      <c r="S693" s="131">
        <f t="shared" si="267"/>
        <v>0</v>
      </c>
      <c r="T693" s="131">
        <f t="shared" si="267"/>
        <v>0</v>
      </c>
      <c r="U693" s="131">
        <f t="shared" si="267"/>
        <v>0</v>
      </c>
      <c r="V693" s="131">
        <f t="shared" si="267"/>
        <v>0</v>
      </c>
      <c r="W693" s="131">
        <f t="shared" si="267"/>
        <v>0</v>
      </c>
      <c r="X693" s="131">
        <f t="shared" si="267"/>
        <v>677845</v>
      </c>
      <c r="Y693" s="70">
        <f t="shared" si="258"/>
        <v>0</v>
      </c>
    </row>
    <row r="694" spans="1:27" ht="15" hidden="1" customHeight="1" x14ac:dyDescent="0.2">
      <c r="B694" s="121" t="s">
        <v>243</v>
      </c>
      <c r="C694" s="81" t="s">
        <v>208</v>
      </c>
      <c r="D694" s="81" t="s">
        <v>209</v>
      </c>
      <c r="E694" s="81" t="s">
        <v>213</v>
      </c>
      <c r="F694" s="80" t="s">
        <v>303</v>
      </c>
      <c r="G694" s="81" t="str">
        <f t="shared" si="254"/>
        <v>lending_Payday_payday_ZALOPAY_insurance_fee</v>
      </c>
      <c r="H694" s="125"/>
      <c r="I694" s="134" t="s">
        <v>266</v>
      </c>
      <c r="J694" s="125">
        <f>SUM(M694:X694)</f>
        <v>677845</v>
      </c>
      <c r="K694" s="64"/>
      <c r="L694" s="64"/>
      <c r="M694" s="64"/>
      <c r="N694" s="64"/>
      <c r="O694" s="64"/>
      <c r="P694" s="64"/>
      <c r="Q694" s="64"/>
      <c r="R694" s="64"/>
      <c r="S694" s="82">
        <v>0</v>
      </c>
      <c r="T694" s="64">
        <v>0</v>
      </c>
      <c r="U694" s="82"/>
      <c r="V694" s="82"/>
      <c r="W694" s="64"/>
      <c r="X694" s="64">
        <v>677845</v>
      </c>
      <c r="Y694" s="70">
        <f t="shared" si="258"/>
        <v>0</v>
      </c>
    </row>
    <row r="695" spans="1:27" ht="15" hidden="1" customHeight="1" x14ac:dyDescent="0.2">
      <c r="B695" s="121" t="s">
        <v>243</v>
      </c>
      <c r="C695" s="81" t="s">
        <v>208</v>
      </c>
      <c r="D695" s="81" t="s">
        <v>209</v>
      </c>
      <c r="E695" s="81" t="s">
        <v>213</v>
      </c>
      <c r="F695" s="80" t="s">
        <v>304</v>
      </c>
      <c r="G695" s="81" t="str">
        <f t="shared" si="254"/>
        <v>lending_Payday_payday_ZALOPAY_early_terminate_fee</v>
      </c>
      <c r="H695" s="125"/>
      <c r="I695" s="134" t="s">
        <v>267</v>
      </c>
      <c r="J695" s="125">
        <f>SUM(M695:X695)</f>
        <v>0</v>
      </c>
      <c r="K695" s="136"/>
      <c r="L695" s="64"/>
      <c r="M695" s="162"/>
      <c r="N695" s="162"/>
      <c r="O695" s="162"/>
      <c r="P695" s="162"/>
      <c r="Q695" s="162"/>
      <c r="R695" s="136"/>
      <c r="S695" s="164"/>
      <c r="T695" s="136"/>
      <c r="U695" s="136"/>
      <c r="V695" s="136"/>
      <c r="W695" s="136"/>
      <c r="X695" s="64"/>
      <c r="Y695" s="70">
        <f t="shared" si="258"/>
        <v>0</v>
      </c>
    </row>
    <row r="696" spans="1:27" ht="15" hidden="1" customHeight="1" x14ac:dyDescent="0.2">
      <c r="B696" s="121" t="s">
        <v>243</v>
      </c>
      <c r="C696" s="81" t="s">
        <v>208</v>
      </c>
      <c r="D696" s="81" t="s">
        <v>209</v>
      </c>
      <c r="E696" s="81" t="s">
        <v>213</v>
      </c>
      <c r="F696" s="80" t="s">
        <v>305</v>
      </c>
      <c r="G696" s="81" t="str">
        <f t="shared" si="254"/>
        <v>lending_Payday_payday_ZALOPAY_loan_grant_fee</v>
      </c>
      <c r="H696" s="125"/>
      <c r="I696" s="134" t="s">
        <v>187</v>
      </c>
      <c r="J696" s="125">
        <f>SUM(M696:X696)</f>
        <v>0</v>
      </c>
      <c r="K696" s="136"/>
      <c r="L696" s="136"/>
      <c r="M696" s="162"/>
      <c r="N696" s="162"/>
      <c r="O696" s="162"/>
      <c r="P696" s="162"/>
      <c r="Q696" s="162"/>
      <c r="R696" s="136"/>
      <c r="S696" s="164"/>
      <c r="T696" s="136"/>
      <c r="U696" s="136"/>
      <c r="V696" s="136"/>
      <c r="W696" s="136"/>
      <c r="X696" s="136"/>
      <c r="Y696" s="70">
        <f t="shared" si="258"/>
        <v>0</v>
      </c>
    </row>
    <row r="697" spans="1:27" ht="15" hidden="1" customHeight="1" x14ac:dyDescent="0.2">
      <c r="A697" s="54"/>
      <c r="B697" s="121" t="s">
        <v>243</v>
      </c>
      <c r="C697" s="138" t="s">
        <v>208</v>
      </c>
      <c r="D697" s="81" t="s">
        <v>209</v>
      </c>
      <c r="E697" s="81" t="s">
        <v>213</v>
      </c>
      <c r="F697" s="80" t="s">
        <v>306</v>
      </c>
      <c r="G697" s="138" t="str">
        <f t="shared" si="254"/>
        <v>lending_Payday_payday_ZALOPAY_other_TOI</v>
      </c>
      <c r="H697" s="125"/>
      <c r="I697" s="132" t="s">
        <v>269</v>
      </c>
      <c r="J697" s="131">
        <f>SUM(M697:X697)</f>
        <v>0</v>
      </c>
      <c r="K697" s="178"/>
      <c r="L697" s="178"/>
      <c r="M697" s="179"/>
      <c r="N697" s="179"/>
      <c r="O697" s="179"/>
      <c r="P697" s="179"/>
      <c r="Q697" s="179"/>
      <c r="R697" s="178"/>
      <c r="S697" s="210"/>
      <c r="T697" s="178"/>
      <c r="U697" s="178"/>
      <c r="V697" s="178"/>
      <c r="W697" s="178"/>
      <c r="X697" s="178"/>
      <c r="Y697" s="70">
        <f t="shared" si="258"/>
        <v>0</v>
      </c>
    </row>
    <row r="698" spans="1:27" ht="15" hidden="1" customHeight="1" x14ac:dyDescent="0.2">
      <c r="B698" s="121" t="s">
        <v>243</v>
      </c>
      <c r="C698" s="81" t="s">
        <v>208</v>
      </c>
      <c r="D698" s="81" t="s">
        <v>209</v>
      </c>
      <c r="E698" s="81" t="s">
        <v>213</v>
      </c>
      <c r="F698" s="80" t="s">
        <v>307</v>
      </c>
      <c r="G698" s="81" t="str">
        <f t="shared" si="254"/>
        <v>lending_Payday_payday_ZALOPAY_provision</v>
      </c>
      <c r="H698" s="125"/>
      <c r="I698" s="140" t="s">
        <v>270</v>
      </c>
      <c r="J698" s="131">
        <f>SUM(M698:X698)</f>
        <v>80995</v>
      </c>
      <c r="K698" s="168"/>
      <c r="L698" s="168"/>
      <c r="M698" s="168"/>
      <c r="N698" s="168"/>
      <c r="O698" s="168"/>
      <c r="P698" s="140"/>
      <c r="Q698" s="204"/>
      <c r="R698" s="204"/>
      <c r="S698" s="205">
        <v>0</v>
      </c>
      <c r="T698" s="168">
        <v>0</v>
      </c>
      <c r="U698" s="168"/>
      <c r="V698" s="206"/>
      <c r="W698" s="168"/>
      <c r="X698" s="168">
        <v>80995</v>
      </c>
      <c r="Y698" s="70">
        <f t="shared" si="258"/>
        <v>0</v>
      </c>
    </row>
    <row r="699" spans="1:27" ht="15" hidden="1" customHeight="1" x14ac:dyDescent="0.2">
      <c r="B699" s="121" t="s">
        <v>243</v>
      </c>
      <c r="C699" s="81" t="s">
        <v>208</v>
      </c>
      <c r="D699" s="81" t="s">
        <v>209</v>
      </c>
      <c r="E699" s="81" t="s">
        <v>213</v>
      </c>
      <c r="F699" s="80" t="s">
        <v>308</v>
      </c>
      <c r="G699" s="81" t="str">
        <f t="shared" si="254"/>
        <v>lending_Payday_payday_ZALOPAY_variable_cost</v>
      </c>
      <c r="H699" s="125"/>
      <c r="I699" s="140" t="s">
        <v>271</v>
      </c>
      <c r="J699" s="131">
        <f t="shared" ref="J699:X699" si="268">SUM(J700:J707)</f>
        <v>27472.115757702679</v>
      </c>
      <c r="K699" s="131">
        <f t="shared" si="268"/>
        <v>0</v>
      </c>
      <c r="L699" s="131">
        <f t="shared" si="268"/>
        <v>0</v>
      </c>
      <c r="M699" s="131">
        <f t="shared" si="268"/>
        <v>0</v>
      </c>
      <c r="N699" s="131">
        <f t="shared" si="268"/>
        <v>0</v>
      </c>
      <c r="O699" s="131">
        <f t="shared" si="268"/>
        <v>0</v>
      </c>
      <c r="P699" s="131">
        <f t="shared" si="268"/>
        <v>0</v>
      </c>
      <c r="Q699" s="131">
        <f t="shared" si="268"/>
        <v>0</v>
      </c>
      <c r="R699" s="131">
        <f t="shared" si="268"/>
        <v>0</v>
      </c>
      <c r="S699" s="131">
        <f t="shared" si="268"/>
        <v>0</v>
      </c>
      <c r="T699" s="131">
        <f t="shared" si="268"/>
        <v>0</v>
      </c>
      <c r="U699" s="131">
        <f t="shared" si="268"/>
        <v>0</v>
      </c>
      <c r="V699" s="131">
        <f t="shared" si="268"/>
        <v>0</v>
      </c>
      <c r="W699" s="131">
        <f t="shared" si="268"/>
        <v>0</v>
      </c>
      <c r="X699" s="131">
        <f t="shared" si="268"/>
        <v>27472.115757702679</v>
      </c>
      <c r="Y699" s="70">
        <f t="shared" si="258"/>
        <v>0</v>
      </c>
    </row>
    <row r="700" spans="1:27" ht="15" hidden="1" customHeight="1" x14ac:dyDescent="0.2">
      <c r="B700" s="121" t="s">
        <v>243</v>
      </c>
      <c r="C700" s="81" t="s">
        <v>208</v>
      </c>
      <c r="D700" s="81" t="s">
        <v>209</v>
      </c>
      <c r="E700" s="81" t="s">
        <v>213</v>
      </c>
      <c r="F700" s="80" t="s">
        <v>198</v>
      </c>
      <c r="G700" s="81" t="str">
        <f t="shared" si="254"/>
        <v>lending_Payday_payday_ZALOPAY_marketing_acquisition_cost</v>
      </c>
      <c r="H700" s="125"/>
      <c r="I700" s="142" t="s">
        <v>272</v>
      </c>
      <c r="J700" s="125">
        <f t="shared" ref="J700:J705" si="269">SUM(M700:X700)</f>
        <v>0</v>
      </c>
      <c r="K700" s="122"/>
      <c r="L700" s="122"/>
      <c r="M700" s="84"/>
      <c r="N700" s="84"/>
      <c r="O700" s="84"/>
      <c r="P700" s="122"/>
      <c r="Q700" s="84"/>
      <c r="R700" s="122"/>
      <c r="S700" s="82">
        <v>0</v>
      </c>
      <c r="T700" s="125">
        <v>0</v>
      </c>
      <c r="U700" s="125"/>
      <c r="V700" s="122"/>
      <c r="W700" s="122"/>
      <c r="X700" s="122"/>
      <c r="Y700" s="70">
        <f t="shared" si="258"/>
        <v>0</v>
      </c>
    </row>
    <row r="701" spans="1:27" ht="15" hidden="1" customHeight="1" x14ac:dyDescent="0.2">
      <c r="B701" s="121" t="s">
        <v>243</v>
      </c>
      <c r="C701" s="81" t="s">
        <v>208</v>
      </c>
      <c r="D701" s="81" t="s">
        <v>209</v>
      </c>
      <c r="E701" s="81" t="s">
        <v>213</v>
      </c>
      <c r="F701" s="80" t="s">
        <v>309</v>
      </c>
      <c r="G701" s="81" t="str">
        <f t="shared" si="254"/>
        <v>lending_Payday_payday_ZALOPAY_partner_acquisition_cost</v>
      </c>
      <c r="H701" s="125"/>
      <c r="I701" s="142" t="s">
        <v>202</v>
      </c>
      <c r="J701" s="125">
        <f t="shared" si="269"/>
        <v>0</v>
      </c>
      <c r="K701" s="153"/>
      <c r="L701" s="84"/>
      <c r="M701" s="84"/>
      <c r="N701" s="84"/>
      <c r="O701" s="84"/>
      <c r="P701" s="84"/>
      <c r="Q701" s="84"/>
      <c r="R701" s="140"/>
      <c r="S701" s="140"/>
      <c r="T701" s="140"/>
      <c r="U701" s="82"/>
      <c r="V701" s="82"/>
      <c r="W701" s="82"/>
      <c r="X701" s="140"/>
      <c r="Y701" s="70">
        <f t="shared" si="258"/>
        <v>0</v>
      </c>
    </row>
    <row r="702" spans="1:27" ht="15" hidden="1" customHeight="1" x14ac:dyDescent="0.2">
      <c r="B702" s="121" t="s">
        <v>243</v>
      </c>
      <c r="C702" s="81" t="s">
        <v>208</v>
      </c>
      <c r="D702" s="81" t="s">
        <v>209</v>
      </c>
      <c r="E702" s="81" t="s">
        <v>213</v>
      </c>
      <c r="F702" s="80" t="s">
        <v>310</v>
      </c>
      <c r="G702" s="81" t="str">
        <f t="shared" si="254"/>
        <v>lending_Payday_payday_ZALOPAY_underwritting</v>
      </c>
      <c r="H702" s="125"/>
      <c r="I702" s="142" t="s">
        <v>273</v>
      </c>
      <c r="J702" s="125">
        <f t="shared" si="269"/>
        <v>20746.50889234537</v>
      </c>
      <c r="K702" s="125"/>
      <c r="L702" s="125"/>
      <c r="M702" s="84">
        <v>0</v>
      </c>
      <c r="N702" s="84">
        <v>0</v>
      </c>
      <c r="O702" s="84">
        <v>0</v>
      </c>
      <c r="P702" s="84">
        <v>0</v>
      </c>
      <c r="Q702" s="84">
        <v>0</v>
      </c>
      <c r="R702" s="125">
        <v>0</v>
      </c>
      <c r="S702" s="125">
        <v>0</v>
      </c>
      <c r="T702" s="125">
        <v>0</v>
      </c>
      <c r="U702" s="125"/>
      <c r="V702" s="125"/>
      <c r="W702" s="125"/>
      <c r="X702" s="125">
        <v>20746.50889234537</v>
      </c>
      <c r="Y702" s="70">
        <f t="shared" si="258"/>
        <v>0</v>
      </c>
    </row>
    <row r="703" spans="1:27" ht="15" hidden="1" customHeight="1" x14ac:dyDescent="0.2">
      <c r="B703" s="121" t="s">
        <v>243</v>
      </c>
      <c r="C703" s="81" t="s">
        <v>208</v>
      </c>
      <c r="D703" s="81" t="s">
        <v>209</v>
      </c>
      <c r="E703" s="81" t="s">
        <v>213</v>
      </c>
      <c r="F703" s="80" t="s">
        <v>311</v>
      </c>
      <c r="G703" s="81" t="str">
        <f t="shared" si="254"/>
        <v>lending_Payday_payday_ZALOPAY_e_contract</v>
      </c>
      <c r="H703" s="125"/>
      <c r="I703" s="142" t="s">
        <v>274</v>
      </c>
      <c r="J703" s="125">
        <f t="shared" si="269"/>
        <v>1929</v>
      </c>
      <c r="K703" s="125"/>
      <c r="L703" s="125"/>
      <c r="M703" s="84"/>
      <c r="N703" s="84"/>
      <c r="O703" s="84"/>
      <c r="P703" s="84"/>
      <c r="Q703" s="84"/>
      <c r="R703" s="143"/>
      <c r="S703" s="125">
        <v>0</v>
      </c>
      <c r="T703" s="125">
        <v>0</v>
      </c>
      <c r="U703" s="125"/>
      <c r="V703" s="125"/>
      <c r="W703" s="125"/>
      <c r="X703" s="125">
        <v>1929</v>
      </c>
      <c r="Y703" s="70">
        <f t="shared" si="258"/>
        <v>0</v>
      </c>
    </row>
    <row r="704" spans="1:27" ht="15" hidden="1" customHeight="1" x14ac:dyDescent="0.2">
      <c r="B704" s="121" t="s">
        <v>243</v>
      </c>
      <c r="C704" s="81" t="s">
        <v>208</v>
      </c>
      <c r="D704" s="81" t="s">
        <v>209</v>
      </c>
      <c r="E704" s="81" t="s">
        <v>213</v>
      </c>
      <c r="F704" s="80" t="s">
        <v>312</v>
      </c>
      <c r="G704" s="81" t="str">
        <f t="shared" si="254"/>
        <v>lending_Payday_payday_ZALOPAY_nfc</v>
      </c>
      <c r="H704" s="125"/>
      <c r="I704" s="142" t="s">
        <v>275</v>
      </c>
      <c r="J704" s="125">
        <f t="shared" si="269"/>
        <v>938.60686535730804</v>
      </c>
      <c r="K704" s="125"/>
      <c r="L704" s="125"/>
      <c r="M704" s="84"/>
      <c r="N704" s="84"/>
      <c r="O704" s="84"/>
      <c r="P704" s="84"/>
      <c r="Q704" s="84"/>
      <c r="R704" s="84"/>
      <c r="S704" s="84">
        <v>0</v>
      </c>
      <c r="T704" s="125">
        <v>0</v>
      </c>
      <c r="U704" s="125"/>
      <c r="V704" s="125"/>
      <c r="W704" s="125"/>
      <c r="X704" s="125">
        <v>938.60686535730804</v>
      </c>
      <c r="Y704" s="70">
        <f t="shared" si="258"/>
        <v>0</v>
      </c>
    </row>
    <row r="705" spans="2:25" ht="15" hidden="1" customHeight="1" x14ac:dyDescent="0.2">
      <c r="B705" s="121" t="s">
        <v>243</v>
      </c>
      <c r="C705" s="81" t="s">
        <v>208</v>
      </c>
      <c r="D705" s="81" t="s">
        <v>209</v>
      </c>
      <c r="E705" s="81" t="s">
        <v>213</v>
      </c>
      <c r="F705" s="80" t="s">
        <v>313</v>
      </c>
      <c r="G705" s="81" t="str">
        <f t="shared" si="254"/>
        <v>lending_Payday_payday_ZALOPAY_collection</v>
      </c>
      <c r="H705" s="125"/>
      <c r="I705" s="142" t="s">
        <v>196</v>
      </c>
      <c r="J705" s="125">
        <f t="shared" si="269"/>
        <v>0</v>
      </c>
      <c r="K705" s="125"/>
      <c r="L705" s="125"/>
      <c r="M705" s="84"/>
      <c r="N705" s="84"/>
      <c r="O705" s="84"/>
      <c r="P705" s="84"/>
      <c r="Q705" s="84"/>
      <c r="R705" s="125"/>
      <c r="S705" s="84"/>
      <c r="T705" s="125">
        <v>0</v>
      </c>
      <c r="U705" s="125"/>
      <c r="V705" s="125"/>
      <c r="W705" s="125"/>
      <c r="X705" s="125"/>
      <c r="Y705" s="70">
        <f t="shared" si="258"/>
        <v>0</v>
      </c>
    </row>
    <row r="706" spans="2:25" ht="15" hidden="1" customHeight="1" x14ac:dyDescent="0.2">
      <c r="B706" s="121" t="s">
        <v>243</v>
      </c>
      <c r="C706" s="81" t="s">
        <v>208</v>
      </c>
      <c r="D706" s="81" t="s">
        <v>209</v>
      </c>
      <c r="E706" s="81" t="s">
        <v>213</v>
      </c>
      <c r="F706" s="80" t="s">
        <v>314</v>
      </c>
      <c r="G706" s="81" t="str">
        <f t="shared" si="254"/>
        <v>lending_Payday_payday_ZALOPAY_promotion</v>
      </c>
      <c r="H706" s="125"/>
      <c r="I706" s="142" t="s">
        <v>276</v>
      </c>
      <c r="J706" s="125"/>
      <c r="K706" s="125"/>
      <c r="L706" s="125"/>
      <c r="M706" s="84"/>
      <c r="N706" s="84"/>
      <c r="O706" s="84"/>
      <c r="P706" s="84"/>
      <c r="Q706" s="84"/>
      <c r="R706" s="125"/>
      <c r="S706" s="84"/>
      <c r="T706" s="125"/>
      <c r="U706" s="125"/>
      <c r="V706" s="125"/>
      <c r="W706" s="125"/>
      <c r="X706" s="125"/>
      <c r="Y706" s="70">
        <f t="shared" si="258"/>
        <v>0</v>
      </c>
    </row>
    <row r="707" spans="2:25" ht="15" customHeight="1" x14ac:dyDescent="0.2">
      <c r="B707" s="121" t="s">
        <v>243</v>
      </c>
      <c r="C707" s="81" t="s">
        <v>208</v>
      </c>
      <c r="D707" s="81" t="s">
        <v>209</v>
      </c>
      <c r="E707" s="81" t="s">
        <v>213</v>
      </c>
      <c r="F707" s="80" t="s">
        <v>315</v>
      </c>
      <c r="G707" s="81" t="str">
        <f t="shared" si="254"/>
        <v>lending_Payday_payday_ZALOPAY_sms</v>
      </c>
      <c r="H707" s="125"/>
      <c r="I707" s="144" t="s">
        <v>197</v>
      </c>
      <c r="J707" s="125">
        <f>SUM(M707:X707)</f>
        <v>3858</v>
      </c>
      <c r="K707" s="143"/>
      <c r="L707" s="143"/>
      <c r="M707" s="143"/>
      <c r="N707" s="143"/>
      <c r="O707" s="143"/>
      <c r="P707" s="143"/>
      <c r="Q707" s="143"/>
      <c r="R707" s="143"/>
      <c r="S707" s="143"/>
      <c r="T707" s="143">
        <v>0</v>
      </c>
      <c r="U707" s="143"/>
      <c r="V707" s="143"/>
      <c r="W707" s="143"/>
      <c r="X707" s="143">
        <v>3858</v>
      </c>
      <c r="Y707" s="70">
        <f t="shared" si="258"/>
        <v>0</v>
      </c>
    </row>
    <row r="708" spans="2:25" ht="15" hidden="1" customHeight="1" thickTop="1" x14ac:dyDescent="0.2">
      <c r="B708" s="121" t="s">
        <v>243</v>
      </c>
      <c r="C708" s="207" t="s">
        <v>208</v>
      </c>
      <c r="D708" s="81" t="s">
        <v>209</v>
      </c>
      <c r="E708" s="81" t="s">
        <v>213</v>
      </c>
      <c r="F708" s="208" t="s">
        <v>316</v>
      </c>
      <c r="G708" s="207" t="str">
        <f t="shared" si="254"/>
        <v>lending_Payday_payday_ZALOPAY_profit_before_overhead</v>
      </c>
      <c r="H708" s="125"/>
      <c r="I708" s="209" t="s">
        <v>289</v>
      </c>
      <c r="J708" s="209">
        <f t="shared" ref="J708:X708" si="270">J687-J698-J699</f>
        <v>820395.88424229727</v>
      </c>
      <c r="K708" s="209">
        <f t="shared" si="270"/>
        <v>0</v>
      </c>
      <c r="L708" s="209">
        <f t="shared" si="270"/>
        <v>0</v>
      </c>
      <c r="M708" s="209">
        <f t="shared" si="270"/>
        <v>0</v>
      </c>
      <c r="N708" s="209">
        <f t="shared" si="270"/>
        <v>0</v>
      </c>
      <c r="O708" s="209">
        <f t="shared" si="270"/>
        <v>0</v>
      </c>
      <c r="P708" s="209">
        <f t="shared" si="270"/>
        <v>0</v>
      </c>
      <c r="Q708" s="209">
        <f t="shared" si="270"/>
        <v>0</v>
      </c>
      <c r="R708" s="209">
        <f t="shared" si="270"/>
        <v>0</v>
      </c>
      <c r="S708" s="209">
        <f t="shared" si="270"/>
        <v>0</v>
      </c>
      <c r="T708" s="209">
        <f t="shared" si="270"/>
        <v>0</v>
      </c>
      <c r="U708" s="209">
        <f t="shared" si="270"/>
        <v>0</v>
      </c>
      <c r="V708" s="209">
        <f t="shared" si="270"/>
        <v>0</v>
      </c>
      <c r="W708" s="209">
        <f t="shared" si="270"/>
        <v>0</v>
      </c>
      <c r="X708" s="209">
        <f t="shared" si="270"/>
        <v>820395.88424229727</v>
      </c>
      <c r="Y708" s="70">
        <f t="shared" si="258"/>
        <v>0</v>
      </c>
    </row>
    <row r="709" spans="2:25" ht="15" customHeight="1" x14ac:dyDescent="0.2">
      <c r="U709" s="70"/>
      <c r="V709" s="70"/>
      <c r="W709" s="70"/>
    </row>
    <row r="710" spans="2:25" ht="15" customHeight="1" x14ac:dyDescent="0.2">
      <c r="L710" s="89" t="e">
        <f>AVERAGE(L1:M1)</f>
        <v>#DIV/0!</v>
      </c>
      <c r="U710" s="70"/>
      <c r="V710" s="70"/>
      <c r="W710" s="70"/>
    </row>
    <row r="711" spans="2:25" ht="15" customHeight="1" x14ac:dyDescent="0.2">
      <c r="V711" s="211"/>
      <c r="W711" s="211"/>
    </row>
    <row r="712" spans="2:25" ht="15" customHeight="1" x14ac:dyDescent="0.2">
      <c r="V712" s="88"/>
      <c r="W712" s="88"/>
    </row>
    <row r="713" spans="2:25" ht="15" customHeight="1" x14ac:dyDescent="0.2">
      <c r="N713" s="112"/>
      <c r="W713" s="70"/>
    </row>
    <row r="714" spans="2:25" ht="15" customHeight="1" x14ac:dyDescent="0.2">
      <c r="W714" s="70"/>
    </row>
    <row r="715" spans="2:25" ht="15" customHeight="1" x14ac:dyDescent="0.2">
      <c r="W715" s="70"/>
    </row>
    <row r="716" spans="2:25" ht="15" customHeight="1" x14ac:dyDescent="0.2">
      <c r="W716" s="70"/>
    </row>
  </sheetData>
  <autoFilter ref="A2:AH708" xr:uid="{E6758310-DABE-41C6-9706-B993F23809A9}">
    <filterColumn colId="2">
      <filters>
        <filter val="payday"/>
      </filters>
    </filterColumn>
    <filterColumn colId="8">
      <filters>
        <filter val="SMS"/>
      </filters>
    </filterColumn>
  </autoFilter>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13337-99FA-E54C-956E-92A532FFFCEC}">
  <dimension ref="B6:AE185"/>
  <sheetViews>
    <sheetView zoomScale="70" zoomScaleNormal="70" workbookViewId="0">
      <selection activeCell="G124" sqref="G124"/>
    </sheetView>
  </sheetViews>
  <sheetFormatPr baseColWidth="10" defaultColWidth="8.83203125" defaultRowHeight="15" x14ac:dyDescent="0.2"/>
  <cols>
    <col min="1" max="2" width="8.83203125" style="52"/>
    <col min="3" max="3" width="14.1640625" style="52" customWidth="1"/>
    <col min="4" max="4" width="20.6640625" style="52" bestFit="1" customWidth="1"/>
    <col min="5" max="5" width="21.1640625" style="52" bestFit="1" customWidth="1"/>
    <col min="6" max="6" width="20.6640625" style="52" bestFit="1" customWidth="1"/>
    <col min="7" max="7" width="21.5" style="52" bestFit="1" customWidth="1"/>
    <col min="8" max="8" width="21.1640625" style="52" bestFit="1" customWidth="1"/>
    <col min="9" max="13" width="21.5" style="52" bestFit="1" customWidth="1"/>
    <col min="14" max="15" width="21.5" style="52" customWidth="1"/>
    <col min="16" max="16" width="14.83203125" style="52" bestFit="1" customWidth="1"/>
    <col min="17" max="16384" width="8.83203125" style="52"/>
  </cols>
  <sheetData>
    <row r="6" spans="13:13" x14ac:dyDescent="0.2">
      <c r="M6" s="52" t="s">
        <v>220</v>
      </c>
    </row>
    <row r="29" spans="13:13" x14ac:dyDescent="0.2">
      <c r="M29" s="52" t="s">
        <v>211</v>
      </c>
    </row>
    <row r="51" spans="13:13" x14ac:dyDescent="0.2">
      <c r="M51" s="52" t="s">
        <v>207</v>
      </c>
    </row>
    <row r="73" spans="12:12" x14ac:dyDescent="0.2">
      <c r="L73" s="52" t="s">
        <v>218</v>
      </c>
    </row>
    <row r="95" spans="12:12" x14ac:dyDescent="0.2">
      <c r="L95" s="52" t="s">
        <v>341</v>
      </c>
    </row>
    <row r="117" spans="12:12" x14ac:dyDescent="0.2">
      <c r="L117" s="52" t="s">
        <v>212</v>
      </c>
    </row>
    <row r="144" spans="4:18" x14ac:dyDescent="0.2">
      <c r="D144" s="212" t="s">
        <v>342</v>
      </c>
      <c r="R144" s="52" t="s">
        <v>343</v>
      </c>
    </row>
    <row r="145" spans="2:31" x14ac:dyDescent="0.2">
      <c r="B145" s="52" t="s">
        <v>344</v>
      </c>
    </row>
    <row r="146" spans="2:31" x14ac:dyDescent="0.2">
      <c r="D146" s="52">
        <v>1</v>
      </c>
      <c r="E146" s="52">
        <v>2</v>
      </c>
      <c r="F146" s="52">
        <f>E146+1</f>
        <v>3</v>
      </c>
      <c r="G146" s="52">
        <f t="shared" ref="G146:O146" si="0">F146+1</f>
        <v>4</v>
      </c>
      <c r="H146" s="52">
        <f t="shared" si="0"/>
        <v>5</v>
      </c>
      <c r="I146" s="52">
        <f t="shared" si="0"/>
        <v>6</v>
      </c>
      <c r="J146" s="52">
        <f t="shared" si="0"/>
        <v>7</v>
      </c>
      <c r="K146" s="52">
        <f t="shared" si="0"/>
        <v>8</v>
      </c>
      <c r="L146" s="52">
        <f t="shared" si="0"/>
        <v>9</v>
      </c>
      <c r="M146" s="52">
        <f t="shared" si="0"/>
        <v>10</v>
      </c>
      <c r="N146" s="52">
        <f t="shared" si="0"/>
        <v>11</v>
      </c>
      <c r="O146" s="52">
        <f t="shared" si="0"/>
        <v>12</v>
      </c>
      <c r="T146" s="52">
        <v>1</v>
      </c>
      <c r="U146" s="52">
        <v>2</v>
      </c>
      <c r="V146" s="52">
        <f>U146+1</f>
        <v>3</v>
      </c>
      <c r="W146" s="52">
        <f t="shared" ref="W146:AE146" si="1">V146+1</f>
        <v>4</v>
      </c>
      <c r="X146" s="52">
        <f t="shared" si="1"/>
        <v>5</v>
      </c>
      <c r="Y146" s="52">
        <f t="shared" si="1"/>
        <v>6</v>
      </c>
      <c r="Z146" s="52">
        <f t="shared" si="1"/>
        <v>7</v>
      </c>
      <c r="AA146" s="52">
        <f t="shared" si="1"/>
        <v>8</v>
      </c>
      <c r="AB146" s="52">
        <f t="shared" si="1"/>
        <v>9</v>
      </c>
      <c r="AC146" s="52">
        <f t="shared" si="1"/>
        <v>10</v>
      </c>
      <c r="AD146" s="52">
        <f t="shared" si="1"/>
        <v>11</v>
      </c>
      <c r="AE146" s="52">
        <f t="shared" si="1"/>
        <v>12</v>
      </c>
    </row>
    <row r="147" spans="2:31" x14ac:dyDescent="0.2">
      <c r="B147" s="52" t="s">
        <v>217</v>
      </c>
      <c r="C147" s="54" t="s">
        <v>207</v>
      </c>
      <c r="D147" s="88">
        <v>0.03</v>
      </c>
      <c r="E147" s="88">
        <v>0.03</v>
      </c>
      <c r="F147" s="88">
        <v>0.03</v>
      </c>
      <c r="G147" s="88">
        <v>0.03</v>
      </c>
      <c r="H147" s="88">
        <v>0.03</v>
      </c>
      <c r="I147" s="88">
        <v>0.03</v>
      </c>
      <c r="J147" s="88">
        <v>0.03</v>
      </c>
      <c r="K147" s="88">
        <v>0.08</v>
      </c>
      <c r="L147" s="88">
        <v>0.08</v>
      </c>
      <c r="M147" s="88">
        <v>0.08</v>
      </c>
      <c r="N147" s="88">
        <v>0.08</v>
      </c>
      <c r="O147" s="88">
        <v>0.08</v>
      </c>
      <c r="R147" s="52" t="s">
        <v>217</v>
      </c>
      <c r="S147" s="54" t="s">
        <v>207</v>
      </c>
      <c r="T147" s="88">
        <v>0.03</v>
      </c>
      <c r="U147" s="88">
        <v>0.03</v>
      </c>
      <c r="V147" s="88">
        <v>0.03</v>
      </c>
      <c r="W147" s="88">
        <v>0.03</v>
      </c>
      <c r="X147" s="88">
        <v>0.03</v>
      </c>
      <c r="Y147" s="88">
        <v>0.03</v>
      </c>
      <c r="Z147" s="88">
        <v>0.03</v>
      </c>
      <c r="AA147" s="88">
        <v>0.05</v>
      </c>
      <c r="AB147" s="88">
        <v>0.05</v>
      </c>
      <c r="AC147" s="88">
        <v>0.05</v>
      </c>
      <c r="AD147" s="88">
        <v>0.05</v>
      </c>
      <c r="AE147" s="88">
        <v>0.05</v>
      </c>
    </row>
    <row r="148" spans="2:31" x14ac:dyDescent="0.2">
      <c r="B148" s="52" t="s">
        <v>217</v>
      </c>
      <c r="C148" s="54" t="s">
        <v>207</v>
      </c>
      <c r="D148" s="88">
        <v>0.03</v>
      </c>
      <c r="E148" s="88">
        <v>0.03</v>
      </c>
      <c r="F148" s="88">
        <v>0.03</v>
      </c>
      <c r="G148" s="88">
        <v>0.03</v>
      </c>
      <c r="H148" s="88">
        <v>0.03</v>
      </c>
      <c r="I148" s="88">
        <v>0.03</v>
      </c>
      <c r="J148" s="88">
        <v>0.03</v>
      </c>
      <c r="K148" s="88">
        <v>0.08</v>
      </c>
      <c r="L148" s="88">
        <v>0.08</v>
      </c>
      <c r="M148" s="88">
        <v>0.08</v>
      </c>
      <c r="N148" s="88">
        <v>0.08</v>
      </c>
      <c r="O148" s="88">
        <v>0.08</v>
      </c>
      <c r="R148" s="52" t="s">
        <v>217</v>
      </c>
      <c r="S148" s="54" t="s">
        <v>207</v>
      </c>
      <c r="T148" s="88">
        <v>0.03</v>
      </c>
      <c r="U148" s="88">
        <v>0.03</v>
      </c>
      <c r="V148" s="88">
        <v>0.03</v>
      </c>
      <c r="W148" s="88">
        <v>0.03</v>
      </c>
      <c r="X148" s="88">
        <v>0.03</v>
      </c>
      <c r="Y148" s="88">
        <v>0.03</v>
      </c>
      <c r="Z148" s="88">
        <v>0.03</v>
      </c>
      <c r="AA148" s="88">
        <v>0.05</v>
      </c>
      <c r="AB148" s="88">
        <v>0.05</v>
      </c>
      <c r="AC148" s="88">
        <v>0.05</v>
      </c>
      <c r="AD148" s="88">
        <v>0.05</v>
      </c>
      <c r="AE148" s="88">
        <v>0.05</v>
      </c>
    </row>
    <row r="149" spans="2:31" x14ac:dyDescent="0.2">
      <c r="B149" s="52" t="s">
        <v>217</v>
      </c>
      <c r="C149" s="54" t="s">
        <v>211</v>
      </c>
      <c r="D149" s="88">
        <v>0.03</v>
      </c>
      <c r="E149" s="88">
        <v>0.03</v>
      </c>
      <c r="F149" s="88">
        <v>0.03</v>
      </c>
      <c r="G149" s="88">
        <v>0.05</v>
      </c>
      <c r="H149" s="88">
        <v>0.05</v>
      </c>
      <c r="I149" s="88">
        <v>0.05</v>
      </c>
      <c r="J149" s="88">
        <v>0.05</v>
      </c>
      <c r="K149" s="88">
        <v>0.08</v>
      </c>
      <c r="L149" s="88">
        <v>0.08</v>
      </c>
      <c r="M149" s="88">
        <v>0.08</v>
      </c>
      <c r="N149" s="88">
        <v>0.08</v>
      </c>
      <c r="O149" s="88">
        <v>0.08</v>
      </c>
      <c r="R149" s="52" t="s">
        <v>217</v>
      </c>
      <c r="S149" s="54" t="s">
        <v>211</v>
      </c>
      <c r="T149" s="88">
        <v>0.03</v>
      </c>
      <c r="U149" s="88">
        <v>0.03</v>
      </c>
      <c r="V149" s="88">
        <v>0.03</v>
      </c>
      <c r="W149" s="88">
        <v>0.05</v>
      </c>
      <c r="X149" s="88">
        <v>0.05</v>
      </c>
      <c r="Y149" s="88">
        <v>0.05</v>
      </c>
      <c r="Z149" s="88">
        <v>0.05</v>
      </c>
      <c r="AA149" s="88">
        <v>0.05</v>
      </c>
      <c r="AB149" s="88">
        <v>0.05</v>
      </c>
      <c r="AC149" s="88">
        <v>0.05</v>
      </c>
      <c r="AD149" s="88">
        <v>0.05</v>
      </c>
      <c r="AE149" s="88">
        <v>0.05</v>
      </c>
    </row>
    <row r="150" spans="2:31" x14ac:dyDescent="0.2">
      <c r="B150" s="52" t="s">
        <v>217</v>
      </c>
      <c r="C150" s="54" t="s">
        <v>218</v>
      </c>
      <c r="D150" s="88">
        <v>0.03</v>
      </c>
      <c r="E150" s="88">
        <v>0.03</v>
      </c>
      <c r="F150" s="88">
        <v>0.03</v>
      </c>
      <c r="G150" s="88">
        <v>0.03</v>
      </c>
      <c r="H150" s="88">
        <v>0.03</v>
      </c>
      <c r="I150" s="88">
        <v>0.03</v>
      </c>
      <c r="J150" s="88">
        <v>0.03</v>
      </c>
      <c r="K150" s="88">
        <v>0.08</v>
      </c>
      <c r="L150" s="88">
        <v>0.08</v>
      </c>
      <c r="M150" s="88">
        <v>0.08</v>
      </c>
      <c r="N150" s="88">
        <v>0.08</v>
      </c>
      <c r="O150" s="88">
        <v>0.08</v>
      </c>
      <c r="R150" s="52" t="s">
        <v>217</v>
      </c>
      <c r="S150" s="54" t="s">
        <v>218</v>
      </c>
      <c r="T150" s="88">
        <v>0.03</v>
      </c>
      <c r="U150" s="88">
        <v>0.03</v>
      </c>
      <c r="V150" s="88">
        <v>0.03</v>
      </c>
      <c r="W150" s="88">
        <v>0.03</v>
      </c>
      <c r="X150" s="88">
        <v>0.03</v>
      </c>
      <c r="Y150" s="88">
        <v>0.03</v>
      </c>
      <c r="Z150" s="88">
        <v>0.03</v>
      </c>
      <c r="AA150" s="88">
        <v>0.08</v>
      </c>
      <c r="AB150" s="88">
        <v>0.08</v>
      </c>
      <c r="AC150" s="88">
        <v>0.08</v>
      </c>
      <c r="AD150" s="88">
        <v>0.08</v>
      </c>
      <c r="AE150" s="88">
        <v>0.08</v>
      </c>
    </row>
    <row r="151" spans="2:31" x14ac:dyDescent="0.2">
      <c r="B151" s="52" t="s">
        <v>217</v>
      </c>
      <c r="C151" s="54" t="s">
        <v>212</v>
      </c>
      <c r="D151" s="88">
        <v>0.03</v>
      </c>
      <c r="E151" s="88">
        <v>0.03</v>
      </c>
      <c r="F151" s="88">
        <v>0.03</v>
      </c>
      <c r="G151" s="88">
        <v>0.03</v>
      </c>
      <c r="H151" s="88">
        <v>0.03</v>
      </c>
      <c r="I151" s="88">
        <v>0.03</v>
      </c>
      <c r="J151" s="88">
        <v>0.03</v>
      </c>
      <c r="K151" s="88">
        <v>0.08</v>
      </c>
      <c r="L151" s="88">
        <v>0.08</v>
      </c>
      <c r="M151" s="88">
        <v>0.08</v>
      </c>
      <c r="N151" s="88">
        <v>0.08</v>
      </c>
      <c r="O151" s="88">
        <v>0.08</v>
      </c>
      <c r="R151" s="52" t="s">
        <v>217</v>
      </c>
      <c r="S151" s="54" t="s">
        <v>212</v>
      </c>
      <c r="T151" s="88">
        <v>0.03</v>
      </c>
      <c r="U151" s="88">
        <v>0.03</v>
      </c>
      <c r="V151" s="88">
        <v>0.03</v>
      </c>
      <c r="W151" s="88">
        <v>0.03</v>
      </c>
      <c r="X151" s="88">
        <v>0.03</v>
      </c>
      <c r="Y151" s="88">
        <v>0.03</v>
      </c>
      <c r="Z151" s="88">
        <v>0.03</v>
      </c>
      <c r="AA151" s="88">
        <v>0.08</v>
      </c>
      <c r="AB151" s="88">
        <v>0.08</v>
      </c>
      <c r="AC151" s="88">
        <v>0.08</v>
      </c>
      <c r="AD151" s="88">
        <v>0.08</v>
      </c>
      <c r="AE151" s="88">
        <v>0.08</v>
      </c>
    </row>
    <row r="152" spans="2:31" x14ac:dyDescent="0.2">
      <c r="B152" s="52" t="s">
        <v>217</v>
      </c>
      <c r="C152" s="54" t="s">
        <v>219</v>
      </c>
      <c r="D152" s="88">
        <v>0.03</v>
      </c>
      <c r="E152" s="88">
        <v>0.03</v>
      </c>
      <c r="F152" s="88">
        <v>0.03</v>
      </c>
      <c r="G152" s="88">
        <v>0.03</v>
      </c>
      <c r="H152" s="88">
        <v>0.03</v>
      </c>
      <c r="I152" s="88">
        <v>0.03</v>
      </c>
      <c r="J152" s="88">
        <v>0.03</v>
      </c>
      <c r="K152" s="88">
        <v>0.03</v>
      </c>
      <c r="L152" s="88">
        <v>0.03</v>
      </c>
      <c r="M152" s="88">
        <v>0.03</v>
      </c>
      <c r="N152" s="88">
        <v>0.03</v>
      </c>
      <c r="O152" s="88">
        <v>0.03</v>
      </c>
      <c r="R152" s="52" t="s">
        <v>217</v>
      </c>
      <c r="S152" s="54" t="s">
        <v>219</v>
      </c>
      <c r="T152" s="88">
        <v>0.03</v>
      </c>
      <c r="U152" s="88">
        <v>0.03</v>
      </c>
      <c r="V152" s="88">
        <v>0.03</v>
      </c>
      <c r="W152" s="88">
        <v>0.03</v>
      </c>
      <c r="X152" s="88">
        <v>0.03</v>
      </c>
      <c r="Y152" s="88">
        <v>0.03</v>
      </c>
      <c r="Z152" s="88">
        <v>0.03</v>
      </c>
      <c r="AA152" s="88">
        <v>0.03</v>
      </c>
      <c r="AB152" s="88">
        <v>0.03</v>
      </c>
      <c r="AC152" s="88">
        <v>0.03</v>
      </c>
      <c r="AD152" s="88">
        <v>0.03</v>
      </c>
      <c r="AE152" s="88">
        <v>0.03</v>
      </c>
    </row>
    <row r="153" spans="2:31" x14ac:dyDescent="0.2">
      <c r="B153" s="52" t="s">
        <v>217</v>
      </c>
      <c r="C153" s="54" t="s">
        <v>220</v>
      </c>
      <c r="D153" s="88">
        <v>0.03</v>
      </c>
      <c r="E153" s="88">
        <v>0.03</v>
      </c>
      <c r="F153" s="88">
        <v>0.03</v>
      </c>
      <c r="G153" s="88">
        <v>0.03</v>
      </c>
      <c r="H153" s="88">
        <v>0.03</v>
      </c>
      <c r="I153" s="88">
        <v>0.03</v>
      </c>
      <c r="J153" s="88">
        <v>0.03</v>
      </c>
      <c r="K153" s="88">
        <v>0.03</v>
      </c>
      <c r="L153" s="88">
        <v>0.03</v>
      </c>
      <c r="M153" s="88">
        <v>0.03</v>
      </c>
      <c r="N153" s="88">
        <v>0.03</v>
      </c>
      <c r="O153" s="88">
        <v>0.03</v>
      </c>
      <c r="R153" s="52" t="s">
        <v>217</v>
      </c>
      <c r="S153" s="54" t="s">
        <v>220</v>
      </c>
      <c r="T153" s="88">
        <v>0.03</v>
      </c>
      <c r="U153" s="88">
        <v>0.03</v>
      </c>
      <c r="V153" s="88">
        <v>0.03</v>
      </c>
      <c r="W153" s="88">
        <v>0.03</v>
      </c>
      <c r="X153" s="88">
        <v>0.03</v>
      </c>
      <c r="Y153" s="88">
        <v>0.03</v>
      </c>
      <c r="Z153" s="88">
        <v>0.03</v>
      </c>
      <c r="AA153" s="88">
        <v>0.03</v>
      </c>
      <c r="AB153" s="88">
        <v>0.03</v>
      </c>
      <c r="AC153" s="88">
        <v>0.03</v>
      </c>
      <c r="AD153" s="88">
        <v>0.03</v>
      </c>
      <c r="AE153" s="88">
        <v>0.03</v>
      </c>
    </row>
    <row r="157" spans="2:31" hidden="1" x14ac:dyDescent="0.2">
      <c r="C157" s="213" t="s">
        <v>345</v>
      </c>
      <c r="D157" s="52">
        <v>1</v>
      </c>
      <c r="E157" s="52">
        <v>2</v>
      </c>
      <c r="F157" s="52">
        <f>E157+1</f>
        <v>3</v>
      </c>
      <c r="G157" s="52">
        <f t="shared" ref="G157:M157" si="2">F157+1</f>
        <v>4</v>
      </c>
      <c r="H157" s="52">
        <f t="shared" si="2"/>
        <v>5</v>
      </c>
      <c r="I157" s="52">
        <f t="shared" si="2"/>
        <v>6</v>
      </c>
      <c r="J157" s="52">
        <f t="shared" si="2"/>
        <v>7</v>
      </c>
      <c r="K157" s="52">
        <f t="shared" si="2"/>
        <v>8</v>
      </c>
      <c r="L157" s="52">
        <f t="shared" si="2"/>
        <v>9</v>
      </c>
      <c r="M157" s="52">
        <f t="shared" si="2"/>
        <v>10</v>
      </c>
      <c r="N157" s="52">
        <v>11</v>
      </c>
      <c r="O157" s="52">
        <v>12</v>
      </c>
    </row>
    <row r="158" spans="2:31" ht="16" hidden="1" x14ac:dyDescent="0.2">
      <c r="B158" s="52" t="s">
        <v>217</v>
      </c>
      <c r="C158" s="54" t="s">
        <v>207</v>
      </c>
      <c r="D158" s="53" t="e">
        <f>DATA!#REF!</f>
        <v>#REF!</v>
      </c>
      <c r="E158" s="53" t="e">
        <f>DATA!#REF!</f>
        <v>#REF!</v>
      </c>
      <c r="F158" s="53" t="e">
        <f>DATA!#REF!</f>
        <v>#REF!</v>
      </c>
      <c r="G158" s="53" t="e">
        <f>DATA!#REF!</f>
        <v>#REF!</v>
      </c>
      <c r="H158" s="53" t="e">
        <f>DATA!#REF!</f>
        <v>#REF!</v>
      </c>
      <c r="I158" s="53" t="e">
        <f>DATA!#REF!</f>
        <v>#REF!</v>
      </c>
      <c r="J158" s="53" t="e">
        <f>DATA!#REF!</f>
        <v>#REF!</v>
      </c>
      <c r="K158" s="53" t="e">
        <f>DATA!#REF!</f>
        <v>#REF!</v>
      </c>
      <c r="L158" s="53" t="e">
        <f>DATA!#REF!</f>
        <v>#REF!</v>
      </c>
      <c r="M158" s="53" t="e">
        <f>DATA!#REF!</f>
        <v>#REF!</v>
      </c>
      <c r="N158" s="214">
        <v>513252480000</v>
      </c>
      <c r="O158" s="214">
        <v>548081580000</v>
      </c>
    </row>
    <row r="159" spans="2:31" ht="16" hidden="1" x14ac:dyDescent="0.2">
      <c r="B159" s="52" t="s">
        <v>217</v>
      </c>
      <c r="C159" s="54" t="s">
        <v>207</v>
      </c>
      <c r="D159" s="53" t="e">
        <f>DATA!#REF!</f>
        <v>#REF!</v>
      </c>
      <c r="E159" s="53" t="e">
        <f>DATA!#REF!</f>
        <v>#REF!</v>
      </c>
      <c r="F159" s="53" t="e">
        <f>DATA!#REF!</f>
        <v>#REF!</v>
      </c>
      <c r="G159" s="53" t="e">
        <f>DATA!#REF!</f>
        <v>#REF!</v>
      </c>
      <c r="H159" s="53" t="e">
        <f>DATA!#REF!</f>
        <v>#REF!</v>
      </c>
      <c r="I159" s="53" t="e">
        <f>DATA!#REF!</f>
        <v>#REF!</v>
      </c>
      <c r="J159" s="53" t="e">
        <f>DATA!#REF!</f>
        <v>#REF!</v>
      </c>
      <c r="K159" s="53" t="e">
        <f>DATA!#REF!</f>
        <v>#REF!</v>
      </c>
      <c r="L159" s="53" t="e">
        <f>DATA!#REF!</f>
        <v>#REF!</v>
      </c>
      <c r="M159" s="53" t="e">
        <f>DATA!#REF!</f>
        <v>#REF!</v>
      </c>
      <c r="N159" s="214">
        <v>746250000</v>
      </c>
      <c r="O159" s="214">
        <v>593750000</v>
      </c>
    </row>
    <row r="160" spans="2:31" ht="16" hidden="1" x14ac:dyDescent="0.2">
      <c r="B160" s="52" t="s">
        <v>217</v>
      </c>
      <c r="C160" s="54" t="s">
        <v>211</v>
      </c>
      <c r="D160" s="53" t="e">
        <f>DATA!#REF!</f>
        <v>#REF!</v>
      </c>
      <c r="E160" s="53" t="e">
        <f>DATA!#REF!</f>
        <v>#REF!</v>
      </c>
      <c r="F160" s="53" t="e">
        <f>DATA!#REF!</f>
        <v>#REF!</v>
      </c>
      <c r="G160" s="53" t="e">
        <f>DATA!#REF!</f>
        <v>#REF!</v>
      </c>
      <c r="H160" s="53" t="e">
        <f>DATA!#REF!</f>
        <v>#REF!</v>
      </c>
      <c r="I160" s="53" t="e">
        <f>DATA!#REF!</f>
        <v>#REF!</v>
      </c>
      <c r="J160" s="53" t="e">
        <f>DATA!#REF!</f>
        <v>#REF!</v>
      </c>
      <c r="K160" s="53" t="e">
        <f>DATA!#REF!</f>
        <v>#REF!</v>
      </c>
      <c r="L160" s="53" t="e">
        <f>DATA!#REF!</f>
        <v>#REF!</v>
      </c>
      <c r="M160" s="53" t="e">
        <f>DATA!#REF!</f>
        <v>#REF!</v>
      </c>
      <c r="N160" s="214">
        <v>587879520000</v>
      </c>
      <c r="O160" s="214">
        <v>522091590000</v>
      </c>
    </row>
    <row r="161" spans="2:16" ht="16" hidden="1" x14ac:dyDescent="0.2">
      <c r="B161" s="52" t="s">
        <v>217</v>
      </c>
      <c r="C161" s="54" t="s">
        <v>218</v>
      </c>
      <c r="D161" s="53" t="e">
        <f>DATA!#REF!</f>
        <v>#REF!</v>
      </c>
      <c r="E161" s="53" t="e">
        <f>DATA!#REF!</f>
        <v>#REF!</v>
      </c>
      <c r="F161" s="53" t="e">
        <f>DATA!#REF!</f>
        <v>#REF!</v>
      </c>
      <c r="G161" s="53" t="e">
        <f>DATA!#REF!</f>
        <v>#REF!</v>
      </c>
      <c r="H161" s="53" t="e">
        <f>DATA!#REF!</f>
        <v>#REF!</v>
      </c>
      <c r="I161" s="53" t="e">
        <f>DATA!#REF!</f>
        <v>#REF!</v>
      </c>
      <c r="J161" s="53" t="e">
        <f>DATA!#REF!</f>
        <v>#REF!</v>
      </c>
      <c r="K161" s="53" t="e">
        <f>DATA!#REF!</f>
        <v>#REF!</v>
      </c>
      <c r="L161" s="53" t="e">
        <f>DATA!#REF!</f>
        <v>#REF!</v>
      </c>
      <c r="M161" s="53" t="e">
        <f>DATA!#REF!</f>
        <v>#REF!</v>
      </c>
      <c r="N161" s="214">
        <v>100217490000</v>
      </c>
      <c r="O161" s="214">
        <v>126953670000</v>
      </c>
    </row>
    <row r="162" spans="2:16" ht="16" hidden="1" x14ac:dyDescent="0.2">
      <c r="B162" s="52" t="s">
        <v>217</v>
      </c>
      <c r="C162" s="54" t="s">
        <v>212</v>
      </c>
      <c r="D162" s="53" t="e">
        <f>DATA!#REF!</f>
        <v>#REF!</v>
      </c>
      <c r="E162" s="53" t="e">
        <f>DATA!#REF!</f>
        <v>#REF!</v>
      </c>
      <c r="F162" s="53" t="e">
        <f>DATA!#REF!</f>
        <v>#REF!</v>
      </c>
      <c r="G162" s="53" t="e">
        <f>DATA!#REF!</f>
        <v>#REF!</v>
      </c>
      <c r="H162" s="53" t="e">
        <f>DATA!#REF!</f>
        <v>#REF!</v>
      </c>
      <c r="I162" s="53" t="e">
        <f>DATA!#REF!</f>
        <v>#REF!</v>
      </c>
      <c r="J162" s="53" t="e">
        <f>DATA!#REF!</f>
        <v>#REF!</v>
      </c>
      <c r="K162" s="53" t="e">
        <f>DATA!#REF!</f>
        <v>#REF!</v>
      </c>
      <c r="L162" s="53" t="e">
        <f>DATA!#REF!</f>
        <v>#REF!</v>
      </c>
      <c r="M162" s="53" t="e">
        <f>DATA!#REF!</f>
        <v>#REF!</v>
      </c>
      <c r="N162" s="214">
        <v>19620350000</v>
      </c>
      <c r="O162" s="214">
        <v>21697550000</v>
      </c>
    </row>
    <row r="163" spans="2:16" ht="16" hidden="1" x14ac:dyDescent="0.2">
      <c r="B163" s="52" t="s">
        <v>217</v>
      </c>
      <c r="C163" s="54" t="s">
        <v>219</v>
      </c>
      <c r="D163" s="53" t="e">
        <f>DATA!#REF!</f>
        <v>#REF!</v>
      </c>
      <c r="E163" s="53" t="e">
        <f>DATA!#REF!</f>
        <v>#REF!</v>
      </c>
      <c r="F163" s="53" t="e">
        <f>DATA!#REF!</f>
        <v>#REF!</v>
      </c>
      <c r="G163" s="53" t="e">
        <f>DATA!#REF!</f>
        <v>#REF!</v>
      </c>
      <c r="H163" s="53" t="e">
        <f>DATA!#REF!</f>
        <v>#REF!</v>
      </c>
      <c r="I163" s="53" t="e">
        <f>DATA!#REF!</f>
        <v>#REF!</v>
      </c>
      <c r="J163" s="53" t="e">
        <f>DATA!#REF!</f>
        <v>#REF!</v>
      </c>
      <c r="K163" s="53" t="e">
        <f>DATA!#REF!</f>
        <v>#REF!</v>
      </c>
      <c r="L163" s="53" t="e">
        <f>DATA!#REF!</f>
        <v>#REF!</v>
      </c>
      <c r="M163" s="53" t="e">
        <f>DATA!#REF!</f>
        <v>#REF!</v>
      </c>
      <c r="N163" s="214">
        <v>98531400000</v>
      </c>
      <c r="O163" s="214">
        <v>117580890000</v>
      </c>
    </row>
    <row r="164" spans="2:16" ht="16" hidden="1" x14ac:dyDescent="0.2">
      <c r="B164" s="52" t="s">
        <v>217</v>
      </c>
      <c r="C164" s="54" t="s">
        <v>220</v>
      </c>
      <c r="D164" s="53" t="e">
        <f>DATA!#REF!</f>
        <v>#REF!</v>
      </c>
      <c r="E164" s="53" t="e">
        <f>DATA!#REF!</f>
        <v>#REF!</v>
      </c>
      <c r="F164" s="53" t="e">
        <f>DATA!#REF!</f>
        <v>#REF!</v>
      </c>
      <c r="G164" s="53" t="e">
        <f>DATA!#REF!</f>
        <v>#REF!</v>
      </c>
      <c r="H164" s="53" t="e">
        <f>DATA!#REF!</f>
        <v>#REF!</v>
      </c>
      <c r="I164" s="53" t="e">
        <f>DATA!#REF!</f>
        <v>#REF!</v>
      </c>
      <c r="J164" s="53" t="e">
        <f>DATA!#REF!</f>
        <v>#REF!</v>
      </c>
      <c r="K164" s="53" t="e">
        <f>DATA!#REF!</f>
        <v>#REF!</v>
      </c>
      <c r="L164" s="53" t="e">
        <f>DATA!#REF!</f>
        <v>#REF!</v>
      </c>
      <c r="M164" s="53" t="e">
        <f>DATA!#REF!</f>
        <v>#REF!</v>
      </c>
      <c r="N164" s="214">
        <v>10022250000</v>
      </c>
      <c r="O164" s="214">
        <v>17538450000</v>
      </c>
    </row>
    <row r="167" spans="2:16" x14ac:dyDescent="0.2">
      <c r="C167" s="54" t="s">
        <v>346</v>
      </c>
    </row>
    <row r="168" spans="2:16" x14ac:dyDescent="0.2">
      <c r="C168" s="54" t="s">
        <v>207</v>
      </c>
      <c r="D168" s="215">
        <v>1147479030231</v>
      </c>
      <c r="E168" s="215">
        <v>1059836524693</v>
      </c>
      <c r="F168" s="215">
        <v>1075941072798</v>
      </c>
      <c r="G168" s="215">
        <v>1136717782140</v>
      </c>
      <c r="H168" s="215">
        <v>1178814582203</v>
      </c>
      <c r="I168" s="215">
        <v>1219457237377</v>
      </c>
      <c r="J168" s="215">
        <v>1378305772338</v>
      </c>
      <c r="K168" s="216">
        <v>1490245196812</v>
      </c>
      <c r="L168" s="216">
        <v>1689128717794</v>
      </c>
      <c r="M168" s="217">
        <v>1873560534525</v>
      </c>
      <c r="N168" s="218">
        <v>2072466106173</v>
      </c>
      <c r="O168" s="218">
        <v>2269684868394</v>
      </c>
    </row>
    <row r="169" spans="2:16" x14ac:dyDescent="0.2">
      <c r="C169" s="54" t="s">
        <v>207</v>
      </c>
      <c r="D169" s="217">
        <v>9787251521</v>
      </c>
      <c r="E169" s="219">
        <v>9283199996</v>
      </c>
      <c r="F169" s="217">
        <v>9564466715</v>
      </c>
      <c r="G169" s="217">
        <v>9405286904</v>
      </c>
      <c r="H169" s="217">
        <v>9191757861</v>
      </c>
      <c r="I169" s="217">
        <v>8337120782</v>
      </c>
      <c r="J169" s="217">
        <v>7983124244</v>
      </c>
      <c r="K169" s="217">
        <v>7828795755</v>
      </c>
      <c r="L169" s="217">
        <v>7633800771</v>
      </c>
      <c r="M169" s="217">
        <v>7459775694</v>
      </c>
      <c r="N169" s="218">
        <v>6974057806</v>
      </c>
      <c r="O169" s="218">
        <v>6432786980</v>
      </c>
    </row>
    <row r="170" spans="2:16" x14ac:dyDescent="0.2">
      <c r="C170" s="54" t="s">
        <v>211</v>
      </c>
      <c r="D170" s="217">
        <v>617388935208</v>
      </c>
      <c r="E170" s="220">
        <v>641355826984</v>
      </c>
      <c r="F170" s="217">
        <v>714122331087</v>
      </c>
      <c r="G170" s="217">
        <v>828149405266</v>
      </c>
      <c r="H170" s="217">
        <v>942281111056</v>
      </c>
      <c r="I170" s="217">
        <v>1061749655584</v>
      </c>
      <c r="J170" s="217">
        <v>1263411463377</v>
      </c>
      <c r="K170" s="216">
        <v>1408151899248</v>
      </c>
      <c r="L170" s="216">
        <v>1661204287348</v>
      </c>
      <c r="M170" s="217">
        <v>1884077906690</v>
      </c>
      <c r="N170" s="218">
        <v>2174765666320</v>
      </c>
      <c r="O170" s="218">
        <v>2357795195257</v>
      </c>
    </row>
    <row r="171" spans="2:16" x14ac:dyDescent="0.2">
      <c r="C171" s="54" t="s">
        <v>218</v>
      </c>
      <c r="D171" s="217">
        <v>36367269639</v>
      </c>
      <c r="E171" s="220">
        <v>46067112309</v>
      </c>
      <c r="F171" s="217">
        <v>65390137765</v>
      </c>
      <c r="G171" s="217">
        <v>87363644373</v>
      </c>
      <c r="H171" s="217">
        <v>113146946702</v>
      </c>
      <c r="I171" s="217">
        <v>143342303049</v>
      </c>
      <c r="J171" s="217">
        <v>182312198583</v>
      </c>
      <c r="K171" s="216">
        <v>229400437441</v>
      </c>
      <c r="L171" s="217">
        <v>310005556768</v>
      </c>
      <c r="M171" s="217">
        <v>375444603055</v>
      </c>
      <c r="N171" s="218">
        <v>442698671892</v>
      </c>
      <c r="O171" s="218">
        <v>529319867060</v>
      </c>
    </row>
    <row r="172" spans="2:16" x14ac:dyDescent="0.2">
      <c r="C172" s="54" t="s">
        <v>212</v>
      </c>
      <c r="D172" s="217">
        <v>13469430921</v>
      </c>
      <c r="E172" s="220">
        <v>21779092016</v>
      </c>
      <c r="F172" s="217">
        <v>31958511524</v>
      </c>
      <c r="G172" s="217">
        <v>42799955655</v>
      </c>
      <c r="H172" s="217">
        <v>57933433924</v>
      </c>
      <c r="I172" s="217">
        <v>69056405609</v>
      </c>
      <c r="J172" s="217">
        <v>76005949782</v>
      </c>
      <c r="K172" s="216">
        <v>80667491327</v>
      </c>
      <c r="L172" s="217">
        <v>91494491443</v>
      </c>
      <c r="M172" s="217">
        <v>101068876374</v>
      </c>
      <c r="N172" s="218">
        <v>107157807951</v>
      </c>
      <c r="O172" s="218">
        <v>114324863034</v>
      </c>
    </row>
    <row r="173" spans="2:16" x14ac:dyDescent="0.2">
      <c r="C173" s="54" t="s">
        <v>219</v>
      </c>
      <c r="D173" s="217"/>
      <c r="E173" s="220"/>
      <c r="F173" s="217">
        <v>9630000</v>
      </c>
      <c r="G173" s="217">
        <v>8294394</v>
      </c>
      <c r="H173" s="217">
        <v>28358115388</v>
      </c>
      <c r="I173" s="217">
        <v>70729974420</v>
      </c>
      <c r="J173" s="217">
        <v>147333061236</v>
      </c>
      <c r="K173" s="216">
        <v>210389493640</v>
      </c>
      <c r="L173" s="217">
        <v>265187908930</v>
      </c>
      <c r="M173" s="217">
        <v>354053782593</v>
      </c>
      <c r="N173" s="218">
        <v>405762171754</v>
      </c>
      <c r="O173" s="218">
        <v>466276829515</v>
      </c>
    </row>
    <row r="174" spans="2:16" x14ac:dyDescent="0.2">
      <c r="C174" s="54" t="s">
        <v>220</v>
      </c>
      <c r="D174" s="217"/>
      <c r="E174" s="220"/>
      <c r="F174" s="217"/>
      <c r="G174" s="217">
        <v>31810609</v>
      </c>
      <c r="H174" s="217">
        <v>107196374</v>
      </c>
      <c r="I174" s="217">
        <v>692239123</v>
      </c>
      <c r="J174" s="217">
        <v>1249560912</v>
      </c>
      <c r="K174" s="216">
        <v>1781017598</v>
      </c>
      <c r="L174" s="217">
        <v>4151089766</v>
      </c>
      <c r="M174" s="217">
        <v>9760122310</v>
      </c>
      <c r="N174" s="218">
        <v>18483847677</v>
      </c>
      <c r="O174" s="218">
        <v>34203552680</v>
      </c>
      <c r="P174" s="70"/>
    </row>
    <row r="178" spans="3:6" x14ac:dyDescent="0.2">
      <c r="E178" s="52" t="s">
        <v>342</v>
      </c>
      <c r="F178" s="52" t="s">
        <v>343</v>
      </c>
    </row>
    <row r="179" spans="3:6" ht="16" x14ac:dyDescent="0.2">
      <c r="C179" s="52" t="s">
        <v>217</v>
      </c>
      <c r="D179" s="54" t="s">
        <v>207</v>
      </c>
      <c r="E179" s="221">
        <f>SUMPRODUCT(M168:O168,M147:O147)/SUM(M168:O168)</f>
        <v>0.08</v>
      </c>
      <c r="F179" s="221">
        <f>SUMPRODUCT(M168:O168,AC147:AE147)/SUM(M168:O168)</f>
        <v>0.05</v>
      </c>
    </row>
    <row r="180" spans="3:6" ht="16" x14ac:dyDescent="0.2">
      <c r="C180" s="52" t="s">
        <v>217</v>
      </c>
      <c r="D180" s="54" t="s">
        <v>207</v>
      </c>
      <c r="E180" s="221">
        <f t="shared" ref="E180:E185" si="3">SUMPRODUCT(M169:O169,M148:O148)/SUM(M169:O169)</f>
        <v>0.08</v>
      </c>
      <c r="F180" s="221">
        <f t="shared" ref="F180:F185" si="4">SUMPRODUCT(M169:O169,AC148:AE148)/SUM(M169:O169)</f>
        <v>0.05</v>
      </c>
    </row>
    <row r="181" spans="3:6" ht="16" x14ac:dyDescent="0.2">
      <c r="C181" s="52" t="s">
        <v>217</v>
      </c>
      <c r="D181" s="54" t="s">
        <v>211</v>
      </c>
      <c r="E181" s="221">
        <f t="shared" si="3"/>
        <v>0.08</v>
      </c>
      <c r="F181" s="221">
        <f t="shared" si="4"/>
        <v>4.9999999999999996E-2</v>
      </c>
    </row>
    <row r="182" spans="3:6" ht="16" x14ac:dyDescent="0.2">
      <c r="C182" s="52" t="s">
        <v>217</v>
      </c>
      <c r="D182" s="54" t="s">
        <v>218</v>
      </c>
      <c r="E182" s="221">
        <f t="shared" si="3"/>
        <v>0.08</v>
      </c>
      <c r="F182" s="221">
        <f t="shared" si="4"/>
        <v>0.08</v>
      </c>
    </row>
    <row r="183" spans="3:6" ht="16" x14ac:dyDescent="0.2">
      <c r="C183" s="52" t="s">
        <v>217</v>
      </c>
      <c r="D183" s="54" t="s">
        <v>212</v>
      </c>
      <c r="E183" s="221">
        <f t="shared" si="3"/>
        <v>0.08</v>
      </c>
      <c r="F183" s="221">
        <f t="shared" si="4"/>
        <v>0.08</v>
      </c>
    </row>
    <row r="184" spans="3:6" ht="16" x14ac:dyDescent="0.2">
      <c r="C184" s="52" t="s">
        <v>217</v>
      </c>
      <c r="D184" s="54" t="s">
        <v>219</v>
      </c>
      <c r="E184" s="221">
        <f t="shared" si="3"/>
        <v>2.9999999999999995E-2</v>
      </c>
      <c r="F184" s="221">
        <f t="shared" si="4"/>
        <v>2.9999999999999995E-2</v>
      </c>
    </row>
    <row r="185" spans="3:6" ht="16" x14ac:dyDescent="0.2">
      <c r="C185" s="52" t="s">
        <v>217</v>
      </c>
      <c r="D185" s="54" t="s">
        <v>220</v>
      </c>
      <c r="E185" s="221">
        <f t="shared" si="3"/>
        <v>2.9999999999999995E-2</v>
      </c>
      <c r="F185" s="221">
        <f t="shared" si="4"/>
        <v>2.9999999999999995E-2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06113-6611-7F4A-8493-0C92003F55FD}">
  <dimension ref="B4:AB41"/>
  <sheetViews>
    <sheetView topLeftCell="C1" zoomScale="41" workbookViewId="0">
      <selection activeCell="G124" sqref="G124"/>
    </sheetView>
  </sheetViews>
  <sheetFormatPr baseColWidth="10" defaultColWidth="8.83203125" defaultRowHeight="15" x14ac:dyDescent="0.2"/>
  <cols>
    <col min="1" max="1" width="8.83203125" style="52"/>
    <col min="2" max="2" width="22.33203125" style="52" bestFit="1" customWidth="1"/>
    <col min="3" max="13" width="17.5" style="52" bestFit="1" customWidth="1"/>
    <col min="14" max="15" width="11.6640625" style="52" bestFit="1" customWidth="1"/>
    <col min="16" max="28" width="13.5" style="52" bestFit="1" customWidth="1"/>
    <col min="29" max="16384" width="8.83203125" style="52"/>
  </cols>
  <sheetData>
    <row r="4" spans="2:28" x14ac:dyDescent="0.2">
      <c r="B4" s="222" t="s">
        <v>150</v>
      </c>
    </row>
    <row r="6" spans="2:28" x14ac:dyDescent="0.2">
      <c r="B6" s="52" t="s">
        <v>347</v>
      </c>
      <c r="C6" s="52" t="s">
        <v>348</v>
      </c>
    </row>
    <row r="7" spans="2:28" x14ac:dyDescent="0.2">
      <c r="B7" s="52" t="s">
        <v>225</v>
      </c>
      <c r="C7" s="52">
        <v>202412</v>
      </c>
      <c r="D7" s="52">
        <v>202501</v>
      </c>
      <c r="E7" s="52">
        <v>202502</v>
      </c>
      <c r="F7" s="52">
        <v>202503</v>
      </c>
      <c r="G7" s="52">
        <v>202504</v>
      </c>
      <c r="H7" s="52">
        <v>202505</v>
      </c>
      <c r="I7" s="52">
        <v>202506</v>
      </c>
      <c r="J7" s="52">
        <v>202507</v>
      </c>
      <c r="K7" s="52">
        <v>202508</v>
      </c>
      <c r="L7" s="52">
        <v>202509</v>
      </c>
      <c r="M7" s="52">
        <v>202510</v>
      </c>
      <c r="O7" s="52" t="s">
        <v>225</v>
      </c>
      <c r="P7" s="52">
        <v>202412</v>
      </c>
      <c r="Q7" s="52">
        <v>202501</v>
      </c>
      <c r="R7" s="52">
        <v>202502</v>
      </c>
      <c r="S7" s="52">
        <v>202503</v>
      </c>
      <c r="T7" s="52">
        <v>202504</v>
      </c>
      <c r="U7" s="52">
        <v>202505</v>
      </c>
      <c r="V7" s="52">
        <v>202506</v>
      </c>
      <c r="W7" s="52">
        <v>202507</v>
      </c>
      <c r="X7" s="52">
        <v>202508</v>
      </c>
      <c r="Y7" s="52">
        <v>202509</v>
      </c>
      <c r="Z7" s="52">
        <v>202510</v>
      </c>
      <c r="AA7" s="52">
        <v>202511</v>
      </c>
      <c r="AB7" s="52">
        <v>202512</v>
      </c>
    </row>
    <row r="8" spans="2:28" x14ac:dyDescent="0.2">
      <c r="B8" s="222" t="s">
        <v>349</v>
      </c>
      <c r="C8" s="52">
        <v>140907432312</v>
      </c>
      <c r="D8" s="52">
        <v>125733474174</v>
      </c>
      <c r="E8" s="52">
        <v>120452958029</v>
      </c>
      <c r="F8" s="52">
        <v>124792371704</v>
      </c>
      <c r="G8" s="52">
        <v>130856706527</v>
      </c>
      <c r="H8" s="52">
        <v>132564696356</v>
      </c>
      <c r="I8" s="52">
        <v>131668433529</v>
      </c>
      <c r="J8" s="52">
        <v>187034559967</v>
      </c>
      <c r="K8" s="52">
        <v>234570648779</v>
      </c>
      <c r="L8" s="52">
        <v>361167057609</v>
      </c>
      <c r="M8" s="52">
        <v>427073147362</v>
      </c>
      <c r="O8" s="52" t="s">
        <v>349</v>
      </c>
      <c r="P8" s="77">
        <v>140907432312</v>
      </c>
      <c r="Q8" s="77">
        <v>125733474174</v>
      </c>
      <c r="R8" s="77">
        <v>120452958029</v>
      </c>
      <c r="S8" s="77">
        <v>124792371704</v>
      </c>
      <c r="T8" s="77">
        <v>130856706527</v>
      </c>
      <c r="U8" s="77">
        <v>132564696356</v>
      </c>
      <c r="V8" s="77">
        <v>131668433529</v>
      </c>
      <c r="W8" s="77">
        <v>187034559967</v>
      </c>
      <c r="X8" s="77">
        <v>234570648779</v>
      </c>
      <c r="Y8" s="77">
        <v>361167057609</v>
      </c>
      <c r="Z8" s="77">
        <v>427073147362</v>
      </c>
      <c r="AA8" s="77">
        <v>444050983683</v>
      </c>
      <c r="AB8" s="77">
        <v>518502880178</v>
      </c>
    </row>
    <row r="9" spans="2:28" x14ac:dyDescent="0.2">
      <c r="B9" s="222" t="s">
        <v>350</v>
      </c>
      <c r="C9" s="52">
        <v>8049379348</v>
      </c>
      <c r="D9" s="52">
        <v>10430070154</v>
      </c>
      <c r="E9" s="52">
        <v>9674986086</v>
      </c>
      <c r="F9" s="52">
        <v>8031063372</v>
      </c>
      <c r="G9" s="52">
        <v>7402106547</v>
      </c>
      <c r="H9" s="52">
        <v>8351092769</v>
      </c>
      <c r="I9" s="52">
        <v>8559537399</v>
      </c>
      <c r="J9" s="52">
        <v>8307280207</v>
      </c>
      <c r="K9" s="52">
        <v>16822083715</v>
      </c>
      <c r="L9" s="52">
        <v>19265374663</v>
      </c>
      <c r="M9" s="52">
        <v>40594276097</v>
      </c>
      <c r="O9" s="52" t="s">
        <v>350</v>
      </c>
      <c r="P9" s="77">
        <v>8049379348</v>
      </c>
      <c r="Q9" s="77">
        <v>10430070154</v>
      </c>
      <c r="R9" s="77">
        <v>9674986086</v>
      </c>
      <c r="S9" s="77">
        <v>8031063372</v>
      </c>
      <c r="T9" s="77">
        <v>7402106547</v>
      </c>
      <c r="U9" s="77">
        <v>8351092769</v>
      </c>
      <c r="V9" s="77">
        <v>8559537399</v>
      </c>
      <c r="W9" s="77">
        <v>8307280207</v>
      </c>
      <c r="X9" s="77">
        <v>16822083715</v>
      </c>
      <c r="Y9" s="77">
        <v>19265374663</v>
      </c>
      <c r="Z9" s="77">
        <v>40594276097</v>
      </c>
      <c r="AA9" s="77">
        <v>41642193407</v>
      </c>
      <c r="AB9" s="77">
        <v>38818570296</v>
      </c>
    </row>
    <row r="10" spans="2:28" x14ac:dyDescent="0.2">
      <c r="B10" s="222" t="s">
        <v>351</v>
      </c>
      <c r="C10" s="52">
        <v>4435792144</v>
      </c>
      <c r="D10" s="52">
        <v>4896829780</v>
      </c>
      <c r="E10" s="52">
        <v>8595511000</v>
      </c>
      <c r="F10" s="52">
        <v>7706420334</v>
      </c>
      <c r="G10" s="52">
        <v>5771683753</v>
      </c>
      <c r="H10" s="52">
        <v>5654194523</v>
      </c>
      <c r="I10" s="52">
        <v>6582155229</v>
      </c>
      <c r="J10" s="52">
        <v>6768128609</v>
      </c>
      <c r="K10" s="52">
        <v>6476677859</v>
      </c>
      <c r="L10" s="52">
        <v>12875173819</v>
      </c>
      <c r="M10" s="52">
        <v>15270541419</v>
      </c>
      <c r="O10" s="52" t="s">
        <v>351</v>
      </c>
      <c r="P10" s="77">
        <v>4435792144</v>
      </c>
      <c r="Q10" s="77">
        <v>4896829780</v>
      </c>
      <c r="R10" s="77">
        <v>8595511000</v>
      </c>
      <c r="S10" s="77">
        <v>7706420334</v>
      </c>
      <c r="T10" s="77">
        <v>5771683753</v>
      </c>
      <c r="U10" s="77">
        <v>5654194523</v>
      </c>
      <c r="V10" s="77">
        <v>6582155229</v>
      </c>
      <c r="W10" s="77">
        <v>6768128609</v>
      </c>
      <c r="X10" s="77">
        <v>6476677859</v>
      </c>
      <c r="Y10" s="77">
        <v>12875173819</v>
      </c>
      <c r="Z10" s="77">
        <v>15270541419</v>
      </c>
      <c r="AA10" s="77">
        <v>32868197980</v>
      </c>
      <c r="AB10" s="77">
        <v>34029191778</v>
      </c>
    </row>
    <row r="11" spans="2:28" x14ac:dyDescent="0.2">
      <c r="B11" s="222" t="s">
        <v>352</v>
      </c>
      <c r="C11" s="52">
        <v>5098774496</v>
      </c>
      <c r="D11" s="52">
        <v>4313905587</v>
      </c>
      <c r="E11" s="52">
        <v>4713700431</v>
      </c>
      <c r="F11" s="52">
        <v>7751016797</v>
      </c>
      <c r="G11" s="52">
        <v>7330539438</v>
      </c>
      <c r="H11" s="52">
        <v>5690338454</v>
      </c>
      <c r="I11" s="52">
        <v>5340986249</v>
      </c>
      <c r="J11" s="52">
        <v>5791073866</v>
      </c>
      <c r="K11" s="52">
        <v>6185152797</v>
      </c>
      <c r="L11" s="52">
        <v>6135605392</v>
      </c>
      <c r="M11" s="52">
        <v>11999715261</v>
      </c>
      <c r="O11" s="52" t="s">
        <v>352</v>
      </c>
      <c r="P11" s="77">
        <v>5098774496</v>
      </c>
      <c r="Q11" s="77">
        <v>4313905587</v>
      </c>
      <c r="R11" s="77">
        <v>4713700431</v>
      </c>
      <c r="S11" s="77">
        <v>7751016797</v>
      </c>
      <c r="T11" s="77">
        <v>7330539438</v>
      </c>
      <c r="U11" s="77">
        <v>5690338454</v>
      </c>
      <c r="V11" s="77">
        <v>5340986249</v>
      </c>
      <c r="W11" s="77">
        <v>5791073866</v>
      </c>
      <c r="X11" s="77">
        <v>6185152797</v>
      </c>
      <c r="Y11" s="77">
        <v>6135605392</v>
      </c>
      <c r="Z11" s="77">
        <v>11999715261</v>
      </c>
      <c r="AA11" s="77">
        <v>14553409292</v>
      </c>
      <c r="AB11" s="77">
        <v>31842681047</v>
      </c>
    </row>
    <row r="12" spans="2:28" x14ac:dyDescent="0.2">
      <c r="B12" s="222" t="s">
        <v>353</v>
      </c>
      <c r="C12" s="52">
        <v>4790023788</v>
      </c>
      <c r="D12" s="52">
        <v>4888975408</v>
      </c>
      <c r="E12" s="52">
        <v>4169222252</v>
      </c>
      <c r="F12" s="52">
        <v>4758990057</v>
      </c>
      <c r="G12" s="52">
        <v>7495611443</v>
      </c>
      <c r="H12" s="52">
        <v>7133370522</v>
      </c>
      <c r="I12" s="52">
        <v>5549175405</v>
      </c>
      <c r="J12" s="52">
        <v>5489579313</v>
      </c>
      <c r="K12" s="52">
        <v>5883465410</v>
      </c>
      <c r="L12" s="52">
        <v>5984050756</v>
      </c>
      <c r="M12" s="52">
        <v>5935025762</v>
      </c>
      <c r="O12" s="52" t="s">
        <v>353</v>
      </c>
      <c r="P12" s="77">
        <v>4790023788</v>
      </c>
      <c r="Q12" s="77">
        <v>4888975408</v>
      </c>
      <c r="R12" s="77">
        <v>4169222252</v>
      </c>
      <c r="S12" s="77">
        <v>4758990057</v>
      </c>
      <c r="T12" s="77">
        <v>7495611443</v>
      </c>
      <c r="U12" s="77">
        <v>7133370522</v>
      </c>
      <c r="V12" s="77">
        <v>5549175405</v>
      </c>
      <c r="W12" s="77">
        <v>5489579313</v>
      </c>
      <c r="X12" s="77">
        <v>5883465410</v>
      </c>
      <c r="Y12" s="77">
        <v>5984050756</v>
      </c>
      <c r="Z12" s="77">
        <v>5935025762</v>
      </c>
      <c r="AA12" s="77">
        <v>11657360869</v>
      </c>
      <c r="AB12" s="77">
        <v>14406280932</v>
      </c>
    </row>
    <row r="13" spans="2:28" x14ac:dyDescent="0.2">
      <c r="B13" s="222" t="s">
        <v>354</v>
      </c>
      <c r="C13" s="52">
        <v>4124645905</v>
      </c>
      <c r="D13" s="52">
        <v>4934745342</v>
      </c>
      <c r="E13" s="52">
        <v>4778161995</v>
      </c>
      <c r="F13" s="52">
        <v>3925917203</v>
      </c>
      <c r="G13" s="52">
        <v>4662271901</v>
      </c>
      <c r="H13" s="52">
        <v>7322457696</v>
      </c>
      <c r="I13" s="52">
        <v>6999822052</v>
      </c>
      <c r="J13" s="52">
        <v>5316725948</v>
      </c>
      <c r="K13" s="52">
        <v>5360248366</v>
      </c>
      <c r="L13" s="52">
        <v>5783462054</v>
      </c>
      <c r="M13" s="52">
        <v>5974154178</v>
      </c>
      <c r="O13" s="52" t="s">
        <v>354</v>
      </c>
      <c r="P13" s="77">
        <v>4124645905</v>
      </c>
      <c r="Q13" s="77">
        <v>4934745342</v>
      </c>
      <c r="R13" s="77">
        <v>4778161995</v>
      </c>
      <c r="S13" s="77">
        <v>3925917203</v>
      </c>
      <c r="T13" s="77">
        <v>4662271901</v>
      </c>
      <c r="U13" s="77">
        <v>7322457696</v>
      </c>
      <c r="V13" s="77">
        <v>6999822052</v>
      </c>
      <c r="W13" s="77">
        <v>5316725948</v>
      </c>
      <c r="X13" s="77">
        <v>5360248366</v>
      </c>
      <c r="Y13" s="77">
        <v>5783462054</v>
      </c>
      <c r="Z13" s="77">
        <v>5974154178</v>
      </c>
      <c r="AA13" s="77">
        <v>5854320253</v>
      </c>
      <c r="AB13" s="77">
        <v>11465822103</v>
      </c>
    </row>
    <row r="14" spans="2:28" x14ac:dyDescent="0.2">
      <c r="B14" s="222" t="s">
        <v>355</v>
      </c>
      <c r="C14" s="52">
        <v>3444566681</v>
      </c>
      <c r="D14" s="52">
        <v>4087432848</v>
      </c>
      <c r="E14" s="52">
        <v>4501563793</v>
      </c>
      <c r="F14" s="52">
        <v>4721019466</v>
      </c>
      <c r="G14" s="52">
        <v>3874414147</v>
      </c>
      <c r="H14" s="52">
        <v>4311181112</v>
      </c>
      <c r="I14" s="52">
        <v>7219004819</v>
      </c>
      <c r="J14" s="52">
        <v>7209935596</v>
      </c>
      <c r="K14" s="52">
        <v>5292425080</v>
      </c>
      <c r="L14" s="52">
        <v>5287955522</v>
      </c>
      <c r="M14" s="52">
        <v>5868477448</v>
      </c>
      <c r="O14" s="52" t="s">
        <v>355</v>
      </c>
      <c r="P14" s="77">
        <v>3444566681</v>
      </c>
      <c r="Q14" s="77">
        <v>4087432848</v>
      </c>
      <c r="R14" s="77">
        <v>4501563793</v>
      </c>
      <c r="S14" s="77">
        <v>4721019466</v>
      </c>
      <c r="T14" s="77">
        <v>3874414147</v>
      </c>
      <c r="U14" s="77">
        <v>4311181112</v>
      </c>
      <c r="V14" s="77">
        <v>7219004819</v>
      </c>
      <c r="W14" s="77">
        <v>7209935596</v>
      </c>
      <c r="X14" s="77">
        <v>5292425080</v>
      </c>
      <c r="Y14" s="77">
        <v>5287955522</v>
      </c>
      <c r="Z14" s="77">
        <v>5868417448</v>
      </c>
      <c r="AA14" s="77">
        <v>5926888411</v>
      </c>
      <c r="AB14" s="77">
        <v>5566562267</v>
      </c>
    </row>
    <row r="15" spans="2:28" x14ac:dyDescent="0.2">
      <c r="B15" s="222" t="s">
        <v>356</v>
      </c>
      <c r="C15" s="52">
        <v>3056608221</v>
      </c>
      <c r="D15" s="52">
        <v>3297912124</v>
      </c>
      <c r="E15" s="52">
        <v>4187173007</v>
      </c>
      <c r="F15" s="52">
        <v>4597721703</v>
      </c>
      <c r="G15" s="52">
        <v>4660876514</v>
      </c>
      <c r="H15" s="52">
        <v>3968094669</v>
      </c>
      <c r="I15" s="52">
        <v>4256572638</v>
      </c>
      <c r="J15" s="52">
        <v>6625430860</v>
      </c>
      <c r="K15" s="52">
        <v>7277688767</v>
      </c>
      <c r="L15" s="52">
        <v>5205196152</v>
      </c>
      <c r="M15" s="52">
        <v>5018131138</v>
      </c>
      <c r="O15" s="52" t="s">
        <v>356</v>
      </c>
      <c r="P15" s="77">
        <v>3056608221</v>
      </c>
      <c r="Q15" s="77">
        <v>3297912124</v>
      </c>
      <c r="R15" s="77">
        <v>4187173007</v>
      </c>
      <c r="S15" s="77">
        <v>4597721703</v>
      </c>
      <c r="T15" s="77">
        <v>4660876514</v>
      </c>
      <c r="U15" s="77">
        <v>3968094669</v>
      </c>
      <c r="V15" s="77">
        <v>4254982638</v>
      </c>
      <c r="W15" s="77">
        <v>6625430860</v>
      </c>
      <c r="X15" s="77">
        <v>7272688767</v>
      </c>
      <c r="Y15" s="77">
        <v>5198158627</v>
      </c>
      <c r="Z15" s="77">
        <v>4994629138</v>
      </c>
      <c r="AA15" s="77">
        <v>5772400183</v>
      </c>
      <c r="AB15" s="77">
        <v>5901405147</v>
      </c>
    </row>
    <row r="16" spans="2:28" x14ac:dyDescent="0.2">
      <c r="B16" s="222" t="s">
        <v>357</v>
      </c>
      <c r="C16" s="52">
        <v>2403947249</v>
      </c>
      <c r="D16" s="52">
        <v>3032344975</v>
      </c>
      <c r="E16" s="52">
        <v>3231259504</v>
      </c>
      <c r="F16" s="52">
        <v>3883092064</v>
      </c>
      <c r="G16" s="52">
        <v>4455085951</v>
      </c>
      <c r="H16" s="52">
        <v>4509113367</v>
      </c>
      <c r="I16" s="52">
        <v>3907179760</v>
      </c>
      <c r="J16" s="52">
        <v>4539312832</v>
      </c>
      <c r="K16" s="52">
        <v>6203958337</v>
      </c>
      <c r="L16" s="52">
        <v>7170503915</v>
      </c>
      <c r="M16" s="52">
        <v>5245986074</v>
      </c>
      <c r="O16" s="52" t="s">
        <v>357</v>
      </c>
      <c r="P16" s="77">
        <v>2403947249</v>
      </c>
      <c r="Q16" s="77">
        <v>3032344975</v>
      </c>
      <c r="R16" s="77">
        <v>3209061450</v>
      </c>
      <c r="S16" s="77">
        <v>3877434529</v>
      </c>
      <c r="T16" s="77">
        <v>4432611255</v>
      </c>
      <c r="U16" s="77">
        <v>4506713760</v>
      </c>
      <c r="V16" s="77">
        <v>3895059680</v>
      </c>
      <c r="W16" s="77">
        <v>4514742412</v>
      </c>
      <c r="X16" s="77">
        <v>6166309473</v>
      </c>
      <c r="Y16" s="77">
        <v>7131035354</v>
      </c>
      <c r="Z16" s="77">
        <v>5206442770</v>
      </c>
      <c r="AA16" s="77">
        <v>4941925114</v>
      </c>
      <c r="AB16" s="77">
        <v>5596138320</v>
      </c>
    </row>
    <row r="17" spans="2:28" x14ac:dyDescent="0.2">
      <c r="B17" s="222" t="s">
        <v>358</v>
      </c>
      <c r="C17" s="52">
        <v>1992845181</v>
      </c>
      <c r="D17" s="52">
        <v>2364770807</v>
      </c>
      <c r="E17" s="52">
        <v>2875111337</v>
      </c>
      <c r="F17" s="52">
        <v>3263425245</v>
      </c>
      <c r="G17" s="52">
        <v>3870803181</v>
      </c>
      <c r="H17" s="52">
        <v>4639256336</v>
      </c>
      <c r="I17" s="52">
        <v>4472172151</v>
      </c>
      <c r="J17" s="52">
        <v>4042746905</v>
      </c>
      <c r="K17" s="52">
        <v>4652678695</v>
      </c>
      <c r="L17" s="52">
        <v>6203958337</v>
      </c>
      <c r="M17" s="52">
        <v>5088884000</v>
      </c>
      <c r="O17" s="52" t="s">
        <v>358</v>
      </c>
      <c r="P17" s="77">
        <v>1992845181</v>
      </c>
      <c r="Q17" s="77">
        <v>2364770807</v>
      </c>
      <c r="R17" s="77">
        <v>2861013337</v>
      </c>
      <c r="S17" s="77">
        <v>3241227191</v>
      </c>
      <c r="T17" s="77">
        <v>3857609577</v>
      </c>
      <c r="U17" s="77">
        <v>4616781640</v>
      </c>
      <c r="V17" s="77">
        <v>4463656517</v>
      </c>
      <c r="W17" s="77">
        <v>4019506825</v>
      </c>
      <c r="X17" s="77">
        <v>4617428275</v>
      </c>
      <c r="Y17" s="77">
        <v>6166309473</v>
      </c>
      <c r="Z17" s="77">
        <v>5059247637</v>
      </c>
      <c r="AA17" s="77">
        <v>5206442770</v>
      </c>
      <c r="AB17" s="77">
        <v>5118772716</v>
      </c>
    </row>
    <row r="18" spans="2:28" x14ac:dyDescent="0.2">
      <c r="B18" s="222" t="s">
        <v>359</v>
      </c>
      <c r="C18" s="52">
        <v>1893505610</v>
      </c>
      <c r="D18" s="52">
        <v>2029094278</v>
      </c>
      <c r="E18" s="52">
        <v>2193788847</v>
      </c>
      <c r="F18" s="52">
        <v>2889791733</v>
      </c>
      <c r="G18" s="52">
        <v>3263425245</v>
      </c>
      <c r="H18" s="52">
        <v>3870803181</v>
      </c>
      <c r="I18" s="52">
        <v>4639256336</v>
      </c>
      <c r="J18" s="52">
        <v>4272667881</v>
      </c>
      <c r="K18" s="52">
        <v>3904006251</v>
      </c>
      <c r="L18" s="52">
        <v>4652678695</v>
      </c>
      <c r="M18" s="52">
        <v>8160105786</v>
      </c>
      <c r="O18" s="111" t="s">
        <v>360</v>
      </c>
      <c r="P18" s="223">
        <f>SUM(P19:P41)</f>
        <v>19100946411</v>
      </c>
      <c r="Q18" s="223">
        <f t="shared" ref="Q18:AB18" si="0">SUM(Q19:Q41)</f>
        <v>21071369888</v>
      </c>
      <c r="R18" s="223">
        <f t="shared" si="0"/>
        <v>22848159753</v>
      </c>
      <c r="S18" s="223">
        <f t="shared" si="0"/>
        <v>25814153486</v>
      </c>
      <c r="T18" s="223">
        <f t="shared" si="0"/>
        <v>29055380677</v>
      </c>
      <c r="U18" s="223">
        <f t="shared" si="0"/>
        <v>32912990254</v>
      </c>
      <c r="V18" s="223">
        <f t="shared" si="0"/>
        <v>37529771894</v>
      </c>
      <c r="W18" s="223">
        <f t="shared" si="0"/>
        <v>41986480470</v>
      </c>
      <c r="X18" s="223">
        <f t="shared" si="0"/>
        <v>46118075097</v>
      </c>
      <c r="Y18" s="223">
        <f t="shared" si="0"/>
        <v>50731503372</v>
      </c>
      <c r="Z18" s="223">
        <f t="shared" si="0"/>
        <v>59102096116</v>
      </c>
      <c r="AA18" s="223">
        <f t="shared" si="0"/>
        <v>64161343753</v>
      </c>
      <c r="AB18" s="223">
        <f t="shared" si="0"/>
        <v>69549237551</v>
      </c>
    </row>
    <row r="19" spans="2:28" x14ac:dyDescent="0.2">
      <c r="B19" s="222" t="s">
        <v>361</v>
      </c>
      <c r="C19" s="52">
        <v>2615970631</v>
      </c>
      <c r="D19" s="52">
        <v>1853047905</v>
      </c>
      <c r="E19" s="52">
        <v>2016002111</v>
      </c>
      <c r="F19" s="52">
        <v>2284088847</v>
      </c>
      <c r="G19" s="52">
        <v>2889791733</v>
      </c>
      <c r="H19" s="52">
        <v>3150177356</v>
      </c>
      <c r="I19" s="52">
        <v>3870803181</v>
      </c>
      <c r="J19" s="52">
        <v>4264827550</v>
      </c>
      <c r="K19" s="52">
        <v>4383122556</v>
      </c>
      <c r="L19" s="52">
        <v>3904006251</v>
      </c>
      <c r="M19" s="52">
        <v>4755861069</v>
      </c>
      <c r="O19" s="52" t="s">
        <v>359</v>
      </c>
      <c r="P19" s="77">
        <v>1893505610</v>
      </c>
      <c r="Q19" s="77">
        <v>2029094278</v>
      </c>
      <c r="R19" s="77">
        <v>2188788847</v>
      </c>
      <c r="S19" s="77">
        <v>2875693733</v>
      </c>
      <c r="T19" s="77">
        <v>3241227191</v>
      </c>
      <c r="U19" s="77">
        <v>3857609577</v>
      </c>
      <c r="V19" s="77">
        <v>4616781640</v>
      </c>
      <c r="W19" s="77">
        <v>4264152247</v>
      </c>
      <c r="X19" s="77">
        <v>3880766171</v>
      </c>
      <c r="Y19" s="77">
        <v>4617428275</v>
      </c>
      <c r="Z19" s="77">
        <v>8109160127</v>
      </c>
      <c r="AA19" s="77">
        <v>5059247637</v>
      </c>
      <c r="AB19" s="77">
        <v>5240922659</v>
      </c>
    </row>
    <row r="20" spans="2:28" x14ac:dyDescent="0.2">
      <c r="B20" s="222" t="s">
        <v>362</v>
      </c>
      <c r="C20" s="52">
        <v>2699806684</v>
      </c>
      <c r="D20" s="52">
        <v>2660589206</v>
      </c>
      <c r="E20" s="52">
        <v>1815945991</v>
      </c>
      <c r="F20" s="52">
        <v>1936569111</v>
      </c>
      <c r="G20" s="52">
        <v>2284088847</v>
      </c>
      <c r="H20" s="52">
        <v>2883667643</v>
      </c>
      <c r="I20" s="52">
        <v>3150177356</v>
      </c>
      <c r="J20" s="52">
        <v>4095272285</v>
      </c>
      <c r="K20" s="52">
        <v>4222269485</v>
      </c>
      <c r="L20" s="52">
        <v>4383122556</v>
      </c>
      <c r="M20" s="52">
        <v>3918360283</v>
      </c>
      <c r="O20" s="52" t="s">
        <v>361</v>
      </c>
      <c r="P20" s="77">
        <v>2615970631</v>
      </c>
      <c r="Q20" s="77">
        <v>1853047905</v>
      </c>
      <c r="R20" s="77">
        <v>2013000076</v>
      </c>
      <c r="S20" s="77">
        <v>2279088847</v>
      </c>
      <c r="T20" s="77">
        <v>2875693733</v>
      </c>
      <c r="U20" s="77">
        <v>3127979302</v>
      </c>
      <c r="V20" s="77">
        <v>3857609577</v>
      </c>
      <c r="W20" s="77">
        <v>4245501387</v>
      </c>
      <c r="X20" s="77">
        <v>4374606922</v>
      </c>
      <c r="Y20" s="77">
        <v>3880766171</v>
      </c>
      <c r="Z20" s="77">
        <v>4721110655</v>
      </c>
      <c r="AA20" s="77">
        <v>8109160127</v>
      </c>
      <c r="AB20" s="77">
        <v>4948026348</v>
      </c>
    </row>
    <row r="21" spans="2:28" x14ac:dyDescent="0.2">
      <c r="B21" s="222" t="s">
        <v>363</v>
      </c>
      <c r="C21" s="52">
        <v>2678111331</v>
      </c>
      <c r="D21" s="52">
        <v>2736513609</v>
      </c>
      <c r="E21" s="52">
        <v>2627512020</v>
      </c>
      <c r="F21" s="52">
        <v>1803850991</v>
      </c>
      <c r="G21" s="52">
        <v>1936569111</v>
      </c>
      <c r="H21" s="52">
        <v>2278417771</v>
      </c>
      <c r="I21" s="52">
        <v>2883667643</v>
      </c>
      <c r="J21" s="52">
        <v>3374565195</v>
      </c>
      <c r="K21" s="52">
        <v>4168191840</v>
      </c>
      <c r="L21" s="52">
        <v>4222269485</v>
      </c>
      <c r="M21" s="52">
        <v>4527018767</v>
      </c>
      <c r="O21" s="52" t="s">
        <v>362</v>
      </c>
      <c r="P21" s="77">
        <v>2699806684</v>
      </c>
      <c r="Q21" s="77">
        <v>2660589206</v>
      </c>
      <c r="R21" s="77">
        <v>1812573991</v>
      </c>
      <c r="S21" s="77">
        <v>1933567076</v>
      </c>
      <c r="T21" s="77">
        <v>2279088847</v>
      </c>
      <c r="U21" s="77">
        <v>2869569643</v>
      </c>
      <c r="V21" s="77">
        <v>3127979302</v>
      </c>
      <c r="W21" s="77">
        <v>4078930148</v>
      </c>
      <c r="X21" s="77">
        <v>4202943322</v>
      </c>
      <c r="Y21" s="77">
        <v>4370606922</v>
      </c>
      <c r="Z21" s="77">
        <v>3894620197</v>
      </c>
      <c r="AA21" s="77">
        <v>4721110655</v>
      </c>
      <c r="AB21" s="77">
        <v>8367352555</v>
      </c>
    </row>
    <row r="22" spans="2:28" x14ac:dyDescent="0.2">
      <c r="B22" s="222" t="s">
        <v>364</v>
      </c>
      <c r="C22" s="52">
        <v>2335415793</v>
      </c>
      <c r="D22" s="52">
        <v>2496616461</v>
      </c>
      <c r="E22" s="52">
        <v>2530657107</v>
      </c>
      <c r="F22" s="52">
        <v>2539397243</v>
      </c>
      <c r="G22" s="52">
        <v>1803850991</v>
      </c>
      <c r="H22" s="52">
        <v>1986969275</v>
      </c>
      <c r="I22" s="52">
        <v>2278417771</v>
      </c>
      <c r="J22" s="52">
        <v>2899343075</v>
      </c>
      <c r="K22" s="52">
        <v>3484577486</v>
      </c>
      <c r="L22" s="52">
        <v>4168191840</v>
      </c>
      <c r="M22" s="52">
        <v>4016515924</v>
      </c>
      <c r="O22" s="52" t="s">
        <v>363</v>
      </c>
      <c r="P22" s="77">
        <v>2678111331</v>
      </c>
      <c r="Q22" s="77">
        <v>2736513609</v>
      </c>
      <c r="R22" s="77">
        <v>2623856020</v>
      </c>
      <c r="S22" s="77">
        <v>1800478991</v>
      </c>
      <c r="T22" s="77">
        <v>1933567076</v>
      </c>
      <c r="U22" s="77">
        <v>2273417771</v>
      </c>
      <c r="V22" s="77">
        <v>2869569643</v>
      </c>
      <c r="W22" s="77">
        <v>3352367141</v>
      </c>
      <c r="X22" s="77">
        <v>4151849703</v>
      </c>
      <c r="Y22" s="77">
        <v>4202943322</v>
      </c>
      <c r="Z22" s="77">
        <v>4514503133</v>
      </c>
      <c r="AA22" s="77">
        <v>3894620197</v>
      </c>
      <c r="AB22" s="77">
        <v>4569750243</v>
      </c>
    </row>
    <row r="23" spans="2:28" x14ac:dyDescent="0.2">
      <c r="B23" s="222" t="s">
        <v>365</v>
      </c>
      <c r="C23" s="52">
        <v>2034681390</v>
      </c>
      <c r="D23" s="52">
        <v>2351385795</v>
      </c>
      <c r="E23" s="52">
        <v>2572269731</v>
      </c>
      <c r="F23" s="52">
        <v>2606203706</v>
      </c>
      <c r="G23" s="52">
        <v>2539397243</v>
      </c>
      <c r="H23" s="52">
        <v>1784540286</v>
      </c>
      <c r="I23" s="52">
        <v>1986969275</v>
      </c>
      <c r="J23" s="52">
        <v>2300520511</v>
      </c>
      <c r="K23" s="52">
        <v>2806893075</v>
      </c>
      <c r="L23" s="52">
        <v>3484577486</v>
      </c>
      <c r="M23" s="52">
        <v>4210313522</v>
      </c>
      <c r="O23" s="52" t="s">
        <v>364</v>
      </c>
      <c r="P23" s="77">
        <v>2329202793</v>
      </c>
      <c r="Q23" s="77">
        <v>2490515735</v>
      </c>
      <c r="R23" s="77">
        <v>2521912107</v>
      </c>
      <c r="S23" s="77">
        <v>2535741243</v>
      </c>
      <c r="T23" s="77">
        <v>1800478991</v>
      </c>
      <c r="U23" s="77">
        <v>1983967240</v>
      </c>
      <c r="V23" s="77">
        <v>2273417771</v>
      </c>
      <c r="W23" s="77">
        <v>2885245075</v>
      </c>
      <c r="X23" s="77">
        <v>3462379432</v>
      </c>
      <c r="Y23" s="77">
        <v>4151849703</v>
      </c>
      <c r="Z23" s="77">
        <v>3997189761</v>
      </c>
      <c r="AA23" s="77">
        <v>4514503133</v>
      </c>
      <c r="AB23" s="77">
        <v>3921997196</v>
      </c>
    </row>
    <row r="24" spans="2:28" x14ac:dyDescent="0.2">
      <c r="B24" s="222" t="s">
        <v>366</v>
      </c>
      <c r="C24" s="52">
        <v>1231619486</v>
      </c>
      <c r="D24" s="52">
        <v>2041768388</v>
      </c>
      <c r="E24" s="52">
        <v>2311864598</v>
      </c>
      <c r="F24" s="52">
        <v>2587616461</v>
      </c>
      <c r="G24" s="52">
        <v>2606203706</v>
      </c>
      <c r="H24" s="52">
        <v>2581964319</v>
      </c>
      <c r="I24" s="52">
        <v>1784540286</v>
      </c>
      <c r="J24" s="52">
        <v>2067319275</v>
      </c>
      <c r="K24" s="52">
        <v>2339170511</v>
      </c>
      <c r="L24" s="52">
        <v>2806893075</v>
      </c>
      <c r="M24" s="52">
        <v>3444515187</v>
      </c>
      <c r="O24" s="52" t="s">
        <v>365</v>
      </c>
      <c r="P24" s="77">
        <v>2025336392</v>
      </c>
      <c r="Q24" s="77">
        <v>2348362795</v>
      </c>
      <c r="R24" s="77">
        <v>2566169005</v>
      </c>
      <c r="S24" s="77">
        <v>2597458706</v>
      </c>
      <c r="T24" s="77">
        <v>2535741243</v>
      </c>
      <c r="U24" s="77">
        <v>1781168286</v>
      </c>
      <c r="V24" s="77">
        <v>1983967240</v>
      </c>
      <c r="W24" s="77">
        <v>2295520511</v>
      </c>
      <c r="X24" s="77">
        <v>2795795075</v>
      </c>
      <c r="Y24" s="77">
        <v>3462379432</v>
      </c>
      <c r="Z24" s="77">
        <v>4195254125</v>
      </c>
      <c r="AA24" s="77">
        <v>3997189761</v>
      </c>
      <c r="AB24" s="77">
        <v>4341992226</v>
      </c>
    </row>
    <row r="25" spans="2:28" x14ac:dyDescent="0.2">
      <c r="B25" s="222" t="s">
        <v>367</v>
      </c>
      <c r="C25" s="52">
        <v>1296828243</v>
      </c>
      <c r="D25" s="52">
        <v>1238496061</v>
      </c>
      <c r="E25" s="52">
        <v>1966540137</v>
      </c>
      <c r="F25" s="52">
        <v>2332472793</v>
      </c>
      <c r="G25" s="52">
        <v>2587616461</v>
      </c>
      <c r="H25" s="52">
        <v>2657590226</v>
      </c>
      <c r="I25" s="52">
        <v>2581964319</v>
      </c>
      <c r="J25" s="52">
        <v>1698336998</v>
      </c>
      <c r="K25" s="52">
        <v>1992327072</v>
      </c>
      <c r="L25" s="52">
        <v>2339170511</v>
      </c>
      <c r="M25" s="52">
        <v>2928432253</v>
      </c>
      <c r="O25" s="52" t="s">
        <v>366</v>
      </c>
      <c r="P25" s="77">
        <v>1231619486</v>
      </c>
      <c r="Q25" s="77">
        <v>2029233390</v>
      </c>
      <c r="R25" s="77">
        <v>2305651598</v>
      </c>
      <c r="S25" s="77">
        <v>2581515735</v>
      </c>
      <c r="T25" s="77">
        <v>2597458706</v>
      </c>
      <c r="U25" s="77">
        <v>2578308319</v>
      </c>
      <c r="V25" s="77">
        <v>1781168286</v>
      </c>
      <c r="W25" s="77">
        <v>2064317240</v>
      </c>
      <c r="X25" s="77">
        <v>2331170511</v>
      </c>
      <c r="Y25" s="77">
        <v>2795795075</v>
      </c>
      <c r="Z25" s="77">
        <v>3423034393</v>
      </c>
      <c r="AA25" s="77">
        <v>4195254125</v>
      </c>
      <c r="AB25" s="77">
        <v>4168314369</v>
      </c>
    </row>
    <row r="26" spans="2:28" x14ac:dyDescent="0.2">
      <c r="B26" s="222" t="s">
        <v>368</v>
      </c>
      <c r="C26" s="52">
        <v>1337512243</v>
      </c>
      <c r="D26" s="52">
        <v>1303001668</v>
      </c>
      <c r="E26" s="52">
        <v>1261042486</v>
      </c>
      <c r="F26" s="52">
        <v>2034681390</v>
      </c>
      <c r="G26" s="52">
        <v>2332472793</v>
      </c>
      <c r="H26" s="52">
        <v>2496616461</v>
      </c>
      <c r="I26" s="52">
        <v>2657590226</v>
      </c>
      <c r="J26" s="52">
        <v>2581240264</v>
      </c>
      <c r="K26" s="52">
        <v>1760129201</v>
      </c>
      <c r="L26" s="52">
        <v>1992327072</v>
      </c>
      <c r="M26" s="52">
        <v>2345861385</v>
      </c>
      <c r="O26" s="52" t="s">
        <v>367</v>
      </c>
      <c r="P26" s="77">
        <v>1294828243</v>
      </c>
      <c r="Q26" s="77">
        <v>1238496061</v>
      </c>
      <c r="R26" s="77">
        <v>1957195139</v>
      </c>
      <c r="S26" s="77">
        <v>2326259793</v>
      </c>
      <c r="T26" s="77">
        <v>2581515735</v>
      </c>
      <c r="U26" s="77">
        <v>2648845226</v>
      </c>
      <c r="V26" s="77">
        <v>2578308319</v>
      </c>
      <c r="W26" s="77">
        <v>1694964998</v>
      </c>
      <c r="X26" s="77">
        <v>1989325072</v>
      </c>
      <c r="Y26" s="77">
        <v>2331170511</v>
      </c>
      <c r="Z26" s="77">
        <v>2915334253</v>
      </c>
      <c r="AA26" s="77">
        <v>3423034393</v>
      </c>
      <c r="AB26" s="77">
        <v>4151853369</v>
      </c>
    </row>
    <row r="27" spans="2:28" x14ac:dyDescent="0.2">
      <c r="B27" s="222" t="s">
        <v>369</v>
      </c>
      <c r="C27" s="52">
        <v>900285502</v>
      </c>
      <c r="D27" s="52">
        <v>1362472248</v>
      </c>
      <c r="E27" s="52">
        <v>1324296196</v>
      </c>
      <c r="F27" s="52">
        <v>1231619486</v>
      </c>
      <c r="G27" s="52">
        <v>2034681390</v>
      </c>
      <c r="H27" s="52">
        <v>2351385795</v>
      </c>
      <c r="I27" s="52">
        <v>2496616461</v>
      </c>
      <c r="J27" s="52">
        <v>2513176585</v>
      </c>
      <c r="K27" s="52">
        <v>2648240264</v>
      </c>
      <c r="L27" s="52">
        <v>1760129201</v>
      </c>
      <c r="M27" s="52">
        <v>2008091198</v>
      </c>
      <c r="O27" s="52" t="s">
        <v>368</v>
      </c>
      <c r="P27" s="77">
        <v>1333022243</v>
      </c>
      <c r="Q27" s="77">
        <v>1301001668</v>
      </c>
      <c r="R27" s="77">
        <v>1261042486</v>
      </c>
      <c r="S27" s="77">
        <v>2025336392</v>
      </c>
      <c r="T27" s="77">
        <v>2326259793</v>
      </c>
      <c r="U27" s="77">
        <v>2490515735</v>
      </c>
      <c r="V27" s="77">
        <v>2648845226</v>
      </c>
      <c r="W27" s="77">
        <v>2577584264</v>
      </c>
      <c r="X27" s="77">
        <v>1756757166</v>
      </c>
      <c r="Y27" s="77">
        <v>1989325072</v>
      </c>
      <c r="Z27" s="77">
        <v>2337861385</v>
      </c>
      <c r="AA27" s="77">
        <v>2915334253</v>
      </c>
      <c r="AB27" s="77">
        <v>3524206847</v>
      </c>
    </row>
    <row r="28" spans="2:28" x14ac:dyDescent="0.2">
      <c r="B28" s="222" t="s">
        <v>370</v>
      </c>
      <c r="C28" s="52">
        <v>99257496</v>
      </c>
      <c r="D28" s="52">
        <v>927275497</v>
      </c>
      <c r="E28" s="52">
        <v>1361722436</v>
      </c>
      <c r="F28" s="52">
        <v>1296828243</v>
      </c>
      <c r="G28" s="52">
        <v>1231619486</v>
      </c>
      <c r="H28" s="52">
        <v>2041768388</v>
      </c>
      <c r="I28" s="52">
        <v>2351385795</v>
      </c>
      <c r="J28" s="52">
        <v>2607421630</v>
      </c>
      <c r="K28" s="52">
        <v>2453136727</v>
      </c>
      <c r="L28" s="52">
        <v>2648240264</v>
      </c>
      <c r="M28" s="52">
        <v>1819829201</v>
      </c>
      <c r="O28" s="52" t="s">
        <v>369</v>
      </c>
      <c r="P28" s="77">
        <v>900285502</v>
      </c>
      <c r="Q28" s="77">
        <v>1357982248</v>
      </c>
      <c r="R28" s="77">
        <v>1322296196</v>
      </c>
      <c r="S28" s="77">
        <v>1231619486</v>
      </c>
      <c r="T28" s="77">
        <v>2025336392</v>
      </c>
      <c r="U28" s="77">
        <v>2348362795</v>
      </c>
      <c r="V28" s="77">
        <v>2490515735</v>
      </c>
      <c r="W28" s="77">
        <v>2504431585</v>
      </c>
      <c r="X28" s="77">
        <v>2644584264</v>
      </c>
      <c r="Y28" s="77">
        <v>1756757166</v>
      </c>
      <c r="Z28" s="77">
        <v>2005089198</v>
      </c>
      <c r="AA28" s="77">
        <v>2337861385</v>
      </c>
      <c r="AB28" s="77">
        <v>2982932267</v>
      </c>
    </row>
    <row r="29" spans="2:28" x14ac:dyDescent="0.2">
      <c r="B29" s="222" t="s">
        <v>371</v>
      </c>
      <c r="D29" s="52">
        <v>99257496</v>
      </c>
      <c r="E29" s="52">
        <v>833984356</v>
      </c>
      <c r="F29" s="52">
        <v>1337512243</v>
      </c>
      <c r="G29" s="52">
        <v>1296828243</v>
      </c>
      <c r="H29" s="52">
        <v>1238496061</v>
      </c>
      <c r="I29" s="52">
        <v>2041768388</v>
      </c>
      <c r="J29" s="52">
        <v>2360712598</v>
      </c>
      <c r="K29" s="52">
        <v>2667461488</v>
      </c>
      <c r="L29" s="52">
        <v>2453136727</v>
      </c>
      <c r="M29" s="52">
        <v>2648240264</v>
      </c>
      <c r="O29" s="52" t="s">
        <v>370</v>
      </c>
      <c r="P29" s="77">
        <v>99257496</v>
      </c>
      <c r="Q29" s="77">
        <v>927275497</v>
      </c>
      <c r="R29" s="77">
        <v>1357232436</v>
      </c>
      <c r="S29" s="77">
        <v>1294828243</v>
      </c>
      <c r="T29" s="77">
        <v>1231619486</v>
      </c>
      <c r="U29" s="77">
        <v>2029233390</v>
      </c>
      <c r="V29" s="77">
        <v>2348362795</v>
      </c>
      <c r="W29" s="77">
        <v>2601320904</v>
      </c>
      <c r="X29" s="77">
        <v>2444391727</v>
      </c>
      <c r="Y29" s="77">
        <v>2644584264</v>
      </c>
      <c r="Z29" s="77">
        <v>1816457166</v>
      </c>
      <c r="AA29" s="77">
        <v>2005089198</v>
      </c>
      <c r="AB29" s="77">
        <v>2299361385</v>
      </c>
    </row>
    <row r="30" spans="2:28" x14ac:dyDescent="0.2">
      <c r="B30" s="222" t="s">
        <v>372</v>
      </c>
      <c r="E30" s="52">
        <v>84457496</v>
      </c>
      <c r="F30" s="52">
        <v>900285502</v>
      </c>
      <c r="G30" s="52">
        <v>1337512243</v>
      </c>
      <c r="H30" s="52">
        <v>1303001668</v>
      </c>
      <c r="I30" s="52">
        <v>1238496061</v>
      </c>
      <c r="J30" s="52">
        <v>2111931387</v>
      </c>
      <c r="K30" s="52">
        <v>2294962598</v>
      </c>
      <c r="L30" s="52">
        <v>2667461488</v>
      </c>
      <c r="M30" s="52">
        <v>2398091218</v>
      </c>
      <c r="O30" s="52" t="s">
        <v>371</v>
      </c>
      <c r="P30" s="77"/>
      <c r="Q30" s="77">
        <v>99257496</v>
      </c>
      <c r="R30" s="77">
        <v>833984356</v>
      </c>
      <c r="S30" s="77">
        <v>1333022243</v>
      </c>
      <c r="T30" s="77">
        <v>1294828243</v>
      </c>
      <c r="U30" s="77">
        <v>1238496061</v>
      </c>
      <c r="V30" s="77">
        <v>2029233390</v>
      </c>
      <c r="W30" s="77">
        <v>2357689598</v>
      </c>
      <c r="X30" s="77">
        <v>2661360762</v>
      </c>
      <c r="Y30" s="77">
        <v>2444391727</v>
      </c>
      <c r="Z30" s="77">
        <v>2644584264</v>
      </c>
      <c r="AA30" s="77">
        <v>1816457166</v>
      </c>
      <c r="AB30" s="77">
        <v>1997439402</v>
      </c>
    </row>
    <row r="31" spans="2:28" x14ac:dyDescent="0.2">
      <c r="B31" s="222" t="s">
        <v>373</v>
      </c>
      <c r="F31" s="52">
        <v>99257496</v>
      </c>
      <c r="G31" s="52">
        <v>900285502</v>
      </c>
      <c r="H31" s="52">
        <v>1362472248</v>
      </c>
      <c r="I31" s="52">
        <v>1303001668</v>
      </c>
      <c r="J31" s="52">
        <v>1279542074</v>
      </c>
      <c r="K31" s="52">
        <v>2132681387</v>
      </c>
      <c r="L31" s="52">
        <v>2294962598</v>
      </c>
      <c r="M31" s="52">
        <v>2547500942</v>
      </c>
      <c r="O31" s="52" t="s">
        <v>372</v>
      </c>
      <c r="P31" s="77"/>
      <c r="Q31" s="77"/>
      <c r="R31" s="77">
        <v>84457496</v>
      </c>
      <c r="S31" s="77">
        <v>900285502</v>
      </c>
      <c r="T31" s="77">
        <v>1333022243</v>
      </c>
      <c r="U31" s="77">
        <v>1301001668</v>
      </c>
      <c r="V31" s="77">
        <v>1238496061</v>
      </c>
      <c r="W31" s="77">
        <v>2099396389</v>
      </c>
      <c r="X31" s="77">
        <v>2291939598</v>
      </c>
      <c r="Y31" s="77">
        <v>2661360762</v>
      </c>
      <c r="Z31" s="77">
        <v>2389346218</v>
      </c>
      <c r="AA31" s="77">
        <v>2644584264</v>
      </c>
      <c r="AB31" s="77">
        <v>1790077234</v>
      </c>
    </row>
    <row r="32" spans="2:28" x14ac:dyDescent="0.2">
      <c r="B32" s="222" t="s">
        <v>374</v>
      </c>
      <c r="G32" s="52">
        <v>99257496</v>
      </c>
      <c r="H32" s="52">
        <v>927275497</v>
      </c>
      <c r="I32" s="52">
        <v>1362472248</v>
      </c>
      <c r="J32" s="52">
        <v>1256417668</v>
      </c>
      <c r="K32" s="52">
        <v>1227920064</v>
      </c>
      <c r="L32" s="52">
        <v>2132681387</v>
      </c>
      <c r="M32" s="52">
        <v>2391409653</v>
      </c>
      <c r="O32" s="52" t="s">
        <v>373</v>
      </c>
      <c r="P32" s="77"/>
      <c r="Q32" s="77"/>
      <c r="R32" s="77"/>
      <c r="S32" s="77">
        <v>99257496</v>
      </c>
      <c r="T32" s="77">
        <v>900285502</v>
      </c>
      <c r="U32" s="77">
        <v>1357982248</v>
      </c>
      <c r="V32" s="77">
        <v>1301001668</v>
      </c>
      <c r="W32" s="77">
        <v>1279542074</v>
      </c>
      <c r="X32" s="77">
        <v>2120146389</v>
      </c>
      <c r="Y32" s="77">
        <v>2291939598</v>
      </c>
      <c r="Z32" s="77">
        <v>2541400216</v>
      </c>
      <c r="AA32" s="77">
        <v>2389346218</v>
      </c>
      <c r="AB32" s="77">
        <v>2717113992</v>
      </c>
    </row>
    <row r="33" spans="2:28" x14ac:dyDescent="0.2">
      <c r="B33" s="222" t="s">
        <v>375</v>
      </c>
      <c r="H33" s="52">
        <v>99257496</v>
      </c>
      <c r="I33" s="52">
        <v>927275497</v>
      </c>
      <c r="J33" s="52">
        <v>1379185248</v>
      </c>
      <c r="K33" s="52">
        <v>1315039678</v>
      </c>
      <c r="L33" s="52">
        <v>1227920064</v>
      </c>
      <c r="M33" s="52">
        <v>2158170455</v>
      </c>
      <c r="O33" s="52" t="s">
        <v>374</v>
      </c>
      <c r="P33" s="77"/>
      <c r="Q33" s="77"/>
      <c r="R33" s="77"/>
      <c r="S33" s="77"/>
      <c r="T33" s="77">
        <v>99257496</v>
      </c>
      <c r="U33" s="77">
        <v>927275497</v>
      </c>
      <c r="V33" s="77">
        <v>1357982248</v>
      </c>
      <c r="W33" s="77">
        <v>1254417668</v>
      </c>
      <c r="X33" s="77">
        <v>1227920064</v>
      </c>
      <c r="Y33" s="77">
        <v>2120146389</v>
      </c>
      <c r="Z33" s="77">
        <v>2391386653</v>
      </c>
      <c r="AA33" s="77">
        <v>2541400216</v>
      </c>
      <c r="AB33" s="77">
        <v>2296046220</v>
      </c>
    </row>
    <row r="34" spans="2:28" x14ac:dyDescent="0.2">
      <c r="B34" s="222" t="s">
        <v>376</v>
      </c>
      <c r="I34" s="52">
        <v>99257496</v>
      </c>
      <c r="J34" s="52">
        <v>905598807</v>
      </c>
      <c r="K34" s="52">
        <v>1366935303</v>
      </c>
      <c r="L34" s="52">
        <v>1315039678</v>
      </c>
      <c r="M34" s="52">
        <v>1253827736</v>
      </c>
      <c r="O34" s="52" t="s">
        <v>375</v>
      </c>
      <c r="P34" s="77"/>
      <c r="Q34" s="77"/>
      <c r="R34" s="77"/>
      <c r="S34" s="77"/>
      <c r="T34" s="77"/>
      <c r="U34" s="77">
        <v>99257496</v>
      </c>
      <c r="V34" s="77">
        <v>927275497</v>
      </c>
      <c r="W34" s="77">
        <v>1375085248</v>
      </c>
      <c r="X34" s="77">
        <v>1313039678</v>
      </c>
      <c r="Y34" s="77">
        <v>1227920064</v>
      </c>
      <c r="Z34" s="77">
        <v>2142635457</v>
      </c>
      <c r="AA34" s="77">
        <v>2391386653</v>
      </c>
      <c r="AB34" s="77">
        <v>2546427728</v>
      </c>
    </row>
    <row r="35" spans="2:28" x14ac:dyDescent="0.2">
      <c r="B35" s="222" t="s">
        <v>377</v>
      </c>
      <c r="J35" s="52">
        <v>150805186</v>
      </c>
      <c r="K35" s="52">
        <v>910864752</v>
      </c>
      <c r="L35" s="52">
        <v>1366935303</v>
      </c>
      <c r="M35" s="52">
        <v>1342201938</v>
      </c>
      <c r="O35" s="52" t="s">
        <v>376</v>
      </c>
      <c r="P35" s="77"/>
      <c r="Q35" s="77"/>
      <c r="R35" s="77"/>
      <c r="S35" s="77"/>
      <c r="T35" s="77"/>
      <c r="U35" s="77"/>
      <c r="V35" s="77">
        <v>99257496</v>
      </c>
      <c r="W35" s="77">
        <v>905208807</v>
      </c>
      <c r="X35" s="77">
        <v>1362835303</v>
      </c>
      <c r="Y35" s="77">
        <v>1313039678</v>
      </c>
      <c r="Z35" s="77">
        <v>1253827736</v>
      </c>
      <c r="AA35" s="77">
        <v>2142635457</v>
      </c>
      <c r="AB35" s="77">
        <v>2479659139</v>
      </c>
    </row>
    <row r="36" spans="2:28" x14ac:dyDescent="0.2">
      <c r="B36" s="222" t="s">
        <v>378</v>
      </c>
      <c r="K36" s="52">
        <v>195789186</v>
      </c>
      <c r="L36" s="52">
        <v>910864752</v>
      </c>
      <c r="M36" s="52">
        <v>1310940303</v>
      </c>
      <c r="O36" s="52" t="s">
        <v>377</v>
      </c>
      <c r="P36" s="77"/>
      <c r="Q36" s="77"/>
      <c r="R36" s="77"/>
      <c r="S36" s="77"/>
      <c r="T36" s="77"/>
      <c r="U36" s="77"/>
      <c r="V36" s="77"/>
      <c r="W36" s="77">
        <v>150805186</v>
      </c>
      <c r="X36" s="77">
        <v>910474752</v>
      </c>
      <c r="Y36" s="77">
        <v>1362835303</v>
      </c>
      <c r="Z36" s="77">
        <v>1340201938</v>
      </c>
      <c r="AA36" s="77">
        <v>1253827736</v>
      </c>
      <c r="AB36" s="77">
        <v>2108665457</v>
      </c>
    </row>
    <row r="37" spans="2:28" x14ac:dyDescent="0.2">
      <c r="B37" s="222" t="s">
        <v>379</v>
      </c>
      <c r="L37" s="52">
        <v>195789186</v>
      </c>
      <c r="M37" s="52">
        <v>921909752</v>
      </c>
      <c r="O37" s="52" t="s">
        <v>378</v>
      </c>
      <c r="P37" s="77"/>
      <c r="Q37" s="77"/>
      <c r="R37" s="77"/>
      <c r="S37" s="77"/>
      <c r="T37" s="77"/>
      <c r="U37" s="77"/>
      <c r="V37" s="77"/>
      <c r="W37" s="77"/>
      <c r="X37" s="77">
        <v>195789186</v>
      </c>
      <c r="Y37" s="77">
        <v>910474752</v>
      </c>
      <c r="Z37" s="77">
        <v>1306840303</v>
      </c>
      <c r="AA37" s="77">
        <v>1340201938</v>
      </c>
      <c r="AB37" s="77">
        <v>1258153078</v>
      </c>
    </row>
    <row r="38" spans="2:28" x14ac:dyDescent="0.2">
      <c r="B38" s="222" t="s">
        <v>380</v>
      </c>
      <c r="M38" s="52">
        <v>240739186</v>
      </c>
      <c r="O38" s="52" t="s">
        <v>379</v>
      </c>
      <c r="P38" s="77"/>
      <c r="Q38" s="77"/>
      <c r="R38" s="77"/>
      <c r="S38" s="77"/>
      <c r="T38" s="77"/>
      <c r="U38" s="77"/>
      <c r="V38" s="77"/>
      <c r="W38" s="77"/>
      <c r="X38" s="77"/>
      <c r="Y38" s="77">
        <v>195789186</v>
      </c>
      <c r="Z38" s="77">
        <v>921519752</v>
      </c>
      <c r="AA38" s="77">
        <v>1306840303</v>
      </c>
      <c r="AB38" s="77">
        <v>1287778963</v>
      </c>
    </row>
    <row r="39" spans="2:28" x14ac:dyDescent="0.2">
      <c r="O39" s="52" t="s">
        <v>380</v>
      </c>
      <c r="P39" s="77"/>
      <c r="Q39" s="77"/>
      <c r="R39" s="77"/>
      <c r="S39" s="77"/>
      <c r="T39" s="77"/>
      <c r="U39" s="77"/>
      <c r="V39" s="77"/>
      <c r="W39" s="77"/>
      <c r="X39" s="77"/>
      <c r="Y39" s="77"/>
      <c r="Z39" s="77">
        <v>240739186</v>
      </c>
      <c r="AA39" s="77">
        <v>921519752</v>
      </c>
      <c r="AB39" s="77">
        <v>1340907936</v>
      </c>
    </row>
    <row r="40" spans="2:28" x14ac:dyDescent="0.2">
      <c r="O40" s="52" t="s">
        <v>381</v>
      </c>
      <c r="P40" s="77"/>
      <c r="Q40" s="77"/>
      <c r="R40" s="77"/>
      <c r="S40" s="77"/>
      <c r="T40" s="77"/>
      <c r="U40" s="77"/>
      <c r="V40" s="77"/>
      <c r="W40" s="77"/>
      <c r="X40" s="77"/>
      <c r="Y40" s="77"/>
      <c r="Z40" s="77"/>
      <c r="AA40" s="77">
        <v>240739186</v>
      </c>
      <c r="AB40" s="77">
        <v>945619752</v>
      </c>
    </row>
    <row r="41" spans="2:28" x14ac:dyDescent="0.2">
      <c r="B41" s="222" t="s">
        <v>221</v>
      </c>
      <c r="O41" s="52" t="s">
        <v>382</v>
      </c>
      <c r="P41" s="77"/>
      <c r="Q41" s="77"/>
      <c r="R41" s="77"/>
      <c r="S41" s="77"/>
      <c r="T41" s="77"/>
      <c r="U41" s="77"/>
      <c r="V41" s="77"/>
      <c r="W41" s="77"/>
      <c r="X41" s="77"/>
      <c r="Y41" s="77"/>
      <c r="Z41" s="77"/>
      <c r="AA41" s="77"/>
      <c r="AB41" s="77">
        <v>264639186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DFA7-831D-0843-82BF-4D8D101DB724}">
  <sheetPr>
    <tabColor rgb="FFFFFF00"/>
    <pageSetUpPr fitToPage="1"/>
  </sheetPr>
  <dimension ref="A1:X104"/>
  <sheetViews>
    <sheetView showGridLines="0" zoomScale="120" zoomScaleNormal="120" zoomScaleSheetLayoutView="70" workbookViewId="0">
      <selection activeCell="G124" sqref="G124"/>
    </sheetView>
  </sheetViews>
  <sheetFormatPr baseColWidth="10" defaultColWidth="9.1640625" defaultRowHeight="12" x14ac:dyDescent="0.15"/>
  <cols>
    <col min="1" max="1" width="4" style="224" customWidth="1"/>
    <col min="2" max="2" width="19.1640625" style="241" customWidth="1"/>
    <col min="3" max="3" width="18.33203125" style="241" bestFit="1" customWidth="1"/>
    <col min="4" max="4" width="7.33203125" style="248" customWidth="1"/>
    <col min="5" max="6" width="9" style="241" customWidth="1"/>
    <col min="7" max="7" width="11.5" style="241" customWidth="1"/>
    <col min="8" max="8" width="7.1640625" style="241" customWidth="1"/>
    <col min="9" max="9" width="15.5" style="248" customWidth="1"/>
    <col min="10" max="10" width="16.6640625" style="248" customWidth="1"/>
    <col min="11" max="11" width="11.5" style="241" customWidth="1"/>
    <col min="12" max="13" width="9" style="241" customWidth="1"/>
    <col min="14" max="15" width="8.5" style="241" customWidth="1"/>
    <col min="16" max="19" width="8.5" style="241" hidden="1" customWidth="1"/>
    <col min="20" max="20" width="8.5" style="241" customWidth="1"/>
    <col min="21" max="21" width="8.5" style="253" customWidth="1"/>
    <col min="22" max="22" width="9.1640625" style="248" customWidth="1"/>
    <col min="23" max="23" width="9.1640625" style="241"/>
    <col min="24" max="24" width="10.5" style="241" bestFit="1" customWidth="1"/>
    <col min="25" max="38" width="9.1640625" style="241"/>
    <col min="39" max="39" width="9.1640625" style="241" customWidth="1"/>
    <col min="40" max="16384" width="9.1640625" style="241"/>
  </cols>
  <sheetData>
    <row r="1" spans="1:22" s="228" customFormat="1" ht="18" customHeight="1" x14ac:dyDescent="0.2">
      <c r="A1" s="224"/>
      <c r="B1" s="225" t="s">
        <v>383</v>
      </c>
      <c r="C1" s="226"/>
      <c r="D1" s="227">
        <v>1</v>
      </c>
      <c r="E1" s="227"/>
      <c r="F1" s="227"/>
      <c r="G1" s="227"/>
      <c r="H1" s="227"/>
      <c r="I1" s="226"/>
      <c r="J1" s="226"/>
      <c r="U1" s="229"/>
      <c r="V1" s="226"/>
    </row>
    <row r="2" spans="1:22" s="231" customFormat="1" ht="13" customHeight="1" x14ac:dyDescent="0.15">
      <c r="A2" s="230"/>
      <c r="B2" s="231" t="s">
        <v>2</v>
      </c>
      <c r="C2" s="232">
        <f>[1]NOTE!P2</f>
        <v>20251001</v>
      </c>
      <c r="D2" s="231" t="str">
        <f>[1]NOTE!O2</f>
        <v>v5</v>
      </c>
      <c r="I2" s="233"/>
      <c r="K2" s="234" t="s">
        <v>384</v>
      </c>
      <c r="U2" s="235"/>
    </row>
    <row r="3" spans="1:22" s="228" customFormat="1" ht="12" customHeight="1" x14ac:dyDescent="0.2">
      <c r="A3" s="236"/>
      <c r="B3" s="24"/>
      <c r="C3" s="24"/>
      <c r="D3" s="237"/>
      <c r="E3" s="24"/>
      <c r="F3" s="24"/>
      <c r="G3" s="24"/>
      <c r="H3" s="227"/>
      <c r="I3" s="238"/>
      <c r="J3" s="226"/>
      <c r="K3" s="239" t="s">
        <v>385</v>
      </c>
      <c r="L3" s="240"/>
      <c r="M3" s="240"/>
      <c r="N3" s="241"/>
      <c r="O3" s="241"/>
      <c r="P3" s="241"/>
      <c r="U3" s="229"/>
      <c r="V3" s="226"/>
    </row>
    <row r="4" spans="1:22" s="24" customFormat="1" ht="16" thickBot="1" x14ac:dyDescent="0.25">
      <c r="A4" s="224"/>
      <c r="B4" s="242" t="s">
        <v>236</v>
      </c>
      <c r="C4" s="242" t="s">
        <v>386</v>
      </c>
      <c r="D4" s="243" t="s">
        <v>387</v>
      </c>
      <c r="E4" s="242" t="s">
        <v>34</v>
      </c>
      <c r="F4" s="242"/>
      <c r="G4" s="244" t="s">
        <v>162</v>
      </c>
      <c r="H4" s="245" t="str">
        <f>G4</f>
        <v>IFRS</v>
      </c>
      <c r="K4" s="240"/>
      <c r="L4" s="246" t="s">
        <v>388</v>
      </c>
      <c r="M4" s="240"/>
      <c r="N4" s="241"/>
      <c r="O4" s="241"/>
      <c r="P4" s="241"/>
    </row>
    <row r="5" spans="1:22" ht="16" thickBot="1" x14ac:dyDescent="0.25">
      <c r="B5" s="242" t="s">
        <v>389</v>
      </c>
      <c r="C5" s="247" t="s">
        <v>208</v>
      </c>
      <c r="D5" s="243" t="s">
        <v>390</v>
      </c>
      <c r="E5" s="242" t="s">
        <v>37</v>
      </c>
      <c r="F5" s="242"/>
      <c r="G5" s="244" t="s">
        <v>163</v>
      </c>
      <c r="H5" s="245" t="str">
        <f>G5</f>
        <v>DPD180+</v>
      </c>
      <c r="K5" s="240"/>
      <c r="L5" s="246" t="s">
        <v>391</v>
      </c>
      <c r="M5" s="240"/>
      <c r="T5" s="248"/>
      <c r="U5" s="248"/>
      <c r="V5" s="241"/>
    </row>
    <row r="6" spans="1:22" ht="16" thickBot="1" x14ac:dyDescent="0.25">
      <c r="B6" s="247" t="s">
        <v>392</v>
      </c>
      <c r="C6" s="247" t="s">
        <v>211</v>
      </c>
      <c r="D6" s="243" t="s">
        <v>390</v>
      </c>
      <c r="E6" s="247" t="s">
        <v>393</v>
      </c>
      <c r="F6" s="247"/>
      <c r="G6" s="249" t="s">
        <v>394</v>
      </c>
      <c r="H6" s="245" t="str">
        <f>G6</f>
        <v>Q3.2025</v>
      </c>
      <c r="K6" s="240"/>
      <c r="L6" s="246" t="s">
        <v>395</v>
      </c>
      <c r="M6" s="240"/>
      <c r="T6" s="248"/>
      <c r="U6" s="248"/>
      <c r="V6" s="241"/>
    </row>
    <row r="7" spans="1:22" ht="13" x14ac:dyDescent="0.15">
      <c r="A7" s="236"/>
      <c r="B7" s="36"/>
      <c r="C7" s="250"/>
      <c r="D7" s="30"/>
      <c r="I7" s="251"/>
      <c r="J7" s="252"/>
      <c r="V7" s="254"/>
    </row>
    <row r="8" spans="1:22" s="51" customFormat="1" ht="14.25" customHeight="1" thickBot="1" x14ac:dyDescent="0.2">
      <c r="A8" s="236"/>
      <c r="B8" s="45" t="s">
        <v>40</v>
      </c>
      <c r="C8" s="255"/>
      <c r="D8" s="256"/>
      <c r="E8" s="255"/>
      <c r="F8" s="255"/>
      <c r="G8" s="255"/>
      <c r="H8" s="46" t="s">
        <v>396</v>
      </c>
      <c r="I8" s="257"/>
      <c r="J8" s="257"/>
      <c r="K8" s="258" t="s">
        <v>397</v>
      </c>
      <c r="L8" s="259"/>
      <c r="M8" s="259"/>
      <c r="N8" s="259"/>
      <c r="O8" s="259"/>
      <c r="P8" s="259"/>
      <c r="Q8" s="259"/>
      <c r="R8" s="259"/>
      <c r="S8" s="259"/>
      <c r="T8" s="259"/>
      <c r="U8" s="259" t="s">
        <v>396</v>
      </c>
    </row>
    <row r="9" spans="1:22" s="51" customFormat="1" ht="13.5" customHeight="1" thickTop="1" x14ac:dyDescent="0.15">
      <c r="A9" s="236"/>
      <c r="D9" s="257"/>
      <c r="I9" s="257"/>
      <c r="J9" s="257"/>
      <c r="N9" s="260"/>
      <c r="O9" s="260"/>
      <c r="P9" s="260"/>
      <c r="Q9" s="260"/>
      <c r="R9" s="260"/>
      <c r="U9" s="261"/>
    </row>
    <row r="10" spans="1:22" s="51" customFormat="1" x14ac:dyDescent="0.15">
      <c r="A10" s="224"/>
      <c r="B10" s="50" t="s">
        <v>41</v>
      </c>
      <c r="C10" s="51" t="s">
        <v>42</v>
      </c>
      <c r="D10" s="257"/>
      <c r="E10" s="262">
        <f>DATA!G37</f>
        <v>3.5358328850990226</v>
      </c>
      <c r="F10" s="260"/>
      <c r="G10" s="263"/>
      <c r="H10" s="260"/>
      <c r="I10" s="257"/>
      <c r="J10" s="257"/>
      <c r="K10" s="264"/>
      <c r="N10" s="265" t="s">
        <v>398</v>
      </c>
      <c r="O10" s="265" t="s">
        <v>399</v>
      </c>
      <c r="P10" s="265" t="s">
        <v>400</v>
      </c>
      <c r="Q10" s="265" t="s">
        <v>401</v>
      </c>
      <c r="R10" s="265" t="s">
        <v>402</v>
      </c>
      <c r="S10" s="265" t="s">
        <v>403</v>
      </c>
      <c r="T10" s="266" t="s">
        <v>404</v>
      </c>
      <c r="U10" s="267" t="s">
        <v>405</v>
      </c>
    </row>
    <row r="11" spans="1:22" s="51" customFormat="1" ht="11.25" customHeight="1" x14ac:dyDescent="0.15">
      <c r="A11" s="224"/>
      <c r="C11" s="51" t="s">
        <v>45</v>
      </c>
      <c r="D11" s="257"/>
      <c r="E11" s="268" t="s">
        <v>406</v>
      </c>
      <c r="G11" s="263"/>
      <c r="I11" s="257"/>
      <c r="J11" s="257"/>
      <c r="K11" s="50" t="s">
        <v>407</v>
      </c>
      <c r="N11" s="269">
        <f t="shared" ref="N11:S11" si="0">N29</f>
        <v>0.42985568028648696</v>
      </c>
      <c r="O11" s="270">
        <f t="shared" si="0"/>
        <v>0.42985568028648696</v>
      </c>
      <c r="P11" s="270">
        <f t="shared" si="0"/>
        <v>0</v>
      </c>
      <c r="Q11" s="270">
        <f t="shared" si="0"/>
        <v>0</v>
      </c>
      <c r="R11" s="270">
        <f t="shared" si="0"/>
        <v>0</v>
      </c>
      <c r="S11" s="270">
        <f t="shared" si="0"/>
        <v>0</v>
      </c>
      <c r="T11" s="271"/>
      <c r="U11" s="272">
        <f t="shared" ref="U11:U23" si="1">N11/$E$10</f>
        <v>0.12157126602278565</v>
      </c>
    </row>
    <row r="12" spans="1:22" s="51" customFormat="1" ht="11" x14ac:dyDescent="0.15">
      <c r="A12" s="224"/>
      <c r="C12" s="51" t="s">
        <v>48</v>
      </c>
      <c r="D12" s="257"/>
      <c r="E12" s="273">
        <f>DATA!H37</f>
        <v>1</v>
      </c>
      <c r="F12" s="274"/>
      <c r="G12" s="263"/>
      <c r="I12" s="257"/>
      <c r="J12" s="275"/>
      <c r="K12" s="50" t="s">
        <v>260</v>
      </c>
      <c r="L12" s="276"/>
      <c r="N12" s="269">
        <f t="shared" ref="N12:S12" si="2">SUM(N13:N15)</f>
        <v>0.36675528259968249</v>
      </c>
      <c r="O12" s="270">
        <f t="shared" si="2"/>
        <v>0.36675528259968249</v>
      </c>
      <c r="P12" s="270">
        <f>SUM(P13:P15)</f>
        <v>0</v>
      </c>
      <c r="Q12" s="270">
        <f t="shared" si="2"/>
        <v>0</v>
      </c>
      <c r="R12" s="270">
        <f t="shared" si="2"/>
        <v>0</v>
      </c>
      <c r="S12" s="270">
        <f t="shared" si="2"/>
        <v>0</v>
      </c>
      <c r="T12" s="277">
        <f t="shared" ref="T12:T23" si="3">N12/$E$14*12/$N$11</f>
        <v>1.4626382072709356</v>
      </c>
      <c r="U12" s="272">
        <f t="shared" si="1"/>
        <v>0.10372528751154803</v>
      </c>
    </row>
    <row r="13" spans="1:22" s="51" customFormat="1" ht="11" x14ac:dyDescent="0.15">
      <c r="A13" s="224"/>
      <c r="C13" s="51" t="s">
        <v>51</v>
      </c>
      <c r="D13" s="257"/>
      <c r="E13" s="278">
        <v>6</v>
      </c>
      <c r="G13" s="263"/>
      <c r="I13" s="279"/>
      <c r="J13" s="275"/>
      <c r="K13" s="280" t="s">
        <v>261</v>
      </c>
      <c r="N13" s="281">
        <f t="shared" ref="N13:S13" si="4">N31</f>
        <v>0.14255811447225405</v>
      </c>
      <c r="O13" s="282">
        <f t="shared" si="4"/>
        <v>0.14255811447225405</v>
      </c>
      <c r="P13" s="282">
        <f t="shared" si="4"/>
        <v>0</v>
      </c>
      <c r="Q13" s="282">
        <f t="shared" si="4"/>
        <v>0</v>
      </c>
      <c r="R13" s="282">
        <f t="shared" si="4"/>
        <v>0</v>
      </c>
      <c r="S13" s="282">
        <f t="shared" si="4"/>
        <v>0</v>
      </c>
      <c r="T13" s="283">
        <f t="shared" si="3"/>
        <v>0.5685288116523588</v>
      </c>
      <c r="U13" s="284">
        <f t="shared" si="1"/>
        <v>4.0318114318420806E-2</v>
      </c>
    </row>
    <row r="14" spans="1:22" s="51" customFormat="1" ht="11" x14ac:dyDescent="0.15">
      <c r="A14" s="224"/>
      <c r="C14" s="51" t="s">
        <v>54</v>
      </c>
      <c r="D14" s="257"/>
      <c r="E14" s="285">
        <f>E12+E13</f>
        <v>7</v>
      </c>
      <c r="F14" s="286"/>
      <c r="G14" s="263"/>
      <c r="I14" s="279"/>
      <c r="J14" s="275"/>
      <c r="K14" s="280" t="s">
        <v>265</v>
      </c>
      <c r="N14" s="281">
        <f t="shared" ref="N14:S14" si="5">N34</f>
        <v>0.2241971681274284</v>
      </c>
      <c r="O14" s="282">
        <f t="shared" si="5"/>
        <v>0.2241971681274284</v>
      </c>
      <c r="P14" s="282">
        <f t="shared" si="5"/>
        <v>0</v>
      </c>
      <c r="Q14" s="282">
        <f t="shared" si="5"/>
        <v>0</v>
      </c>
      <c r="R14" s="282">
        <f t="shared" si="5"/>
        <v>0</v>
      </c>
      <c r="S14" s="282">
        <f t="shared" si="5"/>
        <v>0</v>
      </c>
      <c r="T14" s="283">
        <f t="shared" si="3"/>
        <v>0.89410939561857672</v>
      </c>
      <c r="U14" s="284">
        <f t="shared" si="1"/>
        <v>6.340717319312722E-2</v>
      </c>
    </row>
    <row r="15" spans="1:22" s="51" customFormat="1" ht="11" x14ac:dyDescent="0.15">
      <c r="A15" s="224"/>
      <c r="I15" s="279"/>
      <c r="J15" s="275"/>
      <c r="K15" s="280" t="s">
        <v>408</v>
      </c>
      <c r="N15" s="281">
        <f t="shared" ref="N15:S16" si="6">N37</f>
        <v>0</v>
      </c>
      <c r="O15" s="282">
        <f t="shared" si="6"/>
        <v>0</v>
      </c>
      <c r="P15" s="282">
        <f t="shared" si="6"/>
        <v>0</v>
      </c>
      <c r="Q15" s="282">
        <f t="shared" si="6"/>
        <v>0</v>
      </c>
      <c r="R15" s="282">
        <f t="shared" si="6"/>
        <v>0</v>
      </c>
      <c r="S15" s="282">
        <f t="shared" si="6"/>
        <v>0</v>
      </c>
      <c r="T15" s="283">
        <f t="shared" si="3"/>
        <v>0</v>
      </c>
      <c r="U15" s="284">
        <f t="shared" si="1"/>
        <v>0</v>
      </c>
    </row>
    <row r="16" spans="1:22" s="51" customFormat="1" ht="11" x14ac:dyDescent="0.15">
      <c r="A16" s="224"/>
      <c r="D16" s="257"/>
      <c r="E16" s="257"/>
      <c r="F16" s="257"/>
      <c r="G16" s="287"/>
      <c r="H16" s="288"/>
      <c r="I16" s="279"/>
      <c r="J16" s="275"/>
      <c r="K16" s="50" t="s">
        <v>409</v>
      </c>
      <c r="N16" s="269">
        <f t="shared" si="6"/>
        <v>-0.17376625862934639</v>
      </c>
      <c r="O16" s="270">
        <f t="shared" si="6"/>
        <v>-0.17376625862934639</v>
      </c>
      <c r="P16" s="270">
        <f t="shared" si="6"/>
        <v>0</v>
      </c>
      <c r="Q16" s="270">
        <f t="shared" si="6"/>
        <v>0</v>
      </c>
      <c r="R16" s="270">
        <f t="shared" si="6"/>
        <v>0</v>
      </c>
      <c r="S16" s="270">
        <f t="shared" si="6"/>
        <v>0</v>
      </c>
      <c r="T16" s="277">
        <f t="shared" si="3"/>
        <v>-0.69298843415220912</v>
      </c>
      <c r="U16" s="272">
        <f t="shared" si="1"/>
        <v>-4.9144364079435274E-2</v>
      </c>
    </row>
    <row r="17" spans="1:24" s="51" customFormat="1" ht="11" x14ac:dyDescent="0.15">
      <c r="A17" s="224"/>
      <c r="B17" s="50" t="s">
        <v>57</v>
      </c>
      <c r="C17" s="289" t="s">
        <v>215</v>
      </c>
      <c r="D17" s="290" t="s">
        <v>216</v>
      </c>
      <c r="E17" s="289" t="s">
        <v>60</v>
      </c>
      <c r="F17" s="289" t="s">
        <v>62</v>
      </c>
      <c r="G17" s="289" t="s">
        <v>65</v>
      </c>
      <c r="I17" s="279"/>
      <c r="J17" s="275"/>
      <c r="K17" s="50" t="s">
        <v>410</v>
      </c>
      <c r="N17" s="269">
        <f t="shared" ref="N17:S17" si="7">SUM(N18:N21)</f>
        <v>-0.11811444441397542</v>
      </c>
      <c r="O17" s="270">
        <f>SUM(O18:O21)</f>
        <v>-0.11811444441397542</v>
      </c>
      <c r="P17" s="270">
        <f t="shared" si="7"/>
        <v>0</v>
      </c>
      <c r="Q17" s="270">
        <f t="shared" si="7"/>
        <v>0</v>
      </c>
      <c r="R17" s="270">
        <f>SUM(R18:R21)</f>
        <v>0</v>
      </c>
      <c r="S17" s="270">
        <f t="shared" si="7"/>
        <v>0</v>
      </c>
      <c r="T17" s="277">
        <f t="shared" si="3"/>
        <v>-0.47104624643955745</v>
      </c>
      <c r="U17" s="272">
        <f t="shared" si="1"/>
        <v>-3.3404984978713886E-2</v>
      </c>
    </row>
    <row r="18" spans="1:24" s="51" customFormat="1" ht="11" x14ac:dyDescent="0.15">
      <c r="A18" s="224">
        <v>1</v>
      </c>
      <c r="B18" s="291" t="s">
        <v>411</v>
      </c>
      <c r="C18" s="292">
        <v>1</v>
      </c>
      <c r="D18" s="293">
        <v>1</v>
      </c>
      <c r="E18" s="294">
        <f>DATA!I37</f>
        <v>0.56824848410738438</v>
      </c>
      <c r="F18" s="295">
        <f>DATA!D162</f>
        <v>5.9930813346655717E-2</v>
      </c>
      <c r="G18" s="294">
        <f>E18-F18</f>
        <v>0.50831767076072865</v>
      </c>
      <c r="I18" s="279"/>
      <c r="J18" s="275"/>
      <c r="K18" s="280" t="s">
        <v>92</v>
      </c>
      <c r="N18" s="281">
        <f t="shared" ref="N18:S18" si="8">SUM(N40)</f>
        <v>-4.522501972900167E-2</v>
      </c>
      <c r="O18" s="282">
        <f t="shared" si="8"/>
        <v>-4.522501972900167E-2</v>
      </c>
      <c r="P18" s="282">
        <f t="shared" si="8"/>
        <v>0</v>
      </c>
      <c r="Q18" s="282">
        <f t="shared" si="8"/>
        <v>0</v>
      </c>
      <c r="R18" s="282">
        <f t="shared" si="8"/>
        <v>0</v>
      </c>
      <c r="S18" s="282">
        <f t="shared" si="8"/>
        <v>0</v>
      </c>
      <c r="T18" s="283">
        <f t="shared" si="3"/>
        <v>-0.180359615576201</v>
      </c>
      <c r="U18" s="284">
        <f t="shared" si="1"/>
        <v>-1.2790485636239317E-2</v>
      </c>
    </row>
    <row r="19" spans="1:24" s="51" customFormat="1" ht="10" customHeight="1" x14ac:dyDescent="0.15">
      <c r="A19" s="224">
        <v>2</v>
      </c>
      <c r="B19" s="291" t="s">
        <v>412</v>
      </c>
      <c r="C19" s="292">
        <f>D18+1</f>
        <v>2</v>
      </c>
      <c r="D19" s="293">
        <f>E14</f>
        <v>7</v>
      </c>
      <c r="E19" s="294">
        <f>E18</f>
        <v>0.56824848410738438</v>
      </c>
      <c r="F19" s="295">
        <f>F18</f>
        <v>5.9930813346655717E-2</v>
      </c>
      <c r="G19" s="294">
        <f>E19-F19</f>
        <v>0.50831767076072865</v>
      </c>
      <c r="I19" s="279"/>
      <c r="J19" s="275"/>
      <c r="K19" s="280" t="s">
        <v>413</v>
      </c>
      <c r="N19" s="296">
        <f t="shared" ref="N19:S19" si="9">N44</f>
        <v>-9.0250651191684291E-3</v>
      </c>
      <c r="O19" s="282">
        <f t="shared" si="9"/>
        <v>-9.0250651191684291E-3</v>
      </c>
      <c r="P19" s="297">
        <f t="shared" si="9"/>
        <v>0</v>
      </c>
      <c r="Q19" s="297">
        <f t="shared" si="9"/>
        <v>0</v>
      </c>
      <c r="R19" s="297">
        <f t="shared" si="9"/>
        <v>0</v>
      </c>
      <c r="S19" s="297">
        <f t="shared" si="9"/>
        <v>0</v>
      </c>
      <c r="T19" s="283">
        <f t="shared" si="3"/>
        <v>-3.5992406088428054E-2</v>
      </c>
      <c r="U19" s="284">
        <f t="shared" si="1"/>
        <v>-2.5524580523029099E-3</v>
      </c>
    </row>
    <row r="20" spans="1:24" s="299" customFormat="1" ht="10" customHeight="1" x14ac:dyDescent="0.2">
      <c r="A20" s="298">
        <v>3</v>
      </c>
      <c r="I20" s="300"/>
      <c r="J20" s="301"/>
      <c r="K20" s="302" t="s">
        <v>414</v>
      </c>
      <c r="N20" s="303">
        <f t="shared" ref="N20:S20" si="10">N47</f>
        <v>-7.0726271702736933E-3</v>
      </c>
      <c r="O20" s="304">
        <f t="shared" si="10"/>
        <v>-7.0726271702736933E-3</v>
      </c>
      <c r="P20" s="304">
        <f t="shared" si="10"/>
        <v>0</v>
      </c>
      <c r="Q20" s="304">
        <f t="shared" si="10"/>
        <v>0</v>
      </c>
      <c r="R20" s="304">
        <f t="shared" si="10"/>
        <v>0</v>
      </c>
      <c r="S20" s="304">
        <f t="shared" si="10"/>
        <v>0</v>
      </c>
      <c r="T20" s="305">
        <f t="shared" si="3"/>
        <v>-2.8205986977742251E-2</v>
      </c>
      <c r="U20" s="306">
        <f t="shared" si="1"/>
        <v>-2.0002719020120263E-3</v>
      </c>
    </row>
    <row r="21" spans="1:24" s="299" customFormat="1" ht="10" customHeight="1" x14ac:dyDescent="0.2">
      <c r="A21" s="298">
        <v>4</v>
      </c>
      <c r="B21" s="307" t="s">
        <v>75</v>
      </c>
      <c r="C21" s="299" t="s">
        <v>76</v>
      </c>
      <c r="D21" s="308"/>
      <c r="E21" s="309"/>
      <c r="F21" s="310" t="s">
        <v>415</v>
      </c>
      <c r="G21" s="311"/>
      <c r="H21" s="312"/>
      <c r="I21" s="313"/>
      <c r="J21" s="313"/>
      <c r="K21" s="302" t="s">
        <v>416</v>
      </c>
      <c r="N21" s="314">
        <f t="shared" ref="N21:S21" si="11">N51</f>
        <v>-5.6791732395531626E-2</v>
      </c>
      <c r="O21" s="315">
        <f t="shared" si="11"/>
        <v>-5.6791732395531626E-2</v>
      </c>
      <c r="P21" s="315">
        <f t="shared" si="11"/>
        <v>0</v>
      </c>
      <c r="Q21" s="315">
        <f t="shared" si="11"/>
        <v>0</v>
      </c>
      <c r="R21" s="315">
        <f t="shared" si="11"/>
        <v>0</v>
      </c>
      <c r="S21" s="315">
        <f t="shared" si="11"/>
        <v>0</v>
      </c>
      <c r="T21" s="305">
        <f t="shared" si="3"/>
        <v>-0.2264882377971861</v>
      </c>
      <c r="U21" s="306">
        <f t="shared" si="1"/>
        <v>-1.6061769388159629E-2</v>
      </c>
    </row>
    <row r="22" spans="1:24" s="299" customFormat="1" ht="10" customHeight="1" x14ac:dyDescent="0.2">
      <c r="C22" s="299" t="s">
        <v>79</v>
      </c>
      <c r="E22" s="309">
        <f>DATA!J37</f>
        <v>0.08</v>
      </c>
      <c r="F22" s="310" t="s">
        <v>415</v>
      </c>
      <c r="G22" s="311"/>
      <c r="I22" s="313"/>
      <c r="J22" s="313"/>
      <c r="K22" s="307" t="s">
        <v>417</v>
      </c>
      <c r="N22" s="316">
        <f t="shared" ref="N22:S22" si="12">N12+N16+N17</f>
        <v>7.4874579556360676E-2</v>
      </c>
      <c r="O22" s="317">
        <f t="shared" si="12"/>
        <v>7.4874579556360676E-2</v>
      </c>
      <c r="P22" s="317">
        <f t="shared" si="12"/>
        <v>0</v>
      </c>
      <c r="Q22" s="317">
        <f t="shared" si="12"/>
        <v>0</v>
      </c>
      <c r="R22" s="317">
        <f t="shared" si="12"/>
        <v>0</v>
      </c>
      <c r="S22" s="317">
        <f t="shared" si="12"/>
        <v>0</v>
      </c>
      <c r="T22" s="318">
        <f t="shared" si="3"/>
        <v>0.2986035266791689</v>
      </c>
      <c r="U22" s="319">
        <f t="shared" si="1"/>
        <v>2.1175938453398876E-2</v>
      </c>
    </row>
    <row r="23" spans="1:24" s="299" customFormat="1" ht="10" customHeight="1" x14ac:dyDescent="0.2">
      <c r="A23" s="298">
        <v>5</v>
      </c>
      <c r="B23" s="320"/>
      <c r="C23" s="299" t="s">
        <v>81</v>
      </c>
      <c r="D23" s="313"/>
      <c r="E23" s="309">
        <f>DATA!K37</f>
        <v>0.9999960106972009</v>
      </c>
      <c r="F23" s="310" t="s">
        <v>415</v>
      </c>
      <c r="I23" s="313"/>
      <c r="J23" s="313"/>
      <c r="K23" s="299" t="s">
        <v>418</v>
      </c>
      <c r="N23" s="316">
        <f t="shared" ref="N23:S23" si="13">N22-N21</f>
        <v>0.1316663119518923</v>
      </c>
      <c r="O23" s="315">
        <f t="shared" si="13"/>
        <v>0.1316663119518923</v>
      </c>
      <c r="P23" s="315">
        <f t="shared" si="13"/>
        <v>0</v>
      </c>
      <c r="Q23" s="315">
        <f t="shared" si="13"/>
        <v>0</v>
      </c>
      <c r="R23" s="315">
        <f t="shared" si="13"/>
        <v>0</v>
      </c>
      <c r="S23" s="315">
        <f t="shared" si="13"/>
        <v>0</v>
      </c>
      <c r="T23" s="305">
        <f t="shared" si="3"/>
        <v>0.52509176447635497</v>
      </c>
      <c r="U23" s="306">
        <f t="shared" si="1"/>
        <v>3.7237707841558505E-2</v>
      </c>
      <c r="V23" s="313"/>
    </row>
    <row r="24" spans="1:24" s="299" customFormat="1" ht="10" customHeight="1" x14ac:dyDescent="0.2">
      <c r="A24" s="298"/>
      <c r="C24" s="299" t="s">
        <v>83</v>
      </c>
      <c r="D24" s="308"/>
      <c r="E24" s="309">
        <v>0.85599999999999998</v>
      </c>
      <c r="F24" s="310" t="s">
        <v>415</v>
      </c>
      <c r="H24" s="298" t="s">
        <v>419</v>
      </c>
      <c r="I24" s="313"/>
      <c r="J24" s="313"/>
      <c r="V24" s="321"/>
    </row>
    <row r="25" spans="1:24" s="299" customFormat="1" ht="10" customHeight="1" x14ac:dyDescent="0.2">
      <c r="A25" s="298"/>
      <c r="D25" s="308"/>
      <c r="E25" s="322"/>
      <c r="F25" s="323"/>
      <c r="H25" s="298" t="s">
        <v>419</v>
      </c>
      <c r="I25" s="313"/>
      <c r="J25" s="324"/>
      <c r="X25" s="325"/>
    </row>
    <row r="26" spans="1:24" s="276" customFormat="1" ht="11.25" customHeight="1" thickBot="1" x14ac:dyDescent="0.2">
      <c r="A26" s="224"/>
      <c r="B26" s="50" t="s">
        <v>86</v>
      </c>
      <c r="C26" s="51"/>
      <c r="D26" s="51"/>
      <c r="E26" s="326"/>
      <c r="F26" s="327" t="s">
        <v>420</v>
      </c>
      <c r="G26" s="51"/>
      <c r="H26" s="328"/>
      <c r="I26" s="329"/>
      <c r="J26" s="330"/>
      <c r="K26" s="258" t="s">
        <v>421</v>
      </c>
      <c r="L26" s="259"/>
      <c r="M26" s="259"/>
      <c r="N26" s="259"/>
      <c r="O26" s="259"/>
      <c r="P26" s="259"/>
      <c r="Q26" s="259"/>
      <c r="R26" s="259"/>
      <c r="S26" s="259"/>
      <c r="T26" s="259"/>
      <c r="U26" s="259" t="s">
        <v>396</v>
      </c>
      <c r="V26" s="257"/>
      <c r="W26" s="51"/>
      <c r="X26" s="331"/>
    </row>
    <row r="27" spans="1:24" s="51" customFormat="1" ht="11" x14ac:dyDescent="0.15">
      <c r="A27" s="332"/>
      <c r="E27" s="333"/>
      <c r="F27" s="327" t="s">
        <v>422</v>
      </c>
      <c r="I27" s="238"/>
      <c r="J27" s="330"/>
      <c r="L27" s="334"/>
      <c r="M27" s="334"/>
      <c r="O27" s="334"/>
      <c r="P27" s="334"/>
      <c r="Q27" s="334"/>
      <c r="R27" s="334"/>
      <c r="U27" s="335"/>
      <c r="V27" s="330"/>
      <c r="W27" s="260"/>
      <c r="X27" s="331"/>
    </row>
    <row r="28" spans="1:24" s="51" customFormat="1" ht="11" x14ac:dyDescent="0.15">
      <c r="A28" s="224"/>
      <c r="B28" s="276"/>
      <c r="C28" s="276"/>
      <c r="D28" s="276"/>
      <c r="E28" s="276"/>
      <c r="F28" s="276"/>
      <c r="G28" s="276"/>
      <c r="H28" s="276"/>
      <c r="I28" s="257"/>
      <c r="J28" s="330"/>
      <c r="N28" s="265" t="s">
        <v>398</v>
      </c>
      <c r="O28" s="265" t="s">
        <v>399</v>
      </c>
      <c r="P28" s="265" t="s">
        <v>400</v>
      </c>
      <c r="Q28" s="265" t="s">
        <v>401</v>
      </c>
      <c r="R28" s="265" t="s">
        <v>402</v>
      </c>
      <c r="S28" s="265" t="s">
        <v>403</v>
      </c>
      <c r="T28" s="265" t="s">
        <v>404</v>
      </c>
      <c r="U28" s="336" t="s">
        <v>405</v>
      </c>
      <c r="V28" s="330"/>
      <c r="W28" s="260"/>
      <c r="X28" s="331"/>
    </row>
    <row r="29" spans="1:24" s="51" customFormat="1" ht="14" thickBot="1" x14ac:dyDescent="0.2">
      <c r="A29" s="224"/>
      <c r="B29" s="45" t="s">
        <v>89</v>
      </c>
      <c r="C29" s="255"/>
      <c r="D29" s="256"/>
      <c r="E29" s="255"/>
      <c r="F29" s="255"/>
      <c r="G29" s="255"/>
      <c r="H29" s="255" t="s">
        <v>396</v>
      </c>
      <c r="I29" s="238"/>
      <c r="J29" s="330"/>
      <c r="K29" s="337" t="s">
        <v>407</v>
      </c>
      <c r="N29" s="270">
        <f>SUM(SAP_Speadsheet!$D$48:$BF$48)/COUNTIF(SAP_Speadsheet!$D$48:$BF$48,"&gt;0")</f>
        <v>0.42985568028648696</v>
      </c>
      <c r="O29" s="270">
        <f>IFERROR(SUM(SAP_Speadsheet!$D$48:$P$48)/COUNTIF(SAP_Speadsheet!$D$48:$P$48,"&gt;0"),0)</f>
        <v>0.42985568028648696</v>
      </c>
      <c r="P29" s="270">
        <f>IFERROR(SUM(SAP_Speadsheet!$Q$48:$AB$48)/COUNTIF(SAP_Speadsheet!$Q$48:$AB$48,"&gt;0"),0)</f>
        <v>0</v>
      </c>
      <c r="Q29" s="270">
        <f>IFERROR(SUM(SAP_Speadsheet!$AC$48:$AN$48)/COUNTIF(SAP_Speadsheet!$AC$48:$AN$48,"&gt;0"),0)</f>
        <v>0</v>
      </c>
      <c r="R29" s="270">
        <f>IFERROR(SUM(SAP_Speadsheet!$AO$48:$AZ$48)/COUNTIF(SAP_Speadsheet!$AO$48:$AZ$48,"&gt;0"),0)</f>
        <v>0</v>
      </c>
      <c r="S29" s="270">
        <f>IFERROR(SUM(SAP_Speadsheet!$BA$48:$BF$48)/COUNTIF(SAP_Speadsheet!$BA$48:$BF$48,"&gt;0"),0)</f>
        <v>0</v>
      </c>
      <c r="T29" s="338"/>
      <c r="U29" s="339">
        <f t="shared" ref="U29:U34" si="14">N29/$E$10</f>
        <v>0.12157126602278565</v>
      </c>
      <c r="V29" s="330"/>
      <c r="W29" s="260"/>
      <c r="X29" s="331"/>
    </row>
    <row r="30" spans="1:24" s="51" customFormat="1" thickTop="1" x14ac:dyDescent="0.15">
      <c r="A30" s="224"/>
      <c r="D30" s="257"/>
      <c r="I30" s="238"/>
      <c r="J30" s="330"/>
      <c r="K30" s="50" t="s">
        <v>260</v>
      </c>
      <c r="N30" s="340">
        <f t="shared" ref="N30:N50" si="15">SUM(O30:S30)</f>
        <v>0.36675528259968249</v>
      </c>
      <c r="O30" s="340">
        <f>SUM(SAP_Speadsheet!$E$53:$P$53)</f>
        <v>0.36675528259968249</v>
      </c>
      <c r="P30" s="340">
        <f>SUM(SAP_Speadsheet!$Q$53:$AB$53)</f>
        <v>0</v>
      </c>
      <c r="Q30" s="340">
        <f>SUM(SAP_Speadsheet!$AC$53:$AN$53)</f>
        <v>0</v>
      </c>
      <c r="R30" s="340">
        <f>SUM(SAP_Speadsheet!$AO$53:$AZ$53)</f>
        <v>0</v>
      </c>
      <c r="S30" s="340">
        <f>SUM(SAP_Speadsheet!$BA$53:$BF$53)</f>
        <v>0</v>
      </c>
      <c r="T30" s="277">
        <f t="shared" ref="T30:T56" si="16">N30/$E$14*12/$N$29</f>
        <v>1.4626382072709356</v>
      </c>
      <c r="U30" s="277">
        <f t="shared" si="14"/>
        <v>0.10372528751154803</v>
      </c>
      <c r="V30" s="341"/>
      <c r="W30" s="260"/>
      <c r="X30" s="331"/>
    </row>
    <row r="31" spans="1:24" s="51" customFormat="1" ht="11" x14ac:dyDescent="0.15">
      <c r="A31" s="224"/>
      <c r="B31" s="50" t="s">
        <v>90</v>
      </c>
      <c r="D31" s="257"/>
      <c r="E31" s="342">
        <v>3.5000000000000003E-2</v>
      </c>
      <c r="F31" s="327" t="s">
        <v>423</v>
      </c>
      <c r="I31" s="330"/>
      <c r="J31" s="330"/>
      <c r="K31" s="50" t="s">
        <v>261</v>
      </c>
      <c r="N31" s="340">
        <f t="shared" si="15"/>
        <v>0.14255811447225405</v>
      </c>
      <c r="O31" s="340">
        <f>SUM(SAP_Speadsheet!$E$55:$P$55)</f>
        <v>0.14255811447225405</v>
      </c>
      <c r="P31" s="340">
        <f>SUM(SAP_Speadsheet!$Q$55:$AB$55)</f>
        <v>0</v>
      </c>
      <c r="Q31" s="340">
        <f>SUM(SAP_Speadsheet!$AC$55:$AN$55)</f>
        <v>0</v>
      </c>
      <c r="R31" s="340">
        <f>SUM(SAP_Speadsheet!$AO$55:$AZ$55)</f>
        <v>0</v>
      </c>
      <c r="S31" s="340">
        <f>SUM(SAP_Speadsheet!$BA$55:$BF$55)</f>
        <v>0</v>
      </c>
      <c r="T31" s="277">
        <f t="shared" si="16"/>
        <v>0.5685288116523588</v>
      </c>
      <c r="U31" s="277">
        <f t="shared" si="14"/>
        <v>4.0318114318420806E-2</v>
      </c>
      <c r="V31" s="330"/>
      <c r="W31" s="260"/>
      <c r="X31" s="331"/>
    </row>
    <row r="32" spans="1:24" s="51" customFormat="1" ht="11" x14ac:dyDescent="0.15">
      <c r="A32" s="224"/>
      <c r="D32" s="257"/>
      <c r="E32" s="343"/>
      <c r="F32" s="327"/>
      <c r="G32" s="344"/>
      <c r="H32" s="260"/>
      <c r="I32" s="330"/>
      <c r="J32" s="330"/>
      <c r="K32" s="345" t="s">
        <v>424</v>
      </c>
      <c r="N32" s="346">
        <f t="shared" si="15"/>
        <v>0.15758571478798272</v>
      </c>
      <c r="O32" s="346">
        <f>SUM(SAP_Speadsheet!$E$56:$P$56)</f>
        <v>0.15758571478798272</v>
      </c>
      <c r="P32" s="346">
        <f>SUM(SAP_Speadsheet!$Q$56:$AB$56)</f>
        <v>0</v>
      </c>
      <c r="Q32" s="346">
        <f>SUM(SAP_Speadsheet!$AC$56:$AN$56)</f>
        <v>0</v>
      </c>
      <c r="R32" s="346">
        <f>SUM(SAP_Speadsheet!$AO$56:$AZ$56)</f>
        <v>0</v>
      </c>
      <c r="S32" s="346">
        <f>SUM(SAP_Speadsheet!$BA$56:$BF$56)</f>
        <v>0</v>
      </c>
      <c r="T32" s="283">
        <f t="shared" si="16"/>
        <v>0.62845962499901431</v>
      </c>
      <c r="U32" s="283">
        <f t="shared" si="14"/>
        <v>4.4568202148945586E-2</v>
      </c>
      <c r="V32" s="330"/>
      <c r="W32" s="260"/>
      <c r="X32" s="331"/>
    </row>
    <row r="33" spans="1:24" s="51" customFormat="1" ht="11" x14ac:dyDescent="0.15">
      <c r="A33" s="224"/>
      <c r="B33" s="50" t="s">
        <v>92</v>
      </c>
      <c r="C33" s="347"/>
      <c r="D33" s="347"/>
      <c r="E33" s="347"/>
      <c r="F33" s="327"/>
      <c r="G33" s="347"/>
      <c r="H33" s="347"/>
      <c r="I33" s="330"/>
      <c r="J33" s="330"/>
      <c r="K33" s="345" t="s">
        <v>425</v>
      </c>
      <c r="N33" s="346">
        <f t="shared" si="15"/>
        <v>-1.502760031572868E-2</v>
      </c>
      <c r="O33" s="346">
        <f>SUM(SAP_Speadsheet!$E$57:$P$57)</f>
        <v>-1.502760031572868E-2</v>
      </c>
      <c r="P33" s="346">
        <f>SUM(SAP_Speadsheet!$Q$57:$AB$57)</f>
        <v>0</v>
      </c>
      <c r="Q33" s="346">
        <f>SUM(SAP_Speadsheet!$AC$57:$AN$57)</f>
        <v>0</v>
      </c>
      <c r="R33" s="346">
        <f>SUM(SAP_Speadsheet!$AO$57:$AZ$57)</f>
        <v>0</v>
      </c>
      <c r="S33" s="346">
        <f>SUM(SAP_Speadsheet!$BA$57:$BF$57)</f>
        <v>0</v>
      </c>
      <c r="T33" s="283">
        <f t="shared" si="16"/>
        <v>-5.9930813346655717E-2</v>
      </c>
      <c r="U33" s="283">
        <f t="shared" si="14"/>
        <v>-4.2500878305247805E-3</v>
      </c>
      <c r="V33" s="330"/>
      <c r="W33" s="260"/>
      <c r="X33" s="331"/>
    </row>
    <row r="34" spans="1:24" s="51" customFormat="1" ht="11" x14ac:dyDescent="0.15">
      <c r="A34" s="224"/>
      <c r="B34" s="347"/>
      <c r="C34" s="348" t="s">
        <v>94</v>
      </c>
      <c r="D34" s="347"/>
      <c r="E34" s="349" t="s">
        <v>426</v>
      </c>
      <c r="F34" s="327"/>
      <c r="G34" s="347"/>
      <c r="H34" s="350"/>
      <c r="I34" s="330"/>
      <c r="J34" s="330"/>
      <c r="K34" s="50" t="s">
        <v>265</v>
      </c>
      <c r="N34" s="340">
        <f t="shared" si="15"/>
        <v>0.2241971681274284</v>
      </c>
      <c r="O34" s="340">
        <f>SUM(SAP_Speadsheet!$E$59:$P$59)</f>
        <v>0.2241971681274284</v>
      </c>
      <c r="P34" s="340">
        <f>SUM(SAP_Speadsheet!$Q$59:$AB$59)</f>
        <v>0</v>
      </c>
      <c r="Q34" s="340">
        <f>SUM(SAP_Speadsheet!$AC$59:$AN$59)</f>
        <v>0</v>
      </c>
      <c r="R34" s="340">
        <f>SUM(SAP_Speadsheet!$AO$59:$AZ$59)</f>
        <v>0</v>
      </c>
      <c r="S34" s="340">
        <f>SUM(SAP_Speadsheet!$BA$59:$BF$59)</f>
        <v>0</v>
      </c>
      <c r="T34" s="277">
        <f t="shared" si="16"/>
        <v>0.89410939561857672</v>
      </c>
      <c r="U34" s="277">
        <f t="shared" si="14"/>
        <v>6.340717319312722E-2</v>
      </c>
      <c r="V34" s="330"/>
      <c r="W34" s="260"/>
      <c r="X34" s="331"/>
    </row>
    <row r="35" spans="1:24" s="51" customFormat="1" ht="11" x14ac:dyDescent="0.15">
      <c r="A35" s="224"/>
      <c r="C35" s="51" t="s">
        <v>96</v>
      </c>
      <c r="D35" s="257"/>
      <c r="E35" s="351">
        <v>0.25</v>
      </c>
      <c r="F35" s="327" t="s">
        <v>427</v>
      </c>
      <c r="G35" s="352"/>
      <c r="H35" s="347"/>
      <c r="I35" s="330"/>
      <c r="J35" s="330"/>
      <c r="K35" s="345" t="s">
        <v>428</v>
      </c>
      <c r="N35" s="346">
        <f t="shared" si="15"/>
        <v>0.2241971681274284</v>
      </c>
      <c r="O35" s="346">
        <f>SUM(SAP_Speadsheet!$E$60:$P$60)</f>
        <v>0.2241971681274284</v>
      </c>
      <c r="P35" s="346">
        <f>SUM(SAP_Speadsheet!$Q$60:$AB$60)</f>
        <v>0</v>
      </c>
      <c r="Q35" s="346">
        <f>SUM(SAP_Speadsheet!$AC$60:$AN$60)</f>
        <v>0</v>
      </c>
      <c r="R35" s="346">
        <f>SUM(SAP_Speadsheet!$AO$60:$AZ$60)</f>
        <v>0</v>
      </c>
      <c r="S35" s="346">
        <f>SUM(SAP_Speadsheet!$BA$60:$BF$60)</f>
        <v>0</v>
      </c>
      <c r="T35" s="283">
        <f t="shared" si="16"/>
        <v>0.89410939561857672</v>
      </c>
      <c r="U35" s="283">
        <f>N35/$E$10</f>
        <v>6.340717319312722E-2</v>
      </c>
      <c r="V35" s="330"/>
      <c r="W35" s="260"/>
      <c r="X35" s="331"/>
    </row>
    <row r="36" spans="1:24" s="51" customFormat="1" ht="11" x14ac:dyDescent="0.15">
      <c r="A36" s="224"/>
      <c r="C36" s="51" t="s">
        <v>99</v>
      </c>
      <c r="D36" s="257"/>
      <c r="E36" s="351"/>
      <c r="F36" s="327" t="s">
        <v>427</v>
      </c>
      <c r="G36" s="353"/>
      <c r="I36" s="330"/>
      <c r="J36" s="330"/>
      <c r="K36" s="345" t="s">
        <v>86</v>
      </c>
      <c r="N36" s="346">
        <f t="shared" si="15"/>
        <v>0</v>
      </c>
      <c r="O36" s="346">
        <f>SUM(SAP_Speadsheet!$E$61:$P$61)</f>
        <v>0</v>
      </c>
      <c r="P36" s="346">
        <f>SUM(SAP_Speadsheet!$Q$61:$AB$61)</f>
        <v>0</v>
      </c>
      <c r="Q36" s="346">
        <f>SUM(SAP_Speadsheet!$AC$61:$AN$61)</f>
        <v>0</v>
      </c>
      <c r="R36" s="346">
        <f>SUM(SAP_Speadsheet!$AO$61:$AZ$61)</f>
        <v>0</v>
      </c>
      <c r="S36" s="346">
        <f>SUM(SAP_Speadsheet!$BA$61:$BF$61)</f>
        <v>0</v>
      </c>
      <c r="T36" s="283">
        <f t="shared" si="16"/>
        <v>0</v>
      </c>
      <c r="U36" s="283">
        <f t="shared" ref="U36:U51" si="17">N36/$E$10</f>
        <v>0</v>
      </c>
      <c r="V36" s="330"/>
      <c r="W36" s="260"/>
      <c r="X36" s="331"/>
    </row>
    <row r="37" spans="1:24" s="347" customFormat="1" ht="11" x14ac:dyDescent="0.15">
      <c r="A37" s="224"/>
      <c r="B37" s="51"/>
      <c r="C37" s="51"/>
      <c r="D37" s="51"/>
      <c r="E37" s="350" t="s">
        <v>429</v>
      </c>
      <c r="F37" s="327"/>
      <c r="G37" s="353"/>
      <c r="H37" s="51"/>
      <c r="I37" s="330"/>
      <c r="J37" s="330"/>
      <c r="K37" s="50" t="s">
        <v>408</v>
      </c>
      <c r="M37" s="354"/>
      <c r="N37" s="282">
        <f>SUM(O37:S37)</f>
        <v>0</v>
      </c>
      <c r="O37" s="282">
        <f>SUM(SAP_Speadsheet!$E$63:$P$63)</f>
        <v>0</v>
      </c>
      <c r="P37" s="282">
        <f>SUM(SAP_Speadsheet!$Q$63:$AB$63)</f>
        <v>0</v>
      </c>
      <c r="Q37" s="282">
        <f>SUM(SAP_Speadsheet!$AC$63:$AN$63)</f>
        <v>0</v>
      </c>
      <c r="R37" s="282">
        <f>SUM(SAP_Speadsheet!$AO$63:$AZ$63)</f>
        <v>0</v>
      </c>
      <c r="S37" s="282">
        <f>SUM(SAP_Speadsheet!$BA$63:$BF$63)</f>
        <v>0</v>
      </c>
      <c r="T37" s="283">
        <f t="shared" si="16"/>
        <v>0</v>
      </c>
      <c r="U37" s="283">
        <f t="shared" si="17"/>
        <v>0</v>
      </c>
      <c r="V37" s="330"/>
      <c r="W37" s="260"/>
      <c r="X37" s="331"/>
    </row>
    <row r="38" spans="1:24" s="347" customFormat="1" ht="11" x14ac:dyDescent="0.15">
      <c r="A38" s="224"/>
      <c r="B38" s="51"/>
      <c r="C38" s="51" t="s">
        <v>101</v>
      </c>
      <c r="D38" s="355"/>
      <c r="E38" s="351"/>
      <c r="F38" s="327" t="s">
        <v>427</v>
      </c>
      <c r="G38" s="353"/>
      <c r="H38" s="51"/>
      <c r="I38" s="330"/>
      <c r="J38" s="330"/>
      <c r="K38" s="356" t="s">
        <v>409</v>
      </c>
      <c r="L38" s="50"/>
      <c r="M38" s="50"/>
      <c r="N38" s="340">
        <f t="shared" si="15"/>
        <v>-0.17376625862934639</v>
      </c>
      <c r="O38" s="340">
        <f>SUM(SAP_Speadsheet!$E$175:$P$175)</f>
        <v>-0.17376625862934639</v>
      </c>
      <c r="P38" s="340">
        <f>SUM(SAP_Speadsheet!$Q$175:$AB$175)</f>
        <v>0</v>
      </c>
      <c r="Q38" s="340">
        <f>SUM(SAP_Speadsheet!$AC$175:$AN$175)</f>
        <v>0</v>
      </c>
      <c r="R38" s="340">
        <f>SUM(SAP_Speadsheet!$AO$175:$AZ$175)</f>
        <v>0</v>
      </c>
      <c r="S38" s="340">
        <f>SUM(SAP_Speadsheet!$BA$175:$BF$175)</f>
        <v>0</v>
      </c>
      <c r="T38" s="277">
        <f t="shared" si="16"/>
        <v>-0.69298843415220912</v>
      </c>
      <c r="U38" s="277">
        <f t="shared" si="17"/>
        <v>-4.9144364079435274E-2</v>
      </c>
      <c r="V38" s="330"/>
      <c r="W38" s="260"/>
      <c r="X38" s="331"/>
    </row>
    <row r="39" spans="1:24" s="347" customFormat="1" ht="11" x14ac:dyDescent="0.15">
      <c r="A39" s="224"/>
      <c r="B39" s="51"/>
      <c r="C39" s="51" t="s">
        <v>103</v>
      </c>
      <c r="D39" s="51"/>
      <c r="E39" s="351"/>
      <c r="F39" s="327" t="s">
        <v>427</v>
      </c>
      <c r="G39" s="353"/>
      <c r="H39" s="51"/>
      <c r="K39" s="50" t="s">
        <v>410</v>
      </c>
      <c r="L39" s="51"/>
      <c r="M39" s="51"/>
      <c r="N39" s="340">
        <f t="shared" si="15"/>
        <v>-0.11811444441397542</v>
      </c>
      <c r="O39" s="340">
        <f>+SUM(O40,O44,O47,O51)</f>
        <v>-0.11811444441397542</v>
      </c>
      <c r="P39" s="357">
        <f>+SUM(P40,P44,P47,P51)</f>
        <v>0</v>
      </c>
      <c r="Q39" s="357">
        <f>+SUM(Q40,Q44,Q47,Q51)</f>
        <v>0</v>
      </c>
      <c r="R39" s="357">
        <f>+SUM(R40,R44,R47,R51)</f>
        <v>0</v>
      </c>
      <c r="S39" s="340">
        <f>+SUM(S40,S44,S47,S51)</f>
        <v>0</v>
      </c>
      <c r="T39" s="277">
        <f t="shared" si="16"/>
        <v>-0.47104624643955745</v>
      </c>
      <c r="U39" s="277">
        <f t="shared" si="17"/>
        <v>-3.3404984978713886E-2</v>
      </c>
      <c r="V39" s="330"/>
      <c r="W39" s="260"/>
      <c r="X39" s="331"/>
    </row>
    <row r="40" spans="1:24" s="51" customFormat="1" ht="11" x14ac:dyDescent="0.15">
      <c r="A40" s="224"/>
      <c r="C40" s="51" t="s">
        <v>105</v>
      </c>
      <c r="E40" s="351"/>
      <c r="F40" s="327" t="s">
        <v>427</v>
      </c>
      <c r="G40" s="352"/>
      <c r="H40" s="350"/>
      <c r="K40" s="356" t="s">
        <v>92</v>
      </c>
      <c r="N40" s="340">
        <f t="shared" si="15"/>
        <v>-4.522501972900167E-2</v>
      </c>
      <c r="O40" s="340">
        <f>SUM(O41:O43)</f>
        <v>-4.522501972900167E-2</v>
      </c>
      <c r="P40" s="340">
        <f>SUM(P41:P43)</f>
        <v>0</v>
      </c>
      <c r="Q40" s="340">
        <f>SUM(Q41:Q43)</f>
        <v>0</v>
      </c>
      <c r="R40" s="340">
        <f>SUM(R41:R43)</f>
        <v>0</v>
      </c>
      <c r="S40" s="340">
        <f>SUM(S41:S43)</f>
        <v>0</v>
      </c>
      <c r="T40" s="277">
        <f t="shared" si="16"/>
        <v>-0.180359615576201</v>
      </c>
      <c r="U40" s="277">
        <f t="shared" si="17"/>
        <v>-1.2790485636239317E-2</v>
      </c>
      <c r="V40" s="330"/>
      <c r="W40" s="260"/>
      <c r="X40" s="331"/>
    </row>
    <row r="41" spans="1:24" s="51" customFormat="1" ht="11" x14ac:dyDescent="0.15">
      <c r="A41" s="224"/>
      <c r="C41" s="51" t="s">
        <v>107</v>
      </c>
      <c r="E41" s="351"/>
      <c r="F41" s="327" t="s">
        <v>427</v>
      </c>
      <c r="G41" s="352"/>
      <c r="H41" s="350"/>
      <c r="K41" s="280" t="s">
        <v>430</v>
      </c>
      <c r="L41" s="347"/>
      <c r="N41" s="282">
        <f t="shared" si="15"/>
        <v>0</v>
      </c>
      <c r="O41" s="282">
        <f>SUM(SAP_Speadsheet!$E$68:$P$68)</f>
        <v>0</v>
      </c>
      <c r="P41" s="282">
        <f>SUM(SAP_Speadsheet!$Q$68:$AB$68)</f>
        <v>0</v>
      </c>
      <c r="Q41" s="282">
        <f>SUM(SAP_Speadsheet!$AC$68:$AN$68)</f>
        <v>0</v>
      </c>
      <c r="R41" s="282">
        <f>SUM(SAP_Speadsheet!$AO$68:$AZ$68)</f>
        <v>0</v>
      </c>
      <c r="S41" s="282">
        <f>SUM(SAP_Speadsheet!$BA$68:$BF$68)</f>
        <v>0</v>
      </c>
      <c r="T41" s="283">
        <f t="shared" si="16"/>
        <v>0</v>
      </c>
      <c r="U41" s="283">
        <f t="shared" si="17"/>
        <v>0</v>
      </c>
      <c r="V41" s="330"/>
      <c r="W41" s="260"/>
      <c r="X41" s="331"/>
    </row>
    <row r="42" spans="1:24" s="51" customFormat="1" ht="11" x14ac:dyDescent="0.15">
      <c r="A42" s="224"/>
      <c r="C42" s="51" t="s">
        <v>109</v>
      </c>
      <c r="E42" s="351"/>
      <c r="F42" s="327" t="s">
        <v>427</v>
      </c>
      <c r="K42" s="280" t="s">
        <v>431</v>
      </c>
      <c r="N42" s="346">
        <f t="shared" si="15"/>
        <v>-4.4761672087237241E-2</v>
      </c>
      <c r="O42" s="346">
        <f>SUM(SAP_Speadsheet!$E$69:$P$69)</f>
        <v>-4.4761672087237241E-2</v>
      </c>
      <c r="P42" s="346">
        <f>SUM(SAP_Speadsheet!$Q$69:$AB$69)</f>
        <v>0</v>
      </c>
      <c r="Q42" s="346">
        <f>SUM(SAP_Speadsheet!$AC$69:$AN$69)</f>
        <v>0</v>
      </c>
      <c r="R42" s="346">
        <f>SUM(SAP_Speadsheet!$AO$69:$AZ$69)</f>
        <v>0</v>
      </c>
      <c r="S42" s="346">
        <f>SUM(SAP_Speadsheet!$BA$69:$BF$69)</f>
        <v>0</v>
      </c>
      <c r="T42" s="283">
        <f t="shared" si="16"/>
        <v>-0.17851176226297885</v>
      </c>
      <c r="U42" s="283">
        <f t="shared" si="17"/>
        <v>-1.2659442213990176E-2</v>
      </c>
      <c r="V42" s="330"/>
      <c r="W42" s="260"/>
      <c r="X42" s="331"/>
    </row>
    <row r="43" spans="1:24" s="51" customFormat="1" ht="11" x14ac:dyDescent="0.15">
      <c r="A43" s="224"/>
      <c r="F43" s="327"/>
      <c r="K43" s="280" t="s">
        <v>432</v>
      </c>
      <c r="L43" s="347"/>
      <c r="N43" s="282">
        <f t="shared" si="15"/>
        <v>-4.6334764176443252E-4</v>
      </c>
      <c r="O43" s="282">
        <f>SUM(SAP_Speadsheet!$E$78:$P$78)</f>
        <v>-4.6334764176443252E-4</v>
      </c>
      <c r="P43" s="282">
        <f>SUM(SAP_Speadsheet!$Q$78:$AB$78)</f>
        <v>0</v>
      </c>
      <c r="Q43" s="282">
        <f>SUM(SAP_Speadsheet!$AC$78:$AN$78)</f>
        <v>0</v>
      </c>
      <c r="R43" s="282">
        <f>SUM(SAP_Speadsheet!$AO$78:$AZ$78)</f>
        <v>0</v>
      </c>
      <c r="S43" s="282">
        <f>SUM(SAP_Speadsheet!$BA$78:$BF$78)</f>
        <v>0</v>
      </c>
      <c r="T43" s="283">
        <f t="shared" si="16"/>
        <v>-1.8478533132221392E-3</v>
      </c>
      <c r="U43" s="283">
        <f t="shared" si="17"/>
        <v>-1.3104342224914181E-4</v>
      </c>
      <c r="V43" s="330"/>
      <c r="W43" s="260"/>
      <c r="X43" s="331"/>
    </row>
    <row r="44" spans="1:24" s="51" customFormat="1" ht="11" x14ac:dyDescent="0.15">
      <c r="A44" s="224"/>
      <c r="C44" s="51" t="s">
        <v>111</v>
      </c>
      <c r="D44" s="257"/>
      <c r="E44" s="326"/>
      <c r="F44" s="327" t="s">
        <v>420</v>
      </c>
      <c r="I44" s="358"/>
      <c r="J44" s="330"/>
      <c r="K44" s="356" t="s">
        <v>413</v>
      </c>
      <c r="L44" s="347"/>
      <c r="N44" s="270">
        <f t="shared" si="15"/>
        <v>-9.0250651191684291E-3</v>
      </c>
      <c r="O44" s="270">
        <f>SUM(O45:O46)</f>
        <v>-9.0250651191684291E-3</v>
      </c>
      <c r="P44" s="270">
        <f>SUM(P45:P46)</f>
        <v>0</v>
      </c>
      <c r="Q44" s="270">
        <f>SUM(Q45:Q46)</f>
        <v>0</v>
      </c>
      <c r="R44" s="270">
        <f>SUM(R45:R46)</f>
        <v>0</v>
      </c>
      <c r="S44" s="270">
        <f>SUM(S45:S46)</f>
        <v>0</v>
      </c>
      <c r="T44" s="277">
        <f t="shared" si="16"/>
        <v>-3.5992406088428054E-2</v>
      </c>
      <c r="U44" s="277">
        <f t="shared" si="17"/>
        <v>-2.5524580523029099E-3</v>
      </c>
      <c r="V44" s="330"/>
      <c r="W44" s="260"/>
      <c r="X44" s="331"/>
    </row>
    <row r="45" spans="1:24" s="51" customFormat="1" ht="11" x14ac:dyDescent="0.15">
      <c r="A45" s="224"/>
      <c r="E45" s="333"/>
      <c r="F45" s="327" t="s">
        <v>422</v>
      </c>
      <c r="I45" s="358"/>
      <c r="J45" s="330"/>
      <c r="K45" s="280" t="s">
        <v>199</v>
      </c>
      <c r="N45" s="282">
        <f t="shared" si="15"/>
        <v>-7.9689062756664996E-3</v>
      </c>
      <c r="O45" s="282">
        <f>SUM(SAP_Speadsheet!$E$81:$P$81)</f>
        <v>-7.9689062756664996E-3</v>
      </c>
      <c r="P45" s="282">
        <f>SUM(SAP_Speadsheet!$Q$81:$AB$81)</f>
        <v>0</v>
      </c>
      <c r="Q45" s="282">
        <f>SUM(SAP_Speadsheet!$AC$81:$AN$81)</f>
        <v>0</v>
      </c>
      <c r="R45" s="282">
        <f>SUM(SAP_Speadsheet!$AO$81:$AZ$81)</f>
        <v>0</v>
      </c>
      <c r="S45" s="282">
        <f>SUM(SAP_Speadsheet!$BA$81:$BF$81)</f>
        <v>0</v>
      </c>
      <c r="T45" s="283">
        <f t="shared" si="16"/>
        <v>-3.1780392381350386E-2</v>
      </c>
      <c r="U45" s="283">
        <f t="shared" si="17"/>
        <v>-2.253756479625967E-3</v>
      </c>
      <c r="V45" s="330"/>
      <c r="W45" s="260"/>
      <c r="X45" s="331"/>
    </row>
    <row r="46" spans="1:24" s="51" customFormat="1" ht="11" x14ac:dyDescent="0.15">
      <c r="A46" s="224"/>
      <c r="F46" s="327"/>
      <c r="I46" s="358"/>
      <c r="J46" s="330"/>
      <c r="K46" s="280" t="s">
        <v>191</v>
      </c>
      <c r="N46" s="282">
        <f t="shared" si="15"/>
        <v>-1.0561588435019299E-3</v>
      </c>
      <c r="O46" s="282">
        <f>SUM(SAP_Speadsheet!$E$82:$P$82)</f>
        <v>-1.0561588435019299E-3</v>
      </c>
      <c r="P46" s="282">
        <f>SUM(SAP_Speadsheet!$Q$82:$AB$82)</f>
        <v>0</v>
      </c>
      <c r="Q46" s="282">
        <f>SUM(SAP_Speadsheet!$AC$82:$AN$82)</f>
        <v>0</v>
      </c>
      <c r="R46" s="282">
        <f>SUM(SAP_Speadsheet!$AO$82:$AZ$82)</f>
        <v>0</v>
      </c>
      <c r="S46" s="282">
        <f>SUM(SAP_Speadsheet!$BA$82:$BF$82)</f>
        <v>0</v>
      </c>
      <c r="T46" s="283">
        <f t="shared" si="16"/>
        <v>-4.2120137070776704E-3</v>
      </c>
      <c r="U46" s="283">
        <f t="shared" si="17"/>
        <v>-2.9870157267694277E-4</v>
      </c>
      <c r="V46" s="330"/>
      <c r="W46" s="260"/>
      <c r="X46" s="331"/>
    </row>
    <row r="47" spans="1:24" s="51" customFormat="1" ht="11" x14ac:dyDescent="0.15">
      <c r="A47" s="224"/>
      <c r="C47" s="348" t="s">
        <v>116</v>
      </c>
      <c r="F47" s="327"/>
      <c r="I47" s="358"/>
      <c r="J47" s="330"/>
      <c r="K47" s="356" t="s">
        <v>433</v>
      </c>
      <c r="N47" s="270">
        <f t="shared" si="15"/>
        <v>-7.0726271702736933E-3</v>
      </c>
      <c r="O47" s="270">
        <f>SUM(O48:O50)</f>
        <v>-7.0726271702736933E-3</v>
      </c>
      <c r="P47" s="270">
        <f>SUM(P48:P50)</f>
        <v>0</v>
      </c>
      <c r="Q47" s="270">
        <f>SUM(Q48:Q50)</f>
        <v>0</v>
      </c>
      <c r="R47" s="270">
        <f>SUM(R48:R50)</f>
        <v>0</v>
      </c>
      <c r="S47" s="270">
        <f>SUM(S48:S50)</f>
        <v>0</v>
      </c>
      <c r="T47" s="277">
        <f t="shared" si="16"/>
        <v>-2.8205986977742251E-2</v>
      </c>
      <c r="U47" s="277">
        <f t="shared" si="17"/>
        <v>-2.0002719020120263E-3</v>
      </c>
      <c r="V47" s="330"/>
      <c r="W47" s="260"/>
      <c r="X47" s="331"/>
    </row>
    <row r="48" spans="1:24" s="51" customFormat="1" ht="11" x14ac:dyDescent="0.15">
      <c r="A48" s="224"/>
      <c r="C48" s="359"/>
      <c r="D48" s="257"/>
      <c r="E48" s="360"/>
      <c r="F48" s="327"/>
      <c r="G48" s="352"/>
      <c r="H48" s="350"/>
      <c r="J48" s="330"/>
      <c r="K48" s="280" t="s">
        <v>434</v>
      </c>
      <c r="N48" s="282">
        <f t="shared" si="15"/>
        <v>-6.6504319040754344E-3</v>
      </c>
      <c r="O48" s="282">
        <f>SUM(SAP_Speadsheet!$E$88:$P$88)</f>
        <v>-6.6504319040754344E-3</v>
      </c>
      <c r="P48" s="282">
        <f>SUM(SAP_Speadsheet!$Q$88:$AB$88)</f>
        <v>0</v>
      </c>
      <c r="Q48" s="282">
        <f>SUM(SAP_Speadsheet!$AC$88:$AN$88)</f>
        <v>0</v>
      </c>
      <c r="R48" s="282">
        <f>SUM(SAP_Speadsheet!$AO$88:$AZ$88)</f>
        <v>0</v>
      </c>
      <c r="S48" s="282">
        <f>SUM(SAP_Speadsheet!$BA$88:$BF$88)</f>
        <v>0</v>
      </c>
      <c r="T48" s="283">
        <f t="shared" si="16"/>
        <v>-2.6522251373735897E-2</v>
      </c>
      <c r="U48" s="283">
        <f t="shared" si="17"/>
        <v>-1.8808671450797896E-3</v>
      </c>
      <c r="V48" s="330"/>
      <c r="W48" s="260"/>
      <c r="X48" s="331"/>
    </row>
    <row r="49" spans="1:24" s="51" customFormat="1" ht="11" x14ac:dyDescent="0.15">
      <c r="A49" s="224"/>
      <c r="C49" s="51" t="s">
        <v>116</v>
      </c>
      <c r="D49" s="257"/>
      <c r="E49" s="326">
        <f>DATA!C64</f>
        <v>4.6334764176443252E-4</v>
      </c>
      <c r="F49" s="327" t="s">
        <v>420</v>
      </c>
      <c r="G49" s="352"/>
      <c r="H49" s="353"/>
      <c r="J49" s="330"/>
      <c r="K49" s="280" t="s">
        <v>435</v>
      </c>
      <c r="N49" s="282">
        <f t="shared" si="15"/>
        <v>0</v>
      </c>
      <c r="O49" s="282">
        <f>SUM(SAP_Speadsheet!$E$89:$P$89)</f>
        <v>0</v>
      </c>
      <c r="P49" s="282">
        <f>SUM(SAP_Speadsheet!$Q$89:$AB$89)</f>
        <v>0</v>
      </c>
      <c r="Q49" s="282">
        <f>SUM(SAP_Speadsheet!$AC$89:$AN$89)</f>
        <v>0</v>
      </c>
      <c r="R49" s="282">
        <f>SUM(SAP_Speadsheet!$AO$89:$AZ$89)</f>
        <v>0</v>
      </c>
      <c r="S49" s="282">
        <f>SUM(SAP_Speadsheet!$BA$89:$BF$89)</f>
        <v>0</v>
      </c>
      <c r="T49" s="283">
        <f t="shared" si="16"/>
        <v>0</v>
      </c>
      <c r="U49" s="283">
        <f t="shared" si="17"/>
        <v>0</v>
      </c>
      <c r="V49" s="330"/>
      <c r="W49" s="260"/>
      <c r="X49" s="331"/>
    </row>
    <row r="50" spans="1:24" s="51" customFormat="1" ht="11" x14ac:dyDescent="0.15">
      <c r="A50" s="224"/>
      <c r="C50" s="361"/>
      <c r="F50" s="327"/>
      <c r="J50" s="330"/>
      <c r="K50" s="280" t="s">
        <v>134</v>
      </c>
      <c r="L50" s="347"/>
      <c r="N50" s="282">
        <f t="shared" si="15"/>
        <v>-4.2219526619825874E-4</v>
      </c>
      <c r="O50" s="282">
        <f>SUM(SAP_Speadsheet!$E$91:$P$91)</f>
        <v>-4.2219526619825874E-4</v>
      </c>
      <c r="P50" s="282">
        <f>SUM(SAP_Speadsheet!$Q$91:$AB$91)</f>
        <v>0</v>
      </c>
      <c r="Q50" s="282">
        <f>SUM(SAP_Speadsheet!$AC$91:$AN$91)</f>
        <v>0</v>
      </c>
      <c r="R50" s="282">
        <f>SUM(SAP_Speadsheet!$AO$91:$AZ$91)</f>
        <v>0</v>
      </c>
      <c r="S50" s="282">
        <f>SUM(SAP_Speadsheet!$BA$91:$BF$91)</f>
        <v>0</v>
      </c>
      <c r="T50" s="283">
        <f t="shared" si="16"/>
        <v>-1.6837356040063515E-3</v>
      </c>
      <c r="U50" s="283">
        <f t="shared" si="17"/>
        <v>-1.1940475693223691E-4</v>
      </c>
      <c r="V50" s="330"/>
      <c r="W50" s="260"/>
      <c r="X50" s="331"/>
    </row>
    <row r="51" spans="1:24" s="51" customFormat="1" ht="11" x14ac:dyDescent="0.15">
      <c r="A51" s="224"/>
      <c r="B51" s="50" t="s">
        <v>118</v>
      </c>
      <c r="C51" s="51" t="s">
        <v>119</v>
      </c>
      <c r="D51" s="257"/>
      <c r="E51" s="362">
        <f>DATA!C65*Leadsheet!E54*Leadsheet!E55</f>
        <v>2.8493448182453519E-3</v>
      </c>
      <c r="F51" s="327" t="s">
        <v>436</v>
      </c>
      <c r="G51" s="363"/>
      <c r="H51" s="353"/>
      <c r="J51" s="330"/>
      <c r="K51" s="356" t="s">
        <v>437</v>
      </c>
      <c r="N51" s="270">
        <f t="shared" ref="N51:N56" si="18">SUM(O51:S51)</f>
        <v>-5.6791732395531626E-2</v>
      </c>
      <c r="O51" s="270">
        <f>SUM(O52:O55)</f>
        <v>-5.6791732395531626E-2</v>
      </c>
      <c r="P51" s="270">
        <f>SUM(P52:P55)</f>
        <v>0</v>
      </c>
      <c r="Q51" s="270">
        <f>SUM(Q52:Q55)</f>
        <v>0</v>
      </c>
      <c r="R51" s="270">
        <f>SUM(R52:R55)</f>
        <v>0</v>
      </c>
      <c r="S51" s="270">
        <f>SUM(S52:S55)</f>
        <v>0</v>
      </c>
      <c r="T51" s="277">
        <f t="shared" si="16"/>
        <v>-0.2264882377971861</v>
      </c>
      <c r="U51" s="277">
        <f t="shared" si="17"/>
        <v>-1.6061769388159629E-2</v>
      </c>
      <c r="V51" s="330"/>
      <c r="W51" s="260"/>
      <c r="X51" s="331"/>
    </row>
    <row r="52" spans="1:24" s="51" customFormat="1" ht="11" x14ac:dyDescent="0.15">
      <c r="A52" s="224"/>
      <c r="B52" s="50"/>
      <c r="C52" s="51" t="s">
        <v>121</v>
      </c>
      <c r="D52" s="257"/>
      <c r="E52" s="362"/>
      <c r="F52" s="327" t="s">
        <v>438</v>
      </c>
      <c r="G52" s="363"/>
      <c r="J52" s="330"/>
      <c r="K52" s="280" t="s">
        <v>139</v>
      </c>
      <c r="N52" s="282">
        <f t="shared" si="18"/>
        <v>-9.077282642806923E-3</v>
      </c>
      <c r="O52" s="282">
        <f>SUM(SAP_Speadsheet!$E$96:$P$96)</f>
        <v>-9.077282642806923E-3</v>
      </c>
      <c r="P52" s="282">
        <f>SUM(SAP_Speadsheet!$Q$96:$AB$96)</f>
        <v>0</v>
      </c>
      <c r="Q52" s="282">
        <f>SUM(SAP_Speadsheet!$AC$96:$AN$96)</f>
        <v>0</v>
      </c>
      <c r="R52" s="282">
        <f>SUM(SAP_Speadsheet!$AO$96:$AZ$96)</f>
        <v>0</v>
      </c>
      <c r="S52" s="282">
        <f>SUM(SAP_Speadsheet!$BA$96:$BF$96)</f>
        <v>0</v>
      </c>
      <c r="T52" s="283">
        <f t="shared" si="16"/>
        <v>-3.6200652155454982E-2</v>
      </c>
      <c r="U52" s="283">
        <f>N52/$E$10</f>
        <v>-2.5672261494770021E-3</v>
      </c>
      <c r="V52" s="330"/>
      <c r="W52" s="260"/>
      <c r="X52" s="331"/>
    </row>
    <row r="53" spans="1:24" s="51" customFormat="1" ht="11" x14ac:dyDescent="0.15">
      <c r="A53" s="224"/>
      <c r="C53" s="51" t="s">
        <v>123</v>
      </c>
      <c r="D53" s="257"/>
      <c r="E53" s="362">
        <f>DATA!C67</f>
        <v>1.0561588435019299E-3</v>
      </c>
      <c r="F53" s="327" t="s">
        <v>438</v>
      </c>
      <c r="G53" s="353"/>
      <c r="H53" s="353"/>
      <c r="I53" s="364"/>
      <c r="J53" s="257"/>
      <c r="K53" s="280" t="s">
        <v>439</v>
      </c>
      <c r="N53" s="282">
        <f>SUM(O53:S53)</f>
        <v>-2.4318660235886368E-2</v>
      </c>
      <c r="O53" s="282">
        <f>SUM(SAP_Speadsheet!$E$97:$P$97)</f>
        <v>-2.4318660235886368E-2</v>
      </c>
      <c r="P53" s="282">
        <f>SUM(SAP_Speadsheet!$Q$97:$AB$97)</f>
        <v>0</v>
      </c>
      <c r="Q53" s="282">
        <f>SUM(SAP_Speadsheet!$AC$97:$AN$97)</f>
        <v>0</v>
      </c>
      <c r="R53" s="282">
        <f>SUM(SAP_Speadsheet!$AO$97:$AZ$97)</f>
        <v>0</v>
      </c>
      <c r="S53" s="282">
        <f>SUM(SAP_Speadsheet!$BA$97:$BF$97)</f>
        <v>0</v>
      </c>
      <c r="T53" s="283">
        <f t="shared" si="16"/>
        <v>-9.6984019857928608E-2</v>
      </c>
      <c r="U53" s="283">
        <f>N53/$E$10</f>
        <v>-6.8777742122292955E-3</v>
      </c>
      <c r="V53" s="330"/>
      <c r="W53" s="260"/>
    </row>
    <row r="54" spans="1:24" s="51" customFormat="1" ht="11" customHeight="1" x14ac:dyDescent="0.15">
      <c r="A54" s="224"/>
      <c r="C54" s="51" t="s">
        <v>125</v>
      </c>
      <c r="D54" s="257"/>
      <c r="E54" s="365">
        <f>DATA!E6</f>
        <v>0.38146326202940017</v>
      </c>
      <c r="F54" s="327" t="s">
        <v>440</v>
      </c>
      <c r="G54" s="366"/>
      <c r="H54" s="353"/>
      <c r="I54" s="364"/>
      <c r="J54" s="257"/>
      <c r="K54" s="280" t="s">
        <v>143</v>
      </c>
      <c r="N54" s="282">
        <f t="shared" si="18"/>
        <v>-1.1666441173288321E-2</v>
      </c>
      <c r="O54" s="282">
        <f>SUM(SAP_Speadsheet!$E$98:$P$98)</f>
        <v>-1.1666441173288321E-2</v>
      </c>
      <c r="P54" s="282">
        <f>SUM(SAP_Speadsheet!$Q$98:$AB$98)</f>
        <v>0</v>
      </c>
      <c r="Q54" s="282">
        <f>SUM(SAP_Speadsheet!$AC$98:$AN$98)</f>
        <v>0</v>
      </c>
      <c r="R54" s="282">
        <f>SUM(SAP_Speadsheet!$AO$98:$AZ$98)</f>
        <v>0</v>
      </c>
      <c r="S54" s="282">
        <f>SUM(SAP_Speadsheet!$BA$98:$BF$98)</f>
        <v>0</v>
      </c>
      <c r="T54" s="283">
        <f t="shared" si="16"/>
        <v>-4.6526344438658211E-2</v>
      </c>
      <c r="U54" s="283">
        <f>N54/$E$10</f>
        <v>-3.2994888481449251E-3</v>
      </c>
      <c r="V54" s="330"/>
      <c r="W54" s="260"/>
    </row>
    <row r="55" spans="1:24" s="51" customFormat="1" ht="11" customHeight="1" x14ac:dyDescent="0.15">
      <c r="A55" s="224"/>
      <c r="C55" s="51" t="s">
        <v>128</v>
      </c>
      <c r="D55" s="257"/>
      <c r="E55" s="365">
        <f>DATA!E7</f>
        <v>0.9373322766260439</v>
      </c>
      <c r="F55" s="327" t="s">
        <v>441</v>
      </c>
      <c r="G55" s="367"/>
      <c r="H55" s="353"/>
      <c r="I55" s="364"/>
      <c r="J55" s="257"/>
      <c r="K55" s="280" t="s">
        <v>442</v>
      </c>
      <c r="N55" s="282">
        <f t="shared" si="18"/>
        <v>-1.1729348343550017E-2</v>
      </c>
      <c r="O55" s="282">
        <f>SUM(SAP_Speadsheet!$E$99:$P$99)</f>
        <v>-1.1729348343550017E-2</v>
      </c>
      <c r="P55" s="282">
        <f>SUM(SAP_Speadsheet!$Q$99:$AB$99)</f>
        <v>0</v>
      </c>
      <c r="Q55" s="282">
        <f>SUM(SAP_Speadsheet!$AC$99:$AN$99)</f>
        <v>0</v>
      </c>
      <c r="R55" s="282">
        <f>SUM(SAP_Speadsheet!$AO$99:$AZ$99)</f>
        <v>0</v>
      </c>
      <c r="S55" s="282">
        <f>SUM(SAP_Speadsheet!$BA$99:$BF$99)</f>
        <v>0</v>
      </c>
      <c r="T55" s="283">
        <f t="shared" si="16"/>
        <v>-4.6777221345144337E-2</v>
      </c>
      <c r="U55" s="283">
        <f>N55/$E$10</f>
        <v>-3.3172801783084077E-3</v>
      </c>
      <c r="V55" s="330"/>
      <c r="W55" s="260"/>
    </row>
    <row r="56" spans="1:24" s="347" customFormat="1" ht="11" customHeight="1" x14ac:dyDescent="0.15">
      <c r="A56" s="224"/>
      <c r="B56" s="51"/>
      <c r="C56" s="51"/>
      <c r="D56" s="51"/>
      <c r="E56" s="51"/>
      <c r="F56" s="327"/>
      <c r="G56" s="51"/>
      <c r="H56" s="366"/>
      <c r="I56" s="337"/>
      <c r="J56" s="355"/>
      <c r="K56" s="50" t="s">
        <v>417</v>
      </c>
      <c r="M56" s="51"/>
      <c r="N56" s="270">
        <f t="shared" si="18"/>
        <v>7.4874579556360621E-2</v>
      </c>
      <c r="O56" s="270">
        <f>SUM(SAP_Speadsheet!$E$181:$P$181)</f>
        <v>7.4874579556360621E-2</v>
      </c>
      <c r="P56" s="270">
        <f>SUM(SAP_Speadsheet!$Q$181:$AB$181)</f>
        <v>0</v>
      </c>
      <c r="Q56" s="270">
        <f>SUM(SAP_Speadsheet!$AC$181:$AN$181)</f>
        <v>0</v>
      </c>
      <c r="R56" s="270">
        <f>SUM(SAP_Speadsheet!$AO$181:$AZ$181)</f>
        <v>0</v>
      </c>
      <c r="S56" s="270">
        <f>SUM(SAP_Speadsheet!$BA$181:$BF$181)</f>
        <v>0</v>
      </c>
      <c r="T56" s="277">
        <f t="shared" si="16"/>
        <v>0.29860352667916867</v>
      </c>
      <c r="U56" s="277">
        <f>N56/$E$10</f>
        <v>2.1175938453398858E-2</v>
      </c>
      <c r="V56" s="330"/>
      <c r="W56" s="260"/>
    </row>
    <row r="57" spans="1:24" s="51" customFormat="1" ht="11" customHeight="1" x14ac:dyDescent="0.15">
      <c r="A57" s="224" t="s">
        <v>443</v>
      </c>
      <c r="B57" s="50" t="s">
        <v>131</v>
      </c>
      <c r="C57" s="51" t="s">
        <v>132</v>
      </c>
      <c r="D57" s="257"/>
      <c r="E57" s="368">
        <f>DATA!C66</f>
        <v>5.0000000000000001E-3</v>
      </c>
      <c r="F57" s="327" t="s">
        <v>444</v>
      </c>
      <c r="G57" s="363"/>
      <c r="H57" s="353"/>
      <c r="I57" s="364"/>
      <c r="J57" s="257"/>
      <c r="V57" s="330"/>
      <c r="W57" s="260"/>
    </row>
    <row r="58" spans="1:24" s="51" customFormat="1" ht="11" customHeight="1" x14ac:dyDescent="0.15">
      <c r="A58" s="224"/>
      <c r="C58" s="359" t="s">
        <v>445</v>
      </c>
      <c r="D58" s="257"/>
      <c r="E58" s="369"/>
      <c r="F58" s="327" t="s">
        <v>444</v>
      </c>
      <c r="G58" s="363"/>
      <c r="H58" s="353"/>
      <c r="I58" s="337"/>
      <c r="V58" s="330"/>
      <c r="W58" s="260"/>
    </row>
    <row r="59" spans="1:24" s="51" customFormat="1" ht="11" customHeight="1" x14ac:dyDescent="0.15">
      <c r="A59" s="224" t="s">
        <v>446</v>
      </c>
      <c r="C59" s="359" t="s">
        <v>447</v>
      </c>
      <c r="D59" s="257"/>
      <c r="E59" s="370"/>
      <c r="F59" s="327" t="s">
        <v>448</v>
      </c>
      <c r="G59" s="363"/>
      <c r="H59" s="353"/>
      <c r="I59" s="257"/>
      <c r="J59" s="257"/>
      <c r="V59" s="257"/>
    </row>
    <row r="60" spans="1:24" s="51" customFormat="1" ht="11" customHeight="1" x14ac:dyDescent="0.15">
      <c r="A60" s="224" t="s">
        <v>449</v>
      </c>
      <c r="C60" s="359" t="s">
        <v>450</v>
      </c>
      <c r="D60" s="257"/>
      <c r="E60" s="370"/>
      <c r="F60" s="327" t="s">
        <v>448</v>
      </c>
      <c r="G60" s="363"/>
      <c r="H60" s="353"/>
      <c r="I60" s="257"/>
      <c r="J60" s="257"/>
      <c r="V60" s="257"/>
    </row>
    <row r="61" spans="1:24" s="51" customFormat="1" ht="11" customHeight="1" x14ac:dyDescent="0.15">
      <c r="A61" s="224" t="s">
        <v>451</v>
      </c>
      <c r="C61" s="359" t="s">
        <v>452</v>
      </c>
      <c r="D61" s="257"/>
      <c r="E61" s="370"/>
      <c r="F61" s="327" t="s">
        <v>448</v>
      </c>
      <c r="G61" s="363"/>
      <c r="H61" s="353"/>
      <c r="J61" s="257"/>
      <c r="V61" s="257"/>
    </row>
    <row r="62" spans="1:24" s="51" customFormat="1" ht="11" x14ac:dyDescent="0.15">
      <c r="A62" s="224" t="s">
        <v>453</v>
      </c>
      <c r="F62" s="327"/>
      <c r="I62" s="257"/>
      <c r="V62" s="257"/>
    </row>
    <row r="63" spans="1:24" s="51" customFormat="1" ht="11" x14ac:dyDescent="0.15">
      <c r="A63" s="224"/>
      <c r="B63" s="50" t="s">
        <v>134</v>
      </c>
      <c r="F63" s="327"/>
      <c r="I63" s="257"/>
      <c r="J63" s="257"/>
      <c r="K63" s="50"/>
      <c r="L63" s="50"/>
      <c r="M63" s="50"/>
      <c r="N63" s="371"/>
      <c r="O63" s="371"/>
      <c r="P63" s="371"/>
      <c r="Q63" s="371"/>
      <c r="R63" s="371"/>
      <c r="S63" s="371"/>
      <c r="T63" s="372"/>
      <c r="U63" s="373"/>
      <c r="V63" s="257"/>
    </row>
    <row r="64" spans="1:24" s="51" customFormat="1" ht="11" x14ac:dyDescent="0.15">
      <c r="A64" s="257"/>
      <c r="C64" s="51" t="s">
        <v>135</v>
      </c>
      <c r="E64" s="374">
        <f>DATA!C68</f>
        <v>4.2219526619825874E-4</v>
      </c>
      <c r="F64" s="327" t="s">
        <v>444</v>
      </c>
      <c r="I64" s="257"/>
      <c r="J64" s="257"/>
      <c r="K64" s="50"/>
      <c r="L64" s="50"/>
      <c r="M64" s="50"/>
      <c r="N64" s="371"/>
      <c r="O64" s="371"/>
      <c r="P64" s="371"/>
      <c r="Q64" s="371"/>
      <c r="R64" s="371"/>
      <c r="S64" s="371"/>
      <c r="T64" s="372"/>
      <c r="U64" s="373"/>
      <c r="V64" s="257"/>
    </row>
    <row r="65" spans="1:22" s="51" customFormat="1" ht="11" x14ac:dyDescent="0.15">
      <c r="A65" s="257"/>
      <c r="F65" s="327"/>
      <c r="I65" s="257"/>
      <c r="J65" s="257"/>
      <c r="K65" s="50"/>
      <c r="L65" s="50"/>
      <c r="M65" s="50"/>
      <c r="N65" s="371"/>
      <c r="O65" s="371"/>
      <c r="P65" s="371"/>
      <c r="Q65" s="371"/>
      <c r="R65" s="371"/>
      <c r="S65" s="371"/>
      <c r="T65" s="372"/>
      <c r="U65" s="373"/>
      <c r="V65" s="257"/>
    </row>
    <row r="66" spans="1:22" s="51" customFormat="1" ht="11" x14ac:dyDescent="0.15">
      <c r="A66" s="257"/>
      <c r="F66" s="327"/>
      <c r="I66" s="257"/>
      <c r="J66" s="257"/>
      <c r="K66" s="50"/>
      <c r="L66" s="50"/>
      <c r="M66" s="50"/>
      <c r="N66" s="371"/>
      <c r="O66" s="371"/>
      <c r="P66" s="371"/>
      <c r="Q66" s="371"/>
      <c r="R66" s="371"/>
      <c r="S66" s="371"/>
      <c r="T66" s="372"/>
      <c r="U66" s="373"/>
      <c r="V66" s="257"/>
    </row>
    <row r="67" spans="1:22" s="51" customFormat="1" ht="11" x14ac:dyDescent="0.15">
      <c r="A67" s="257"/>
      <c r="B67" s="50" t="s">
        <v>137</v>
      </c>
      <c r="C67" s="51" t="s">
        <v>139</v>
      </c>
      <c r="D67" s="257"/>
      <c r="E67" s="374">
        <f>DATA!D153</f>
        <v>9.077282642806923E-3</v>
      </c>
      <c r="F67" s="327" t="s">
        <v>444</v>
      </c>
      <c r="I67" s="257"/>
      <c r="J67" s="257"/>
      <c r="K67" s="50"/>
      <c r="L67" s="50"/>
      <c r="M67" s="50"/>
      <c r="N67" s="371"/>
      <c r="O67" s="371"/>
      <c r="P67" s="371"/>
      <c r="Q67" s="371"/>
      <c r="R67" s="375"/>
      <c r="S67" s="371"/>
      <c r="T67" s="372"/>
      <c r="U67" s="335"/>
      <c r="V67" s="257"/>
    </row>
    <row r="68" spans="1:22" s="51" customFormat="1" ht="11" x14ac:dyDescent="0.15">
      <c r="A68" s="224"/>
      <c r="B68" s="50"/>
      <c r="C68" s="51" t="s">
        <v>141</v>
      </c>
      <c r="E68" s="374">
        <f>DATA!D154</f>
        <v>2.4318660235886368E-2</v>
      </c>
      <c r="F68" s="327" t="s">
        <v>444</v>
      </c>
      <c r="G68" s="363"/>
      <c r="I68" s="257"/>
      <c r="J68" s="257"/>
      <c r="K68" s="50"/>
      <c r="L68" s="50"/>
      <c r="M68" s="50"/>
      <c r="N68" s="371"/>
      <c r="O68" s="371"/>
      <c r="P68" s="371"/>
      <c r="Q68" s="371"/>
      <c r="R68" s="375"/>
      <c r="S68" s="371"/>
      <c r="T68" s="372"/>
      <c r="U68" s="335"/>
      <c r="V68" s="257"/>
    </row>
    <row r="69" spans="1:22" s="51" customFormat="1" ht="11" x14ac:dyDescent="0.15">
      <c r="A69" s="224"/>
      <c r="B69" s="50"/>
      <c r="C69" s="51" t="s">
        <v>143</v>
      </c>
      <c r="D69" s="257"/>
      <c r="E69" s="374">
        <f>DATA!D155</f>
        <v>1.1666441173288321E-2</v>
      </c>
      <c r="F69" s="327" t="s">
        <v>444</v>
      </c>
      <c r="G69" s="363"/>
      <c r="I69" s="257"/>
      <c r="J69" s="257"/>
      <c r="K69" s="50"/>
      <c r="L69" s="50"/>
      <c r="M69" s="50"/>
      <c r="N69" s="371"/>
      <c r="O69" s="371"/>
      <c r="P69" s="371"/>
      <c r="Q69" s="371"/>
      <c r="R69" s="375"/>
      <c r="S69" s="371"/>
      <c r="T69" s="372"/>
      <c r="U69" s="335"/>
      <c r="V69" s="257"/>
    </row>
    <row r="70" spans="1:22" s="51" customFormat="1" ht="11" x14ac:dyDescent="0.15">
      <c r="A70" s="224"/>
      <c r="B70" s="50"/>
      <c r="C70" s="51" t="s">
        <v>145</v>
      </c>
      <c r="D70" s="257"/>
      <c r="E70" s="374">
        <f>DATA!D156</f>
        <v>1.1729348343550017E-2</v>
      </c>
      <c r="F70" s="327" t="s">
        <v>444</v>
      </c>
      <c r="G70" s="363"/>
      <c r="I70" s="257"/>
      <c r="J70" s="257"/>
      <c r="K70" s="50"/>
      <c r="L70" s="50"/>
      <c r="M70" s="50"/>
      <c r="N70" s="371"/>
      <c r="O70" s="371"/>
      <c r="P70" s="371"/>
      <c r="Q70" s="371"/>
      <c r="R70" s="375"/>
      <c r="S70" s="371"/>
      <c r="T70" s="372"/>
      <c r="U70" s="335"/>
      <c r="V70" s="257"/>
    </row>
    <row r="71" spans="1:22" s="51" customFormat="1" ht="11" x14ac:dyDescent="0.15">
      <c r="A71" s="224"/>
      <c r="J71" s="257"/>
      <c r="U71" s="335"/>
      <c r="V71" s="257"/>
    </row>
    <row r="72" spans="1:22" s="51" customFormat="1" ht="11" x14ac:dyDescent="0.15">
      <c r="A72" s="224" t="s">
        <v>454</v>
      </c>
      <c r="D72" s="257"/>
      <c r="J72" s="257"/>
      <c r="U72" s="261"/>
      <c r="V72" s="257"/>
    </row>
    <row r="73" spans="1:22" s="51" customFormat="1" ht="14" thickBot="1" x14ac:dyDescent="0.2">
      <c r="A73" s="224"/>
      <c r="B73" s="45" t="s">
        <v>147</v>
      </c>
      <c r="C73" s="46"/>
      <c r="D73" s="44"/>
      <c r="E73" s="46"/>
      <c r="F73" s="46"/>
      <c r="G73" s="46"/>
      <c r="H73" s="46"/>
      <c r="I73" s="44"/>
      <c r="J73" s="248"/>
      <c r="K73" s="241"/>
      <c r="L73" s="241"/>
      <c r="M73" s="241"/>
      <c r="N73" s="241"/>
      <c r="O73" s="241"/>
      <c r="P73" s="241"/>
      <c r="Q73" s="241"/>
      <c r="R73" s="241"/>
      <c r="S73" s="241"/>
      <c r="T73" s="264"/>
      <c r="U73" s="261"/>
      <c r="V73" s="257"/>
    </row>
    <row r="74" spans="1:22" s="51" customFormat="1" ht="13" thickTop="1" x14ac:dyDescent="0.15">
      <c r="A74" s="224"/>
      <c r="B74" s="264"/>
      <c r="C74" s="264"/>
      <c r="D74" s="248"/>
      <c r="E74" s="264"/>
      <c r="F74" s="241"/>
      <c r="G74" s="264"/>
      <c r="H74" s="241"/>
      <c r="J74" s="337"/>
      <c r="L74" s="50"/>
      <c r="N74" s="50"/>
      <c r="P74" s="50"/>
      <c r="Q74" s="50"/>
      <c r="R74" s="50"/>
      <c r="S74" s="50"/>
      <c r="U74" s="261"/>
      <c r="V74" s="257"/>
    </row>
    <row r="75" spans="1:22" s="51" customFormat="1" ht="11" x14ac:dyDescent="0.15">
      <c r="A75" s="224"/>
      <c r="B75" s="376" t="s">
        <v>455</v>
      </c>
      <c r="C75" s="50"/>
      <c r="D75" s="377" t="s">
        <v>148</v>
      </c>
      <c r="E75" s="377" t="s">
        <v>150</v>
      </c>
      <c r="F75" s="377" t="s">
        <v>152</v>
      </c>
      <c r="G75" s="261"/>
      <c r="H75" s="378"/>
    </row>
    <row r="76" spans="1:22" s="51" customFormat="1" ht="11" x14ac:dyDescent="0.15">
      <c r="A76" s="236"/>
      <c r="B76" s="379"/>
      <c r="C76" s="50" t="s">
        <v>456</v>
      </c>
      <c r="D76" s="380">
        <f>DATA!C105</f>
        <v>7.3999999999999996E-2</v>
      </c>
      <c r="E76" s="381">
        <f>PRODUCT(D76:$D$89)</f>
        <v>5.2742449784326011E-2</v>
      </c>
      <c r="F76" s="382">
        <f>E76*(1-$E$95)*(1-$E$96)*(1-$E$97)*(1-$E$98)</f>
        <v>4.9144364079435267E-2</v>
      </c>
      <c r="G76" s="238"/>
      <c r="H76" s="383"/>
    </row>
    <row r="77" spans="1:22" s="51" customFormat="1" ht="11" x14ac:dyDescent="0.15">
      <c r="A77" s="224"/>
      <c r="B77" s="379"/>
      <c r="C77" s="50" t="s">
        <v>457</v>
      </c>
      <c r="D77" s="380">
        <f>DATA!C106</f>
        <v>0.79500000000000004</v>
      </c>
      <c r="E77" s="381">
        <f>PRODUCT(D77:$D$89)</f>
        <v>0.71273580789629754</v>
      </c>
      <c r="F77" s="382">
        <f t="shared" ref="F77:F83" si="19">E77*(1-$E$95)*(1-$E$96)*(1-$E$97)*(1-$E$98)</f>
        <v>0.66411302810047668</v>
      </c>
      <c r="G77" s="238"/>
      <c r="H77" s="383"/>
    </row>
    <row r="78" spans="1:22" s="51" customFormat="1" ht="11" x14ac:dyDescent="0.15">
      <c r="A78" s="224"/>
      <c r="B78" s="379"/>
      <c r="C78" s="50" t="s">
        <v>458</v>
      </c>
      <c r="D78" s="380">
        <f>DATA!C107</f>
        <v>0.95128048291140976</v>
      </c>
      <c r="E78" s="381">
        <f>PRODUCT(D78:$D$89)</f>
        <v>0.89652302880037416</v>
      </c>
      <c r="F78" s="382">
        <f t="shared" si="19"/>
        <v>0.835362299497455</v>
      </c>
      <c r="G78" s="238"/>
      <c r="H78" s="383"/>
    </row>
    <row r="79" spans="1:22" s="51" customFormat="1" ht="11" x14ac:dyDescent="0.15">
      <c r="A79" s="224"/>
      <c r="B79" s="379"/>
      <c r="C79" s="50" t="s">
        <v>459</v>
      </c>
      <c r="D79" s="380">
        <f>DATA!C108</f>
        <v>0.97622305136508203</v>
      </c>
      <c r="E79" s="381">
        <f>PRODUCT(D79:$D$89)</f>
        <v>0.94243816088452748</v>
      </c>
      <c r="F79" s="382">
        <f t="shared" si="19"/>
        <v>0.87814510494403786</v>
      </c>
      <c r="G79" s="238"/>
      <c r="H79" s="383"/>
    </row>
    <row r="80" spans="1:22" s="51" customFormat="1" ht="11" x14ac:dyDescent="0.15">
      <c r="A80" s="224"/>
      <c r="B80" s="379"/>
      <c r="C80" s="50" t="s">
        <v>460</v>
      </c>
      <c r="D80" s="380">
        <f>DATA!C109</f>
        <v>0.98943909549676612</v>
      </c>
      <c r="E80" s="381">
        <f>PRODUCT(D80:$D$89)</f>
        <v>0.96539224265057855</v>
      </c>
      <c r="F80" s="382">
        <f t="shared" si="19"/>
        <v>0.89953326108833531</v>
      </c>
      <c r="G80" s="238"/>
      <c r="H80" s="383"/>
    </row>
    <row r="81" spans="1:22" s="51" customFormat="1" ht="11" x14ac:dyDescent="0.15">
      <c r="A81" s="224"/>
      <c r="B81" s="379"/>
      <c r="C81" s="50" t="s">
        <v>461</v>
      </c>
      <c r="D81" s="380">
        <v>0.99</v>
      </c>
      <c r="E81" s="381">
        <f>PRODUCT(D81:$D$89)</f>
        <v>0.97569647999999998</v>
      </c>
      <c r="F81" s="382">
        <f t="shared" si="19"/>
        <v>0.9091345441901183</v>
      </c>
      <c r="G81" s="238"/>
      <c r="H81" s="383"/>
    </row>
    <row r="82" spans="1:22" s="51" customFormat="1" ht="11" x14ac:dyDescent="0.15">
      <c r="A82" s="224"/>
      <c r="B82" s="379"/>
      <c r="C82" s="50" t="s">
        <v>462</v>
      </c>
      <c r="D82" s="380">
        <v>0.99199999999999999</v>
      </c>
      <c r="E82" s="381">
        <f>PRODUCT(D82:$D$89)</f>
        <v>0.98555200000000009</v>
      </c>
      <c r="F82" s="382">
        <f t="shared" si="19"/>
        <v>0.9183177214041599</v>
      </c>
      <c r="G82" s="238"/>
      <c r="H82" s="383"/>
    </row>
    <row r="83" spans="1:22" s="51" customFormat="1" ht="11" x14ac:dyDescent="0.15">
      <c r="A83" s="224"/>
      <c r="B83" s="379"/>
      <c r="C83" s="50" t="s">
        <v>463</v>
      </c>
      <c r="D83" s="380">
        <v>0.99350000000000005</v>
      </c>
      <c r="E83" s="381">
        <f>PRODUCT(D83:$D$89)</f>
        <v>0.99350000000000005</v>
      </c>
      <c r="F83" s="382">
        <f t="shared" si="19"/>
        <v>0.92572350947999993</v>
      </c>
      <c r="G83" s="238"/>
      <c r="H83" s="383"/>
    </row>
    <row r="84" spans="1:22" s="51" customFormat="1" ht="11" x14ac:dyDescent="0.15">
      <c r="A84" s="224"/>
      <c r="B84" s="379"/>
      <c r="C84" s="50" t="s">
        <v>464</v>
      </c>
      <c r="D84" s="380">
        <v>1</v>
      </c>
      <c r="E84" s="381">
        <f>PRODUCT(D84:$D$89)</f>
        <v>1</v>
      </c>
      <c r="F84" s="382">
        <f>E84*(1-$E$96)*(1-$E$97)*(1-$E$98)</f>
        <v>0.95079599999999986</v>
      </c>
      <c r="G84" s="238"/>
      <c r="H84" s="383"/>
    </row>
    <row r="85" spans="1:22" s="51" customFormat="1" ht="11" x14ac:dyDescent="0.15">
      <c r="A85" s="224"/>
      <c r="B85" s="379"/>
      <c r="C85" s="50" t="s">
        <v>465</v>
      </c>
      <c r="D85" s="380">
        <v>1</v>
      </c>
      <c r="E85" s="381">
        <f>PRODUCT(D85:$D$89)</f>
        <v>1</v>
      </c>
      <c r="F85" s="382">
        <f>E85*(1-$E$96)*(1-$E$97)*(1-$E$98)</f>
        <v>0.95079599999999986</v>
      </c>
      <c r="G85" s="238"/>
      <c r="H85" s="383"/>
    </row>
    <row r="86" spans="1:22" s="51" customFormat="1" ht="11" x14ac:dyDescent="0.15">
      <c r="A86" s="224"/>
      <c r="B86" s="379"/>
      <c r="C86" s="50" t="s">
        <v>466</v>
      </c>
      <c r="D86" s="380">
        <v>1</v>
      </c>
      <c r="E86" s="381">
        <f>PRODUCT(D86:$D$89)</f>
        <v>1</v>
      </c>
      <c r="F86" s="382">
        <f>E86*(1-$E$96)*(1-$E$97)*(1-$E$98)</f>
        <v>0.95079599999999986</v>
      </c>
      <c r="G86" s="238"/>
      <c r="H86" s="383"/>
    </row>
    <row r="87" spans="1:22" s="51" customFormat="1" ht="11" x14ac:dyDescent="0.15">
      <c r="A87" s="224"/>
      <c r="B87" s="379"/>
      <c r="C87" s="50" t="s">
        <v>467</v>
      </c>
      <c r="D87" s="380">
        <v>1</v>
      </c>
      <c r="E87" s="381">
        <f>PRODUCT(D87:$D$89)</f>
        <v>1</v>
      </c>
      <c r="F87" s="382">
        <f>E87*(1-$E$96)*(1-$E$97)*(1-$E$98)</f>
        <v>0.95079599999999986</v>
      </c>
      <c r="G87" s="238"/>
      <c r="H87" s="383"/>
    </row>
    <row r="88" spans="1:22" s="51" customFormat="1" ht="11" x14ac:dyDescent="0.15">
      <c r="A88" s="224"/>
      <c r="B88" s="379"/>
      <c r="C88" s="50" t="s">
        <v>468</v>
      </c>
      <c r="D88" s="380">
        <v>1</v>
      </c>
      <c r="E88" s="381">
        <f>PRODUCT(D88:$D$89)</f>
        <v>1</v>
      </c>
      <c r="F88" s="382">
        <f>E88*(1-$E$96)*(1-$E$97)*(1-$E$98)</f>
        <v>0.95079599999999986</v>
      </c>
      <c r="G88" s="238"/>
      <c r="H88" s="383"/>
      <c r="I88" s="257"/>
    </row>
    <row r="89" spans="1:22" s="51" customFormat="1" ht="11" x14ac:dyDescent="0.15">
      <c r="A89" s="224"/>
      <c r="B89" s="379"/>
      <c r="C89" s="384" t="s">
        <v>469</v>
      </c>
      <c r="D89" s="381"/>
      <c r="E89" s="381"/>
      <c r="F89" s="382">
        <f>(1-$E$96)*(1-$E$97)*(1-$E$98)</f>
        <v>0.95079599999999986</v>
      </c>
      <c r="G89" s="238"/>
      <c r="H89" s="257"/>
      <c r="I89" s="257"/>
    </row>
    <row r="90" spans="1:22" s="51" customFormat="1" ht="11" x14ac:dyDescent="0.15">
      <c r="A90" s="224"/>
      <c r="C90" s="384" t="s">
        <v>470</v>
      </c>
      <c r="D90" s="381"/>
      <c r="E90" s="381"/>
      <c r="F90" s="382">
        <f>(1-$E$97)*(1-$E$98)</f>
        <v>0.97019999999999995</v>
      </c>
      <c r="I90" s="257"/>
      <c r="J90" s="257"/>
      <c r="U90" s="238"/>
      <c r="V90" s="257"/>
    </row>
    <row r="91" spans="1:22" s="51" customFormat="1" ht="11" x14ac:dyDescent="0.15">
      <c r="A91" s="224"/>
      <c r="C91" s="384" t="s">
        <v>471</v>
      </c>
      <c r="D91" s="381"/>
      <c r="E91" s="381"/>
      <c r="F91" s="382">
        <f>(1-$E$98)</f>
        <v>0.99</v>
      </c>
      <c r="I91" s="257"/>
      <c r="J91" s="257"/>
      <c r="U91" s="238"/>
      <c r="V91" s="257"/>
    </row>
    <row r="92" spans="1:22" s="51" customFormat="1" ht="11" x14ac:dyDescent="0.15">
      <c r="A92" s="224" t="s">
        <v>472</v>
      </c>
      <c r="C92" s="51" t="s">
        <v>473</v>
      </c>
      <c r="D92" s="385">
        <f>N38/E10</f>
        <v>-4.9144364079435274E-2</v>
      </c>
      <c r="I92" s="257"/>
      <c r="J92" s="257"/>
      <c r="U92" s="261"/>
      <c r="V92" s="257"/>
    </row>
    <row r="93" spans="1:22" s="51" customFormat="1" ht="11" x14ac:dyDescent="0.15">
      <c r="A93" s="224" t="s">
        <v>474</v>
      </c>
      <c r="C93" s="51" t="s">
        <v>475</v>
      </c>
      <c r="D93" s="386">
        <f>T38</f>
        <v>-0.69298843415220912</v>
      </c>
      <c r="I93" s="257"/>
      <c r="J93" s="257"/>
      <c r="U93" s="261"/>
      <c r="V93" s="257"/>
    </row>
    <row r="94" spans="1:22" s="51" customFormat="1" x14ac:dyDescent="0.15">
      <c r="A94" s="224" t="s">
        <v>476</v>
      </c>
      <c r="H94" s="241"/>
      <c r="I94" s="257"/>
      <c r="J94" s="257"/>
      <c r="U94" s="261"/>
      <c r="V94" s="257"/>
    </row>
    <row r="95" spans="1:22" s="51" customFormat="1" ht="11" x14ac:dyDescent="0.15">
      <c r="A95" s="224"/>
      <c r="B95" s="50" t="s">
        <v>154</v>
      </c>
      <c r="C95" s="51" t="s">
        <v>477</v>
      </c>
      <c r="E95" s="387">
        <v>0.02</v>
      </c>
      <c r="I95" s="257"/>
      <c r="J95" s="257"/>
      <c r="U95" s="335"/>
      <c r="V95" s="257"/>
    </row>
    <row r="96" spans="1:22" s="51" customFormat="1" x14ac:dyDescent="0.15">
      <c r="A96" s="224"/>
      <c r="B96" s="50"/>
      <c r="C96" s="51" t="s">
        <v>469</v>
      </c>
      <c r="D96" s="224" t="s">
        <v>472</v>
      </c>
      <c r="E96" s="387">
        <v>0.02</v>
      </c>
      <c r="H96" s="241"/>
      <c r="I96" s="257"/>
      <c r="J96" s="257"/>
      <c r="U96" s="261"/>
      <c r="V96" s="257"/>
    </row>
    <row r="97" spans="1:22" s="51" customFormat="1" x14ac:dyDescent="0.15">
      <c r="A97" s="224"/>
      <c r="C97" s="51" t="s">
        <v>478</v>
      </c>
      <c r="D97" s="224" t="s">
        <v>474</v>
      </c>
      <c r="E97" s="387">
        <v>0.02</v>
      </c>
      <c r="I97" s="248"/>
      <c r="J97" s="257"/>
      <c r="U97" s="335"/>
      <c r="V97" s="257"/>
    </row>
    <row r="98" spans="1:22" s="51" customFormat="1" x14ac:dyDescent="0.15">
      <c r="A98" s="388"/>
      <c r="C98" s="51" t="s">
        <v>471</v>
      </c>
      <c r="D98" s="224" t="s">
        <v>476</v>
      </c>
      <c r="E98" s="387">
        <v>0.01</v>
      </c>
      <c r="F98" s="241"/>
      <c r="G98" s="241"/>
      <c r="J98" s="257"/>
      <c r="U98" s="335"/>
      <c r="V98" s="257"/>
    </row>
    <row r="99" spans="1:22" x14ac:dyDescent="0.15">
      <c r="D99" s="389"/>
      <c r="F99" s="51"/>
      <c r="G99" s="51"/>
      <c r="I99" s="241"/>
      <c r="U99" s="390"/>
    </row>
    <row r="100" spans="1:22" x14ac:dyDescent="0.15">
      <c r="B100" s="50" t="s">
        <v>479</v>
      </c>
      <c r="C100" s="51"/>
      <c r="D100" s="257"/>
      <c r="E100" s="283">
        <f>1-D77</f>
        <v>0.20499999999999996</v>
      </c>
      <c r="U100" s="390"/>
    </row>
    <row r="101" spans="1:22" x14ac:dyDescent="0.15">
      <c r="B101" s="51"/>
      <c r="C101" s="51"/>
      <c r="D101" s="257"/>
      <c r="U101" s="390"/>
    </row>
    <row r="102" spans="1:22" x14ac:dyDescent="0.15">
      <c r="B102" s="50" t="s">
        <v>480</v>
      </c>
      <c r="C102" s="51" t="s">
        <v>481</v>
      </c>
      <c r="E102" s="351"/>
      <c r="F102" s="327" t="s">
        <v>482</v>
      </c>
      <c r="U102" s="390"/>
    </row>
    <row r="103" spans="1:22" x14ac:dyDescent="0.15">
      <c r="U103" s="390"/>
    </row>
    <row r="104" spans="1:22" collapsed="1" x14ac:dyDescent="0.15"/>
  </sheetData>
  <dataConsolidate/>
  <conditionalFormatting sqref="E18:G19">
    <cfRule type="cellIs" dxfId="0" priority="1" operator="equal">
      <formula>0</formula>
    </cfRule>
  </conditionalFormatting>
  <hyperlinks>
    <hyperlink ref="L4" location="NOTE!B3" display="Disclaimer" xr:uid="{4C5682D2-3161-6040-8346-3B61591F5C3E}"/>
    <hyperlink ref="L5" location="NOTE!B19" display="Instruction" xr:uid="{9C945946-97EF-174C-AE13-78DA2085B792}"/>
    <hyperlink ref="L6" location="NOTE!B33" display="Legend" xr:uid="{7A014BB3-EFB7-4845-9A13-CFB814B807C5}"/>
  </hyperlinks>
  <pageMargins left="0.7" right="0.7" top="0.75" bottom="0.75" header="0.3" footer="0.3"/>
  <pageSetup scale="5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1DD02-22B2-8447-95E9-D4016BB3EEAE}">
  <sheetPr>
    <tabColor theme="4" tint="0.59999389629810485"/>
  </sheetPr>
  <dimension ref="A1:BL215"/>
  <sheetViews>
    <sheetView showGridLines="0" topLeftCell="B1" zoomScale="116" zoomScaleNormal="110" zoomScaleSheetLayoutView="55" workbookViewId="0">
      <pane xSplit="2" ySplit="6" topLeftCell="D8"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1640625" defaultRowHeight="11" outlineLevelCol="1" x14ac:dyDescent="0.15"/>
  <cols>
    <col min="1" max="1" width="5.5" style="257" hidden="1" customWidth="1" outlineLevel="1"/>
    <col min="2" max="2" width="6.6640625" style="257" customWidth="1" collapsed="1"/>
    <col min="3" max="3" width="29.83203125" style="257" customWidth="1"/>
    <col min="4" max="28" width="8.5" style="257" customWidth="1"/>
    <col min="29" max="64" width="8.5" style="257" hidden="1" customWidth="1"/>
    <col min="65" max="16384" width="9.1640625" style="257"/>
  </cols>
  <sheetData>
    <row r="1" spans="2:64" ht="20" x14ac:dyDescent="0.2">
      <c r="B1" s="391" t="s">
        <v>483</v>
      </c>
      <c r="C1" s="378"/>
      <c r="E1" s="392"/>
      <c r="F1" s="392"/>
      <c r="G1" s="392"/>
      <c r="H1" s="392"/>
      <c r="I1" s="392"/>
      <c r="J1" s="392"/>
      <c r="K1" s="392"/>
      <c r="L1" s="392"/>
      <c r="AX1" s="330"/>
    </row>
    <row r="2" spans="2:64" ht="20" x14ac:dyDescent="0.2">
      <c r="B2" s="391"/>
      <c r="C2" s="378"/>
      <c r="E2" s="392"/>
      <c r="F2" s="392"/>
      <c r="G2" s="392"/>
      <c r="H2" s="392"/>
      <c r="I2" s="392"/>
      <c r="J2" s="392"/>
      <c r="K2" s="392"/>
      <c r="L2" s="392"/>
      <c r="AX2" s="330"/>
    </row>
    <row r="3" spans="2:64" x14ac:dyDescent="0.15">
      <c r="C3" s="393"/>
      <c r="E3" s="392"/>
      <c r="F3" s="392"/>
      <c r="G3" s="392"/>
      <c r="H3" s="392"/>
      <c r="I3" s="392"/>
      <c r="J3" s="392"/>
      <c r="K3" s="392"/>
      <c r="L3" s="392"/>
      <c r="AV3" s="330"/>
    </row>
    <row r="4" spans="2:64" x14ac:dyDescent="0.15">
      <c r="C4" s="394" t="s">
        <v>484</v>
      </c>
      <c r="D4" s="337"/>
      <c r="F4" s="395"/>
      <c r="G4" s="396"/>
      <c r="H4" s="396"/>
      <c r="I4" s="396"/>
      <c r="J4" s="396"/>
      <c r="K4" s="396"/>
      <c r="L4" s="396"/>
      <c r="M4" s="396"/>
      <c r="N4" s="396"/>
      <c r="O4" s="396"/>
      <c r="P4" s="396"/>
      <c r="Q4" s="396"/>
      <c r="R4" s="396"/>
      <c r="S4" s="396"/>
      <c r="T4" s="396"/>
      <c r="U4" s="396"/>
      <c r="V4" s="396"/>
      <c r="W4" s="396"/>
      <c r="X4" s="396"/>
      <c r="Y4" s="396"/>
      <c r="Z4" s="396"/>
      <c r="AA4" s="396"/>
      <c r="AB4" s="396"/>
    </row>
    <row r="5" spans="2:64" x14ac:dyDescent="0.15">
      <c r="C5" s="337" t="s">
        <v>54</v>
      </c>
      <c r="D5" s="397">
        <v>0</v>
      </c>
      <c r="E5" s="398">
        <f t="shared" ref="E5:BL5" si="0">D5+1</f>
        <v>1</v>
      </c>
      <c r="F5" s="398">
        <f t="shared" si="0"/>
        <v>2</v>
      </c>
      <c r="G5" s="398">
        <f t="shared" si="0"/>
        <v>3</v>
      </c>
      <c r="H5" s="398">
        <f t="shared" si="0"/>
        <v>4</v>
      </c>
      <c r="I5" s="398">
        <f t="shared" si="0"/>
        <v>5</v>
      </c>
      <c r="J5" s="398">
        <f t="shared" si="0"/>
        <v>6</v>
      </c>
      <c r="K5" s="398">
        <f t="shared" si="0"/>
        <v>7</v>
      </c>
      <c r="L5" s="398">
        <f t="shared" si="0"/>
        <v>8</v>
      </c>
      <c r="M5" s="398">
        <f t="shared" si="0"/>
        <v>9</v>
      </c>
      <c r="N5" s="398">
        <f t="shared" si="0"/>
        <v>10</v>
      </c>
      <c r="O5" s="398">
        <f t="shared" si="0"/>
        <v>11</v>
      </c>
      <c r="P5" s="398">
        <f t="shared" si="0"/>
        <v>12</v>
      </c>
      <c r="Q5" s="398">
        <f t="shared" si="0"/>
        <v>13</v>
      </c>
      <c r="R5" s="398">
        <f t="shared" si="0"/>
        <v>14</v>
      </c>
      <c r="S5" s="398">
        <f t="shared" si="0"/>
        <v>15</v>
      </c>
      <c r="T5" s="398">
        <f t="shared" si="0"/>
        <v>16</v>
      </c>
      <c r="U5" s="398">
        <f t="shared" si="0"/>
        <v>17</v>
      </c>
      <c r="V5" s="398">
        <f t="shared" si="0"/>
        <v>18</v>
      </c>
      <c r="W5" s="398">
        <f t="shared" si="0"/>
        <v>19</v>
      </c>
      <c r="X5" s="398">
        <f t="shared" si="0"/>
        <v>20</v>
      </c>
      <c r="Y5" s="398">
        <f t="shared" si="0"/>
        <v>21</v>
      </c>
      <c r="Z5" s="398">
        <f t="shared" si="0"/>
        <v>22</v>
      </c>
      <c r="AA5" s="398">
        <f t="shared" si="0"/>
        <v>23</v>
      </c>
      <c r="AB5" s="398">
        <f t="shared" si="0"/>
        <v>24</v>
      </c>
      <c r="AC5" s="398">
        <f t="shared" si="0"/>
        <v>25</v>
      </c>
      <c r="AD5" s="398">
        <f t="shared" si="0"/>
        <v>26</v>
      </c>
      <c r="AE5" s="398">
        <f t="shared" si="0"/>
        <v>27</v>
      </c>
      <c r="AF5" s="398">
        <f t="shared" si="0"/>
        <v>28</v>
      </c>
      <c r="AG5" s="398">
        <f t="shared" si="0"/>
        <v>29</v>
      </c>
      <c r="AH5" s="398">
        <f t="shared" si="0"/>
        <v>30</v>
      </c>
      <c r="AI5" s="398">
        <f t="shared" si="0"/>
        <v>31</v>
      </c>
      <c r="AJ5" s="398">
        <f t="shared" si="0"/>
        <v>32</v>
      </c>
      <c r="AK5" s="398">
        <f t="shared" si="0"/>
        <v>33</v>
      </c>
      <c r="AL5" s="398">
        <f t="shared" si="0"/>
        <v>34</v>
      </c>
      <c r="AM5" s="398">
        <f t="shared" si="0"/>
        <v>35</v>
      </c>
      <c r="AN5" s="398">
        <f t="shared" si="0"/>
        <v>36</v>
      </c>
      <c r="AO5" s="398">
        <f t="shared" si="0"/>
        <v>37</v>
      </c>
      <c r="AP5" s="398">
        <f t="shared" si="0"/>
        <v>38</v>
      </c>
      <c r="AQ5" s="398">
        <f t="shared" si="0"/>
        <v>39</v>
      </c>
      <c r="AR5" s="398">
        <f t="shared" si="0"/>
        <v>40</v>
      </c>
      <c r="AS5" s="398">
        <f t="shared" si="0"/>
        <v>41</v>
      </c>
      <c r="AT5" s="398">
        <f t="shared" si="0"/>
        <v>42</v>
      </c>
      <c r="AU5" s="398">
        <f t="shared" si="0"/>
        <v>43</v>
      </c>
      <c r="AV5" s="398">
        <f t="shared" si="0"/>
        <v>44</v>
      </c>
      <c r="AW5" s="398">
        <f t="shared" si="0"/>
        <v>45</v>
      </c>
      <c r="AX5" s="398">
        <f t="shared" si="0"/>
        <v>46</v>
      </c>
      <c r="AY5" s="398">
        <f t="shared" si="0"/>
        <v>47</v>
      </c>
      <c r="AZ5" s="398">
        <f t="shared" si="0"/>
        <v>48</v>
      </c>
      <c r="BA5" s="398">
        <f t="shared" si="0"/>
        <v>49</v>
      </c>
      <c r="BB5" s="398">
        <f t="shared" si="0"/>
        <v>50</v>
      </c>
      <c r="BC5" s="398">
        <f t="shared" si="0"/>
        <v>51</v>
      </c>
      <c r="BD5" s="398">
        <f t="shared" si="0"/>
        <v>52</v>
      </c>
      <c r="BE5" s="398">
        <f t="shared" si="0"/>
        <v>53</v>
      </c>
      <c r="BF5" s="398">
        <f t="shared" si="0"/>
        <v>54</v>
      </c>
      <c r="BG5" s="398">
        <f t="shared" si="0"/>
        <v>55</v>
      </c>
      <c r="BH5" s="398">
        <f t="shared" si="0"/>
        <v>56</v>
      </c>
      <c r="BI5" s="398">
        <f t="shared" si="0"/>
        <v>57</v>
      </c>
      <c r="BJ5" s="398">
        <f t="shared" si="0"/>
        <v>58</v>
      </c>
      <c r="BK5" s="398">
        <f t="shared" si="0"/>
        <v>59</v>
      </c>
      <c r="BL5" s="398">
        <f t="shared" si="0"/>
        <v>60</v>
      </c>
    </row>
    <row r="6" spans="2:64" x14ac:dyDescent="0.15">
      <c r="C6" s="337" t="s">
        <v>485</v>
      </c>
      <c r="D6" s="398">
        <f>IF(Leadsheet!$E$12-SAP_Speadsheet!D5&lt;0,0,Leadsheet!$E$12-SAP_Speadsheet!D5)</f>
        <v>1</v>
      </c>
      <c r="E6" s="398">
        <f>IF(Leadsheet!$E$12-SAP_Speadsheet!E5&lt;0,0,Leadsheet!$E$12-SAP_Speadsheet!E5)</f>
        <v>0</v>
      </c>
      <c r="F6" s="398">
        <f>IF(Leadsheet!$E$12-SAP_Speadsheet!F5&lt;0,0,Leadsheet!$E$12-SAP_Speadsheet!F5)</f>
        <v>0</v>
      </c>
      <c r="G6" s="398">
        <f>IF(Leadsheet!$E$12-SAP_Speadsheet!G5&lt;0,0,Leadsheet!$E$12-SAP_Speadsheet!G5)</f>
        <v>0</v>
      </c>
      <c r="H6" s="398">
        <f>IF(Leadsheet!$E$12-SAP_Speadsheet!H5&lt;0,0,Leadsheet!$E$12-SAP_Speadsheet!H5)</f>
        <v>0</v>
      </c>
      <c r="I6" s="398">
        <f>IF(Leadsheet!$E$12-SAP_Speadsheet!I5&lt;0,0,Leadsheet!$E$12-SAP_Speadsheet!I5)</f>
        <v>0</v>
      </c>
      <c r="J6" s="398">
        <f>IF(Leadsheet!$E$12-SAP_Speadsheet!J5&lt;0,0,Leadsheet!$E$12-SAP_Speadsheet!J5)</f>
        <v>0</v>
      </c>
      <c r="K6" s="398">
        <f>IF(Leadsheet!$E$12-SAP_Speadsheet!K5&lt;0,0,Leadsheet!$E$12-SAP_Speadsheet!K5)</f>
        <v>0</v>
      </c>
      <c r="L6" s="398">
        <f>IF(Leadsheet!$E$12-SAP_Speadsheet!L5&lt;0,0,Leadsheet!$E$12-SAP_Speadsheet!L5)</f>
        <v>0</v>
      </c>
      <c r="M6" s="398">
        <f>IF(Leadsheet!$E$12-SAP_Speadsheet!M5&lt;0,0,Leadsheet!$E$12-SAP_Speadsheet!M5)</f>
        <v>0</v>
      </c>
      <c r="N6" s="398">
        <f>IF(Leadsheet!$E$12-SAP_Speadsheet!N5&lt;0,0,Leadsheet!$E$12-SAP_Speadsheet!N5)</f>
        <v>0</v>
      </c>
      <c r="O6" s="398">
        <f>IF(Leadsheet!$E$12-SAP_Speadsheet!O5&lt;0,0,Leadsheet!$E$12-SAP_Speadsheet!O5)</f>
        <v>0</v>
      </c>
      <c r="P6" s="398">
        <f>IF(Leadsheet!$E$12-SAP_Speadsheet!P5&lt;0,0,Leadsheet!$E$12-SAP_Speadsheet!P5)</f>
        <v>0</v>
      </c>
      <c r="Q6" s="398">
        <f>IF(Leadsheet!$E$12-SAP_Speadsheet!Q5&lt;0,0,Leadsheet!$E$12-SAP_Speadsheet!Q5)</f>
        <v>0</v>
      </c>
      <c r="R6" s="398">
        <f>IF(Leadsheet!$E$12-SAP_Speadsheet!R5&lt;0,0,Leadsheet!$E$12-SAP_Speadsheet!R5)</f>
        <v>0</v>
      </c>
      <c r="S6" s="398">
        <f>IF(Leadsheet!$E$12-SAP_Speadsheet!S5&lt;0,0,Leadsheet!$E$12-SAP_Speadsheet!S5)</f>
        <v>0</v>
      </c>
      <c r="T6" s="398">
        <f>IF(Leadsheet!$E$12-SAP_Speadsheet!T5&lt;0,0,Leadsheet!$E$12-SAP_Speadsheet!T5)</f>
        <v>0</v>
      </c>
      <c r="U6" s="398">
        <f>IF(Leadsheet!$E$12-SAP_Speadsheet!U5&lt;0,0,Leadsheet!$E$12-SAP_Speadsheet!U5)</f>
        <v>0</v>
      </c>
      <c r="V6" s="398">
        <f>IF(Leadsheet!$E$12-SAP_Speadsheet!V5&lt;0,0,Leadsheet!$E$12-SAP_Speadsheet!V5)</f>
        <v>0</v>
      </c>
      <c r="W6" s="398">
        <f>IF(Leadsheet!$E$12-SAP_Speadsheet!W5&lt;0,0,Leadsheet!$E$12-SAP_Speadsheet!W5)</f>
        <v>0</v>
      </c>
      <c r="X6" s="398">
        <f>IF(Leadsheet!$E$12-SAP_Speadsheet!X5&lt;0,0,Leadsheet!$E$12-SAP_Speadsheet!X5)</f>
        <v>0</v>
      </c>
      <c r="Y6" s="398">
        <f>IF(Leadsheet!$E$12-SAP_Speadsheet!Y5&lt;0,0,Leadsheet!$E$12-SAP_Speadsheet!Y5)</f>
        <v>0</v>
      </c>
      <c r="Z6" s="398">
        <f>IF(Leadsheet!$E$12-SAP_Speadsheet!Z5&lt;0,0,Leadsheet!$E$12-SAP_Speadsheet!Z5)</f>
        <v>0</v>
      </c>
      <c r="AA6" s="398">
        <f>IF(Leadsheet!$E$12-SAP_Speadsheet!AA5&lt;0,0,Leadsheet!$E$12-SAP_Speadsheet!AA5)</f>
        <v>0</v>
      </c>
      <c r="AB6" s="398">
        <f>IF(Leadsheet!$E$12-SAP_Speadsheet!AB5&lt;0,0,Leadsheet!$E$12-SAP_Speadsheet!AB5)</f>
        <v>0</v>
      </c>
      <c r="AC6" s="398">
        <f>IF(Leadsheet!$E$12-SAP_Speadsheet!AC5&lt;0,0,Leadsheet!$E$12-SAP_Speadsheet!AC5)</f>
        <v>0</v>
      </c>
      <c r="AD6" s="398">
        <f>IF(Leadsheet!$E$12-SAP_Speadsheet!AD5&lt;0,0,Leadsheet!$E$12-SAP_Speadsheet!AD5)</f>
        <v>0</v>
      </c>
      <c r="AE6" s="398">
        <f>IF(Leadsheet!$E$12-SAP_Speadsheet!AE5&lt;0,0,Leadsheet!$E$12-SAP_Speadsheet!AE5)</f>
        <v>0</v>
      </c>
      <c r="AF6" s="398">
        <f>IF(Leadsheet!$E$12-SAP_Speadsheet!AF5&lt;0,0,Leadsheet!$E$12-SAP_Speadsheet!AF5)</f>
        <v>0</v>
      </c>
      <c r="AG6" s="398">
        <f>IF(Leadsheet!$E$12-SAP_Speadsheet!AG5&lt;0,0,Leadsheet!$E$12-SAP_Speadsheet!AG5)</f>
        <v>0</v>
      </c>
      <c r="AH6" s="398">
        <f>IF(Leadsheet!$E$12-SAP_Speadsheet!AH5&lt;0,0,Leadsheet!$E$12-SAP_Speadsheet!AH5)</f>
        <v>0</v>
      </c>
      <c r="AI6" s="398">
        <f>IF(Leadsheet!$E$12-SAP_Speadsheet!AI5&lt;0,0,Leadsheet!$E$12-SAP_Speadsheet!AI5)</f>
        <v>0</v>
      </c>
      <c r="AJ6" s="398">
        <f>IF(Leadsheet!$E$12-SAP_Speadsheet!AJ5&lt;0,0,Leadsheet!$E$12-SAP_Speadsheet!AJ5)</f>
        <v>0</v>
      </c>
      <c r="AK6" s="398">
        <f>IF(Leadsheet!$E$12-SAP_Speadsheet!AK5&lt;0,0,Leadsheet!$E$12-SAP_Speadsheet!AK5)</f>
        <v>0</v>
      </c>
      <c r="AL6" s="398">
        <f>IF(Leadsheet!$E$12-SAP_Speadsheet!AL5&lt;0,0,Leadsheet!$E$12-SAP_Speadsheet!AL5)</f>
        <v>0</v>
      </c>
      <c r="AM6" s="398">
        <f>IF(Leadsheet!$E$12-SAP_Speadsheet!AM5&lt;0,0,Leadsheet!$E$12-SAP_Speadsheet!AM5)</f>
        <v>0</v>
      </c>
      <c r="AN6" s="398">
        <f>IF(Leadsheet!$E$12-SAP_Speadsheet!AN5&lt;0,0,Leadsheet!$E$12-SAP_Speadsheet!AN5)</f>
        <v>0</v>
      </c>
      <c r="AO6" s="398">
        <f>IF(Leadsheet!$E$12-SAP_Speadsheet!AO5&lt;0,0,Leadsheet!$E$12-SAP_Speadsheet!AO5)</f>
        <v>0</v>
      </c>
      <c r="AP6" s="398">
        <f>IF(Leadsheet!$E$12-SAP_Speadsheet!AP5&lt;0,0,Leadsheet!$E$12-SAP_Speadsheet!AP5)</f>
        <v>0</v>
      </c>
      <c r="AQ6" s="398">
        <f>IF(Leadsheet!$E$12-SAP_Speadsheet!AQ5&lt;0,0,Leadsheet!$E$12-SAP_Speadsheet!AQ5)</f>
        <v>0</v>
      </c>
      <c r="AR6" s="398">
        <f>IF(Leadsheet!$E$12-SAP_Speadsheet!AR5&lt;0,0,Leadsheet!$E$12-SAP_Speadsheet!AR5)</f>
        <v>0</v>
      </c>
      <c r="AS6" s="398">
        <f>IF(Leadsheet!$E$12-SAP_Speadsheet!AS5&lt;0,0,Leadsheet!$E$12-SAP_Speadsheet!AS5)</f>
        <v>0</v>
      </c>
      <c r="AT6" s="398">
        <f>IF(Leadsheet!$E$12-SAP_Speadsheet!AT5&lt;0,0,Leadsheet!$E$12-SAP_Speadsheet!AT5)</f>
        <v>0</v>
      </c>
      <c r="AU6" s="398">
        <f>IF(Leadsheet!$E$12-SAP_Speadsheet!AU5&lt;0,0,Leadsheet!$E$12-SAP_Speadsheet!AU5)</f>
        <v>0</v>
      </c>
      <c r="AV6" s="398">
        <f>IF(Leadsheet!$E$12-SAP_Speadsheet!AV5&lt;0,0,Leadsheet!$E$12-SAP_Speadsheet!AV5)</f>
        <v>0</v>
      </c>
      <c r="AW6" s="398">
        <f>IF(Leadsheet!$E$12-SAP_Speadsheet!AW5&lt;0,0,Leadsheet!$E$12-SAP_Speadsheet!AW5)</f>
        <v>0</v>
      </c>
      <c r="AX6" s="398">
        <f>IF(Leadsheet!$E$12-SAP_Speadsheet!AX5&lt;0,0,Leadsheet!$E$12-SAP_Speadsheet!AX5)</f>
        <v>0</v>
      </c>
      <c r="AY6" s="398">
        <f>IF(Leadsheet!$E$12-SAP_Speadsheet!AY5&lt;0,0,Leadsheet!$E$12-SAP_Speadsheet!AY5)</f>
        <v>0</v>
      </c>
      <c r="AZ6" s="398">
        <f>IF(Leadsheet!$E$12-SAP_Speadsheet!AZ5&lt;0,0,Leadsheet!$E$12-SAP_Speadsheet!AZ5)</f>
        <v>0</v>
      </c>
      <c r="BA6" s="398">
        <f>IF(Leadsheet!$E$12-SAP_Speadsheet!BA5&lt;0,0,Leadsheet!$E$12-SAP_Speadsheet!BA5)</f>
        <v>0</v>
      </c>
      <c r="BB6" s="398">
        <f>IF(Leadsheet!$E$12-SAP_Speadsheet!BB5&lt;0,0,Leadsheet!$E$12-SAP_Speadsheet!BB5)</f>
        <v>0</v>
      </c>
      <c r="BC6" s="398">
        <f>IF(Leadsheet!$E$12-SAP_Speadsheet!BC5&lt;0,0,Leadsheet!$E$12-SAP_Speadsheet!BC5)</f>
        <v>0</v>
      </c>
      <c r="BD6" s="392">
        <f>IF(Leadsheet!$E$12-SAP_Speadsheet!BD5&lt;0,0,Leadsheet!$E$12-SAP_Speadsheet!BD5)</f>
        <v>0</v>
      </c>
      <c r="BE6" s="392">
        <f>IF(Leadsheet!$E$12-SAP_Speadsheet!BE5&lt;0,0,Leadsheet!$E$12-SAP_Speadsheet!BE5)</f>
        <v>0</v>
      </c>
      <c r="BF6" s="392">
        <f>IF(Leadsheet!$E$12-SAP_Speadsheet!BF5&lt;0,0,Leadsheet!$E$12-SAP_Speadsheet!BF5)</f>
        <v>0</v>
      </c>
      <c r="BG6" s="392">
        <f>IF(Leadsheet!$E$12-SAP_Speadsheet!BG5&lt;0,0,Leadsheet!$E$12-SAP_Speadsheet!BG5)</f>
        <v>0</v>
      </c>
      <c r="BH6" s="392">
        <f>IF(Leadsheet!$E$12-SAP_Speadsheet!BH5&lt;0,0,Leadsheet!$E$12-SAP_Speadsheet!BH5)</f>
        <v>0</v>
      </c>
      <c r="BI6" s="392">
        <f>IF(Leadsheet!$E$12-SAP_Speadsheet!BI5&lt;0,0,Leadsheet!$E$12-SAP_Speadsheet!BI5)</f>
        <v>0</v>
      </c>
      <c r="BJ6" s="392">
        <f>IF(Leadsheet!$E$12-SAP_Speadsheet!BJ5&lt;0,0,Leadsheet!$E$12-SAP_Speadsheet!BJ5)</f>
        <v>0</v>
      </c>
      <c r="BK6" s="392">
        <f>IF(Leadsheet!$E$12-SAP_Speadsheet!BK5&lt;0,0,Leadsheet!$E$12-SAP_Speadsheet!BK5)</f>
        <v>0</v>
      </c>
      <c r="BL6" s="392">
        <f>IF(Leadsheet!$E$12-SAP_Speadsheet!BL5&lt;0,0,Leadsheet!$E$12-SAP_Speadsheet!BL5)</f>
        <v>0</v>
      </c>
    </row>
    <row r="7" spans="2:64" x14ac:dyDescent="0.15">
      <c r="C7" s="337" t="s">
        <v>486</v>
      </c>
      <c r="D7" s="392">
        <f>Leadsheet!E13+Leadsheet!E12</f>
        <v>7</v>
      </c>
    </row>
    <row r="8" spans="2:64" x14ac:dyDescent="0.15">
      <c r="C8" s="337"/>
      <c r="E8" s="392"/>
    </row>
    <row r="9" spans="2:64" ht="13" thickBot="1" x14ac:dyDescent="0.2">
      <c r="B9" s="399" t="s">
        <v>346</v>
      </c>
      <c r="C9" s="400"/>
      <c r="D9" s="401"/>
      <c r="E9" s="402"/>
      <c r="F9" s="401"/>
      <c r="G9" s="401"/>
      <c r="H9" s="401"/>
      <c r="I9" s="401"/>
      <c r="J9" s="401"/>
      <c r="K9" s="401"/>
      <c r="L9" s="401"/>
      <c r="M9" s="401"/>
      <c r="N9" s="401"/>
      <c r="O9" s="401"/>
      <c r="P9" s="401"/>
      <c r="Q9" s="401"/>
      <c r="R9" s="401"/>
      <c r="S9" s="401"/>
      <c r="T9" s="401"/>
      <c r="U9" s="401"/>
      <c r="V9" s="401"/>
      <c r="W9" s="401"/>
      <c r="X9" s="401"/>
      <c r="Y9" s="401"/>
      <c r="Z9" s="401"/>
      <c r="AA9" s="401"/>
      <c r="AB9" s="401"/>
      <c r="AC9" s="401"/>
      <c r="AD9" s="401"/>
      <c r="AE9" s="401"/>
      <c r="AF9" s="401"/>
      <c r="AG9" s="401"/>
      <c r="AH9" s="401"/>
      <c r="AI9" s="401"/>
      <c r="AJ9" s="401"/>
      <c r="AK9" s="401"/>
      <c r="AL9" s="401"/>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row>
    <row r="10" spans="2:64" ht="12" thickTop="1" x14ac:dyDescent="0.15">
      <c r="B10" s="337" t="s">
        <v>487</v>
      </c>
      <c r="C10" s="337"/>
      <c r="E10" s="392"/>
    </row>
    <row r="11" spans="2:64" x14ac:dyDescent="0.15">
      <c r="C11" s="257" t="s">
        <v>488</v>
      </c>
      <c r="D11" s="403">
        <f>Leadsheet!E18</f>
        <v>0.56824848410738438</v>
      </c>
      <c r="E11" s="403">
        <f>IF(E$5&gt;$D$7,0,VLOOKUP(SAP_Speadsheet!E$5,Leadsheet!$C$18:$F$19,3,1))</f>
        <v>0.56824848410738438</v>
      </c>
      <c r="F11" s="403">
        <f>IF(F$5&gt;$D$7,0,VLOOKUP(SAP_Speadsheet!F$5,Leadsheet!$C$18:$F$19,3,1))</f>
        <v>0.56824848410738438</v>
      </c>
      <c r="G11" s="403">
        <f>IF(G$5&gt;$D$7,0,VLOOKUP(SAP_Speadsheet!G$5,Leadsheet!$C$18:$F$19,3,1))</f>
        <v>0.56824848410738438</v>
      </c>
      <c r="H11" s="403">
        <f>IF(H$5&gt;$D$7,0,VLOOKUP(SAP_Speadsheet!H$5,Leadsheet!$C$18:$F$19,3,1))</f>
        <v>0.56824848410738438</v>
      </c>
      <c r="I11" s="403">
        <f>IF(I$5&gt;$D$7,0,VLOOKUP(SAP_Speadsheet!I$5,Leadsheet!$C$18:$F$19,3,1))</f>
        <v>0.56824848410738438</v>
      </c>
      <c r="J11" s="403">
        <f>IF(J$5&gt;$D$7,0,VLOOKUP(SAP_Speadsheet!J$5,Leadsheet!$C$18:$F$19,3,1))</f>
        <v>0.56824848410738438</v>
      </c>
      <c r="K11" s="403">
        <f>IF(K$5&gt;$D$7,0,VLOOKUP(SAP_Speadsheet!K$5,Leadsheet!$C$18:$F$19,3,1))</f>
        <v>0.56824848410738438</v>
      </c>
      <c r="L11" s="403">
        <f>IF(L$5&gt;$D$7,0,VLOOKUP(SAP_Speadsheet!L$5,Leadsheet!$C$18:$F$19,3,1))</f>
        <v>0</v>
      </c>
      <c r="M11" s="403">
        <f>IF(M$5&gt;$D$7,0,VLOOKUP(SAP_Speadsheet!M$5,Leadsheet!$C$18:$F$19,3,1))</f>
        <v>0</v>
      </c>
      <c r="N11" s="403">
        <f>IF(N$5&gt;$D$7,0,VLOOKUP(SAP_Speadsheet!N$5,Leadsheet!$C$18:$F$19,3,1))</f>
        <v>0</v>
      </c>
      <c r="O11" s="403">
        <f>IF(O$5&gt;$D$7,0,VLOOKUP(SAP_Speadsheet!O$5,Leadsheet!$C$18:$F$19,3,1))</f>
        <v>0</v>
      </c>
      <c r="P11" s="403">
        <f>IF(P$5&gt;$D$7,0,VLOOKUP(SAP_Speadsheet!P$5,Leadsheet!$C$18:$F$19,3,1))</f>
        <v>0</v>
      </c>
      <c r="Q11" s="403">
        <f>IF(Q$5&gt;$D$7,0,VLOOKUP(SAP_Speadsheet!Q$5,Leadsheet!$C$18:$F$19,3,1))</f>
        <v>0</v>
      </c>
      <c r="R11" s="403">
        <f>IF(R$5&gt;$D$7,0,VLOOKUP(SAP_Speadsheet!R$5,Leadsheet!$C$18:$F$19,3,1))</f>
        <v>0</v>
      </c>
      <c r="S11" s="403">
        <f>IF(S$5&gt;$D$7,0,VLOOKUP(SAP_Speadsheet!S$5,Leadsheet!$C$18:$F$19,3,1))</f>
        <v>0</v>
      </c>
      <c r="T11" s="403">
        <f>IF(T$5&gt;$D$7,0,VLOOKUP(SAP_Speadsheet!T$5,Leadsheet!$C$18:$F$19,3,1))</f>
        <v>0</v>
      </c>
      <c r="U11" s="403">
        <f>IF(U$5&gt;$D$7,0,VLOOKUP(SAP_Speadsheet!U$5,Leadsheet!$C$18:$F$19,3,1))</f>
        <v>0</v>
      </c>
      <c r="V11" s="403">
        <f>IF(V$5&gt;$D$7,0,VLOOKUP(SAP_Speadsheet!V$5,Leadsheet!$C$18:$F$19,3,1))</f>
        <v>0</v>
      </c>
      <c r="W11" s="403">
        <f>IF(W$5&gt;$D$7,0,VLOOKUP(SAP_Speadsheet!W$5,Leadsheet!$C$18:$F$19,3,1))</f>
        <v>0</v>
      </c>
      <c r="X11" s="403">
        <f>IF(X$5&gt;$D$7,0,VLOOKUP(SAP_Speadsheet!X$5,Leadsheet!$C$18:$F$19,3,1))</f>
        <v>0</v>
      </c>
      <c r="Y11" s="403">
        <f>IF(Y$5&gt;$D$7,0,VLOOKUP(SAP_Speadsheet!Y$5,Leadsheet!$C$18:$F$19,3,1))</f>
        <v>0</v>
      </c>
      <c r="Z11" s="403">
        <f>IF(Z$5&gt;$D$7,0,VLOOKUP(SAP_Speadsheet!Z$5,Leadsheet!$C$18:$F$19,3,1))</f>
        <v>0</v>
      </c>
      <c r="AA11" s="403">
        <f>IF(AA$5&gt;$D$7,0,VLOOKUP(SAP_Speadsheet!AA$5,Leadsheet!$C$18:$F$19,3,1))</f>
        <v>0</v>
      </c>
      <c r="AB11" s="403">
        <f>IF(AB$5&gt;$D$7,0,VLOOKUP(SAP_Speadsheet!AB$5,Leadsheet!$C$18:$F$19,3,1))</f>
        <v>0</v>
      </c>
      <c r="AC11" s="403">
        <f>IF(AC$5&gt;$D$7,0,VLOOKUP(SAP_Speadsheet!AC$5,Leadsheet!$C$18:$F$19,3,1))</f>
        <v>0</v>
      </c>
      <c r="AD11" s="403">
        <f>IF(AD$5&gt;$D$7,0,VLOOKUP(SAP_Speadsheet!AD$5,Leadsheet!$C$18:$F$19,3,1))</f>
        <v>0</v>
      </c>
      <c r="AE11" s="403">
        <f>IF(AE$5&gt;$D$7,0,VLOOKUP(SAP_Speadsheet!AE$5,Leadsheet!$C$18:$F$19,3,1))</f>
        <v>0</v>
      </c>
      <c r="AF11" s="403">
        <f>IF(AF$5&gt;$D$7,0,VLOOKUP(SAP_Speadsheet!AF$5,Leadsheet!$C$18:$F$19,3,1))</f>
        <v>0</v>
      </c>
      <c r="AG11" s="403">
        <f>IF(AG$5&gt;$D$7,0,VLOOKUP(SAP_Speadsheet!AG$5,Leadsheet!$C$18:$F$19,3,1))</f>
        <v>0</v>
      </c>
      <c r="AH11" s="403">
        <f>IF(AH$5&gt;$D$7,0,VLOOKUP(SAP_Speadsheet!AH$5,Leadsheet!$C$18:$F$19,3,1))</f>
        <v>0</v>
      </c>
      <c r="AI11" s="403">
        <f>IF(AI$5&gt;$D$7,0,VLOOKUP(SAP_Speadsheet!AI$5,Leadsheet!$C$18:$F$19,3,1))</f>
        <v>0</v>
      </c>
      <c r="AJ11" s="403">
        <f>IF(AJ$5&gt;$D$7,0,VLOOKUP(SAP_Speadsheet!AJ$5,Leadsheet!$C$18:$F$19,3,1))</f>
        <v>0</v>
      </c>
      <c r="AK11" s="403">
        <f>IF(AK$5&gt;$D$7,0,VLOOKUP(SAP_Speadsheet!AK$5,Leadsheet!$C$18:$F$19,3,1))</f>
        <v>0</v>
      </c>
      <c r="AL11" s="403">
        <f>IF(AL$5&gt;$D$7,0,VLOOKUP(SAP_Speadsheet!AL$5,Leadsheet!$C$18:$F$19,3,1))</f>
        <v>0</v>
      </c>
      <c r="AM11" s="403">
        <f>IF(AM$5&gt;$D$7,0,VLOOKUP(SAP_Speadsheet!AM$5,Leadsheet!$C$18:$F$19,3,1))</f>
        <v>0</v>
      </c>
      <c r="AN11" s="403">
        <f>IF(AN$5&gt;$D$7,0,VLOOKUP(SAP_Speadsheet!AN$5,Leadsheet!$C$18:$F$19,3,1))</f>
        <v>0</v>
      </c>
      <c r="AO11" s="403">
        <f>IF(AO$5&gt;$D$7,0,VLOOKUP(SAP_Speadsheet!AO$5,Leadsheet!$C$18:$F$19,3,1))</f>
        <v>0</v>
      </c>
      <c r="AP11" s="403">
        <f>IF(AP$5&gt;$D$7,0,VLOOKUP(SAP_Speadsheet!AP$5,Leadsheet!$C$18:$F$19,3,1))</f>
        <v>0</v>
      </c>
      <c r="AQ11" s="403">
        <f>IF(AQ$5&gt;$D$7,0,VLOOKUP(SAP_Speadsheet!AQ$5,Leadsheet!$C$18:$F$19,3,1))</f>
        <v>0</v>
      </c>
      <c r="AR11" s="403">
        <f>IF(AR$5&gt;$D$7,0,VLOOKUP(SAP_Speadsheet!AR$5,Leadsheet!$C$18:$F$19,3,1))</f>
        <v>0</v>
      </c>
      <c r="AS11" s="403">
        <f>IF(AS$5&gt;$D$7,0,VLOOKUP(SAP_Speadsheet!AS$5,Leadsheet!$C$18:$F$19,3,1))</f>
        <v>0</v>
      </c>
      <c r="AT11" s="403">
        <f>IF(AT$5&gt;$D$7,0,VLOOKUP(SAP_Speadsheet!AT$5,Leadsheet!$C$18:$F$19,3,1))</f>
        <v>0</v>
      </c>
      <c r="AU11" s="403">
        <f>IF(AU$5&gt;$D$7,0,VLOOKUP(SAP_Speadsheet!AU$5,Leadsheet!$C$18:$F$19,3,1))</f>
        <v>0</v>
      </c>
      <c r="AV11" s="403">
        <f>IF(AV$5&gt;$D$7,0,VLOOKUP(SAP_Speadsheet!AV$5,Leadsheet!$C$18:$F$19,3,1))</f>
        <v>0</v>
      </c>
      <c r="AW11" s="403">
        <f>IF(AW$5&gt;$D$7,0,VLOOKUP(SAP_Speadsheet!AW$5,Leadsheet!$C$18:$F$19,3,1))</f>
        <v>0</v>
      </c>
      <c r="AX11" s="403">
        <f>IF(AX$5&gt;$D$7,0,VLOOKUP(SAP_Speadsheet!AX$5,Leadsheet!$C$18:$F$19,3,1))</f>
        <v>0</v>
      </c>
      <c r="AY11" s="403">
        <f>IF(AY$5&gt;$D$7,0,VLOOKUP(SAP_Speadsheet!AY$5,Leadsheet!$C$18:$F$19,3,1))</f>
        <v>0</v>
      </c>
      <c r="AZ11" s="403">
        <f>IF(AZ$5&gt;$D$7,0,VLOOKUP(SAP_Speadsheet!AZ$5,Leadsheet!$C$18:$F$19,3,1))</f>
        <v>0</v>
      </c>
      <c r="BA11" s="403">
        <f>IF(BA$5&gt;$D$7,0,VLOOKUP(SAP_Speadsheet!BA$5,Leadsheet!$C$18:$F$19,3,1))</f>
        <v>0</v>
      </c>
      <c r="BB11" s="403">
        <f>IF(BB$5&gt;$D$7,0,VLOOKUP(SAP_Speadsheet!BB$5,Leadsheet!$C$18:$F$19,3,1))</f>
        <v>0</v>
      </c>
      <c r="BC11" s="403">
        <f>IF(BC$5&gt;$D$7,0,VLOOKUP(SAP_Speadsheet!BC$5,Leadsheet!$C$18:$F$19,3,1))</f>
        <v>0</v>
      </c>
      <c r="BD11" s="403">
        <f>IF(BD$5&gt;$D$7,0,VLOOKUP(SAP_Speadsheet!BD$5,Leadsheet!$C$18:$F$19,3,1))</f>
        <v>0</v>
      </c>
      <c r="BE11" s="403">
        <f>IF(BE$5&gt;$D$7,0,VLOOKUP(SAP_Speadsheet!BE$5,Leadsheet!$C$18:$F$19,3,1))</f>
        <v>0</v>
      </c>
      <c r="BF11" s="403">
        <f>IF(BF$5&gt;$D$7,0,VLOOKUP(SAP_Speadsheet!BF$5,Leadsheet!$C$18:$F$19,3,1))</f>
        <v>0</v>
      </c>
      <c r="BG11" s="403">
        <f>IF(BG$5&gt;$D$7,0,VLOOKUP(SAP_Speadsheet!BG$5,Leadsheet!$C$18:$F$19,3,1))</f>
        <v>0</v>
      </c>
      <c r="BH11" s="403">
        <f>IF(BH$5&gt;$D$7,0,VLOOKUP(SAP_Speadsheet!BH$5,Leadsheet!$C$18:$F$19,3,1))</f>
        <v>0</v>
      </c>
      <c r="BI11" s="403">
        <f>IF(BI$5&gt;$D$7,0,VLOOKUP(SAP_Speadsheet!BI$5,Leadsheet!$C$18:$F$19,3,1))</f>
        <v>0</v>
      </c>
      <c r="BJ11" s="403">
        <f>IF(BJ$5&gt;$D$7,0,VLOOKUP(SAP_Speadsheet!BJ$5,Leadsheet!$C$18:$F$19,3,1))</f>
        <v>0</v>
      </c>
      <c r="BK11" s="403">
        <f>IF(BK$5&gt;$D$7,0,VLOOKUP(SAP_Speadsheet!BK$5,Leadsheet!$C$18:$F$19,3,1))</f>
        <v>0</v>
      </c>
      <c r="BL11" s="403">
        <f>IF(BL$5&gt;$D$7,0,VLOOKUP(SAP_Speadsheet!BL$5,Leadsheet!$C$18:$F$19,3,1))</f>
        <v>0</v>
      </c>
    </row>
    <row r="12" spans="2:64" x14ac:dyDescent="0.15">
      <c r="C12" s="257" t="s">
        <v>489</v>
      </c>
      <c r="D12" s="403">
        <f>Leadsheet!F18</f>
        <v>5.9930813346655717E-2</v>
      </c>
      <c r="E12" s="403">
        <f>IF(E$5&gt;$D$7,0,VLOOKUP(SAP_Speadsheet!E$5,Leadsheet!$C$18:$F$19,4,1))</f>
        <v>5.9930813346655717E-2</v>
      </c>
      <c r="F12" s="403">
        <f>IF(F$5&gt;$D$7,0,VLOOKUP(SAP_Speadsheet!F$5,Leadsheet!$C$18:$F$19,4,1))</f>
        <v>5.9930813346655717E-2</v>
      </c>
      <c r="G12" s="403">
        <f>IF(G$5&gt;$D$7,0,VLOOKUP(SAP_Speadsheet!G$5,Leadsheet!$C$18:$F$19,4,1))</f>
        <v>5.9930813346655717E-2</v>
      </c>
      <c r="H12" s="403">
        <f>IF(H$5&gt;$D$7,0,VLOOKUP(SAP_Speadsheet!H$5,Leadsheet!$C$18:$F$19,4,1))</f>
        <v>5.9930813346655717E-2</v>
      </c>
      <c r="I12" s="403">
        <f>IF(I$5&gt;$D$7,0,VLOOKUP(SAP_Speadsheet!I$5,Leadsheet!$C$18:$F$19,4,1))</f>
        <v>5.9930813346655717E-2</v>
      </c>
      <c r="J12" s="403">
        <f>IF(J$5&gt;$D$7,0,VLOOKUP(SAP_Speadsheet!J$5,Leadsheet!$C$18:$F$19,4,1))</f>
        <v>5.9930813346655717E-2</v>
      </c>
      <c r="K12" s="403">
        <f>IF(K$5&gt;$D$7,0,VLOOKUP(SAP_Speadsheet!K$5,Leadsheet!$C$18:$F$19,4,1))</f>
        <v>5.9930813346655717E-2</v>
      </c>
      <c r="L12" s="403">
        <f>IF(L$5&gt;$D$7,0,VLOOKUP(SAP_Speadsheet!L$5,Leadsheet!$C$18:$F$19,4,1))</f>
        <v>0</v>
      </c>
      <c r="M12" s="403">
        <f>IF(M$5&gt;$D$7,0,VLOOKUP(SAP_Speadsheet!M$5,Leadsheet!$C$18:$F$19,4,1))</f>
        <v>0</v>
      </c>
      <c r="N12" s="403">
        <f>IF(N$5&gt;$D$7,0,VLOOKUP(SAP_Speadsheet!N$5,Leadsheet!$C$18:$F$19,4,1))</f>
        <v>0</v>
      </c>
      <c r="O12" s="403">
        <f>IF(O$5&gt;$D$7,0,VLOOKUP(SAP_Speadsheet!O$5,Leadsheet!$C$18:$F$19,4,1))</f>
        <v>0</v>
      </c>
      <c r="P12" s="403">
        <f>IF(P$5&gt;$D$7,0,VLOOKUP(SAP_Speadsheet!P$5,Leadsheet!$C$18:$F$19,4,1))</f>
        <v>0</v>
      </c>
      <c r="Q12" s="403">
        <f>IF(Q$5&gt;$D$7,0,VLOOKUP(SAP_Speadsheet!Q$5,Leadsheet!$C$18:$F$19,4,1))</f>
        <v>0</v>
      </c>
      <c r="R12" s="403">
        <f>IF(R$5&gt;$D$7,0,VLOOKUP(SAP_Speadsheet!R$5,Leadsheet!$C$18:$F$19,4,1))</f>
        <v>0</v>
      </c>
      <c r="S12" s="403">
        <f>IF(S$5&gt;$D$7,0,VLOOKUP(SAP_Speadsheet!S$5,Leadsheet!$C$18:$F$19,4,1))</f>
        <v>0</v>
      </c>
      <c r="T12" s="403">
        <f>IF(T$5&gt;$D$7,0,VLOOKUP(SAP_Speadsheet!T$5,Leadsheet!$C$18:$F$19,4,1))</f>
        <v>0</v>
      </c>
      <c r="U12" s="403">
        <f>IF(U$5&gt;$D$7,0,VLOOKUP(SAP_Speadsheet!U$5,Leadsheet!$C$18:$F$19,4,1))</f>
        <v>0</v>
      </c>
      <c r="V12" s="403">
        <f>IF(V$5&gt;$D$7,0,VLOOKUP(SAP_Speadsheet!V$5,Leadsheet!$C$18:$F$19,4,1))</f>
        <v>0</v>
      </c>
      <c r="W12" s="403">
        <f>IF(W$5&gt;$D$7,0,VLOOKUP(SAP_Speadsheet!W$5,Leadsheet!$C$18:$F$19,4,1))</f>
        <v>0</v>
      </c>
      <c r="X12" s="403">
        <f>IF(X$5&gt;$D$7,0,VLOOKUP(SAP_Speadsheet!X$5,Leadsheet!$C$18:$F$19,4,1))</f>
        <v>0</v>
      </c>
      <c r="Y12" s="403">
        <f>IF(Y$5&gt;$D$7,0,VLOOKUP(SAP_Speadsheet!Y$5,Leadsheet!$C$18:$F$19,4,1))</f>
        <v>0</v>
      </c>
      <c r="Z12" s="403">
        <f>IF(Z$5&gt;$D$7,0,VLOOKUP(SAP_Speadsheet!Z$5,Leadsheet!$C$18:$F$19,4,1))</f>
        <v>0</v>
      </c>
      <c r="AA12" s="403">
        <f>IF(AA$5&gt;$D$7,0,VLOOKUP(SAP_Speadsheet!AA$5,Leadsheet!$C$18:$F$19,4,1))</f>
        <v>0</v>
      </c>
      <c r="AB12" s="403">
        <f>IF(AB$5&gt;$D$7,0,VLOOKUP(SAP_Speadsheet!AB$5,Leadsheet!$C$18:$F$19,4,1))</f>
        <v>0</v>
      </c>
      <c r="AC12" s="403">
        <f>IF(AC$5&gt;$D$7,0,VLOOKUP(SAP_Speadsheet!AC$5,Leadsheet!$C$18:$F$19,4,1))</f>
        <v>0</v>
      </c>
      <c r="AD12" s="403">
        <f>IF(AD$5&gt;$D$7,0,VLOOKUP(SAP_Speadsheet!AD$5,Leadsheet!$C$18:$F$19,4,1))</f>
        <v>0</v>
      </c>
      <c r="AE12" s="403">
        <f>IF(AE$5&gt;$D$7,0,VLOOKUP(SAP_Speadsheet!AE$5,Leadsheet!$C$18:$F$19,4,1))</f>
        <v>0</v>
      </c>
      <c r="AF12" s="403">
        <f>IF(AF$5&gt;$D$7,0,VLOOKUP(SAP_Speadsheet!AF$5,Leadsheet!$C$18:$F$19,4,1))</f>
        <v>0</v>
      </c>
      <c r="AG12" s="403">
        <f>IF(AG$5&gt;$D$7,0,VLOOKUP(SAP_Speadsheet!AG$5,Leadsheet!$C$18:$F$19,4,1))</f>
        <v>0</v>
      </c>
      <c r="AH12" s="403">
        <f>IF(AH$5&gt;$D$7,0,VLOOKUP(SAP_Speadsheet!AH$5,Leadsheet!$C$18:$F$19,4,1))</f>
        <v>0</v>
      </c>
      <c r="AI12" s="403">
        <f>IF(AI$5&gt;$D$7,0,VLOOKUP(SAP_Speadsheet!AI$5,Leadsheet!$C$18:$F$19,4,1))</f>
        <v>0</v>
      </c>
      <c r="AJ12" s="403">
        <f>IF(AJ$5&gt;$D$7,0,VLOOKUP(SAP_Speadsheet!AJ$5,Leadsheet!$C$18:$F$19,4,1))</f>
        <v>0</v>
      </c>
      <c r="AK12" s="403">
        <f>IF(AK$5&gt;$D$7,0,VLOOKUP(SAP_Speadsheet!AK$5,Leadsheet!$C$18:$F$19,4,1))</f>
        <v>0</v>
      </c>
      <c r="AL12" s="403">
        <f>IF(AL$5&gt;$D$7,0,VLOOKUP(SAP_Speadsheet!AL$5,Leadsheet!$C$18:$F$19,4,1))</f>
        <v>0</v>
      </c>
      <c r="AM12" s="403">
        <f>IF(AM$5&gt;$D$7,0,VLOOKUP(SAP_Speadsheet!AM$5,Leadsheet!$C$18:$F$19,4,1))</f>
        <v>0</v>
      </c>
      <c r="AN12" s="403">
        <f>IF(AN$5&gt;$D$7,0,VLOOKUP(SAP_Speadsheet!AN$5,Leadsheet!$C$18:$F$19,4,1))</f>
        <v>0</v>
      </c>
      <c r="AO12" s="403">
        <f>IF(AO$5&gt;$D$7,0,VLOOKUP(SAP_Speadsheet!AO$5,Leadsheet!$C$18:$F$19,4,1))</f>
        <v>0</v>
      </c>
      <c r="AP12" s="403">
        <f>IF(AP$5&gt;$D$7,0,VLOOKUP(SAP_Speadsheet!AP$5,Leadsheet!$C$18:$F$19,4,1))</f>
        <v>0</v>
      </c>
      <c r="AQ12" s="403">
        <f>IF(AQ$5&gt;$D$7,0,VLOOKUP(SAP_Speadsheet!AQ$5,Leadsheet!$C$18:$F$19,4,1))</f>
        <v>0</v>
      </c>
      <c r="AR12" s="403">
        <f>IF(AR$5&gt;$D$7,0,VLOOKUP(SAP_Speadsheet!AR$5,Leadsheet!$C$18:$F$19,4,1))</f>
        <v>0</v>
      </c>
      <c r="AS12" s="403">
        <f>IF(AS$5&gt;$D$7,0,VLOOKUP(SAP_Speadsheet!AS$5,Leadsheet!$C$18:$F$19,4,1))</f>
        <v>0</v>
      </c>
      <c r="AT12" s="403">
        <f>IF(AT$5&gt;$D$7,0,VLOOKUP(SAP_Speadsheet!AT$5,Leadsheet!$C$18:$F$19,4,1))</f>
        <v>0</v>
      </c>
      <c r="AU12" s="403">
        <f>IF(AU$5&gt;$D$7,0,VLOOKUP(SAP_Speadsheet!AU$5,Leadsheet!$C$18:$F$19,4,1))</f>
        <v>0</v>
      </c>
      <c r="AV12" s="403">
        <f>IF(AV$5&gt;$D$7,0,VLOOKUP(SAP_Speadsheet!AV$5,Leadsheet!$C$18:$F$19,4,1))</f>
        <v>0</v>
      </c>
      <c r="AW12" s="403">
        <f>IF(AW$5&gt;$D$7,0,VLOOKUP(SAP_Speadsheet!AW$5,Leadsheet!$C$18:$F$19,4,1))</f>
        <v>0</v>
      </c>
      <c r="AX12" s="403">
        <f>IF(AX$5&gt;$D$7,0,VLOOKUP(SAP_Speadsheet!AX$5,Leadsheet!$C$18:$F$19,4,1))</f>
        <v>0</v>
      </c>
      <c r="AY12" s="403">
        <f>IF(AY$5&gt;$D$7,0,VLOOKUP(SAP_Speadsheet!AY$5,Leadsheet!$C$18:$F$19,4,1))</f>
        <v>0</v>
      </c>
      <c r="AZ12" s="403">
        <f>IF(AZ$5&gt;$D$7,0,VLOOKUP(SAP_Speadsheet!AZ$5,Leadsheet!$C$18:$F$19,4,1))</f>
        <v>0</v>
      </c>
      <c r="BA12" s="403">
        <f>IF(BA$5&gt;$D$7,0,VLOOKUP(SAP_Speadsheet!BA$5,Leadsheet!$C$18:$F$19,4,1))</f>
        <v>0</v>
      </c>
      <c r="BB12" s="403">
        <f>IF(BB$5&gt;$D$7,0,VLOOKUP(SAP_Speadsheet!BB$5,Leadsheet!$C$18:$F$19,4,1))</f>
        <v>0</v>
      </c>
      <c r="BC12" s="403">
        <f>IF(BC$5&gt;$D$7,0,VLOOKUP(SAP_Speadsheet!BC$5,Leadsheet!$C$18:$F$19,4,1))</f>
        <v>0</v>
      </c>
      <c r="BD12" s="403">
        <f>IF(BD$5&gt;$D$7,0,VLOOKUP(SAP_Speadsheet!BD$5,Leadsheet!$C$18:$F$19,4,1))</f>
        <v>0</v>
      </c>
      <c r="BE12" s="403">
        <f>IF(BE$5&gt;$D$7,0,VLOOKUP(SAP_Speadsheet!BE$5,Leadsheet!$C$18:$F$19,4,1))</f>
        <v>0</v>
      </c>
      <c r="BF12" s="403">
        <f>IF(BF$5&gt;$D$7,0,VLOOKUP(SAP_Speadsheet!BF$5,Leadsheet!$C$18:$F$19,4,1))</f>
        <v>0</v>
      </c>
      <c r="BG12" s="403">
        <f>IF(BG$5&gt;$D$7,0,VLOOKUP(SAP_Speadsheet!BG$5,Leadsheet!$C$18:$F$19,4,1))</f>
        <v>0</v>
      </c>
      <c r="BH12" s="403">
        <f>IF(BH$5&gt;$D$7,0,VLOOKUP(SAP_Speadsheet!BH$5,Leadsheet!$C$18:$F$19,4,1))</f>
        <v>0</v>
      </c>
      <c r="BI12" s="403">
        <f>IF(BI$5&gt;$D$7,0,VLOOKUP(SAP_Speadsheet!BI$5,Leadsheet!$C$18:$F$19,4,1))</f>
        <v>0</v>
      </c>
      <c r="BJ12" s="403">
        <f>IF(BJ$5&gt;$D$7,0,VLOOKUP(SAP_Speadsheet!BJ$5,Leadsheet!$C$18:$F$19,4,1))</f>
        <v>0</v>
      </c>
      <c r="BK12" s="403">
        <f>IF(BK$5&gt;$D$7,0,VLOOKUP(SAP_Speadsheet!BK$5,Leadsheet!$C$18:$F$19,4,1))</f>
        <v>0</v>
      </c>
      <c r="BL12" s="403">
        <f>IF(BL$5&gt;$D$7,0,VLOOKUP(SAP_Speadsheet!BL$5,Leadsheet!$C$18:$F$19,4,1))</f>
        <v>0</v>
      </c>
    </row>
    <row r="13" spans="2:64" x14ac:dyDescent="0.15">
      <c r="C13" s="257" t="s">
        <v>490</v>
      </c>
      <c r="E13" s="403">
        <f>IF(E$5&lt;Leadsheet!$E$12,VLOOKUP(SAP_Speadsheet!E$5,Leadsheet!#REF!,3,1),0)</f>
        <v>0</v>
      </c>
      <c r="F13" s="403">
        <f>IF(F$5&lt;Leadsheet!$E$12,VLOOKUP(SAP_Speadsheet!F$5,Leadsheet!#REF!,3,1),0)</f>
        <v>0</v>
      </c>
      <c r="G13" s="403">
        <f>IF(G$5&lt;Leadsheet!$E$12,VLOOKUP(SAP_Speadsheet!G$5,Leadsheet!#REF!,3,1),0)</f>
        <v>0</v>
      </c>
      <c r="H13" s="403">
        <f>IF(H$5&lt;Leadsheet!$E$12,VLOOKUP(SAP_Speadsheet!H$5,Leadsheet!#REF!,3,1),0)</f>
        <v>0</v>
      </c>
      <c r="I13" s="403">
        <f>IF(I$5&lt;Leadsheet!$E$12,VLOOKUP(SAP_Speadsheet!I$5,Leadsheet!#REF!,3,1),0)</f>
        <v>0</v>
      </c>
      <c r="J13" s="403">
        <f>IF(J$5&lt;Leadsheet!$E$12,VLOOKUP(SAP_Speadsheet!J$5,Leadsheet!#REF!,3,1),0)</f>
        <v>0</v>
      </c>
      <c r="K13" s="403">
        <f>IF(K$5&lt;Leadsheet!$E$12,VLOOKUP(SAP_Speadsheet!K$5,Leadsheet!#REF!,3,1),0)</f>
        <v>0</v>
      </c>
      <c r="L13" s="403">
        <f>IF(L$5&lt;Leadsheet!$E$12,VLOOKUP(SAP_Speadsheet!L$5,Leadsheet!#REF!,3,1),0)</f>
        <v>0</v>
      </c>
      <c r="M13" s="403">
        <f>IF(M$5&lt;Leadsheet!$E$12,VLOOKUP(SAP_Speadsheet!M$5,Leadsheet!#REF!,3,1),0)</f>
        <v>0</v>
      </c>
      <c r="N13" s="403">
        <f>IF(N$5&lt;Leadsheet!$E$12,VLOOKUP(SAP_Speadsheet!N$5,Leadsheet!#REF!,3,1),0)</f>
        <v>0</v>
      </c>
      <c r="O13" s="403">
        <f>IF(O$5&lt;Leadsheet!$E$12,VLOOKUP(SAP_Speadsheet!O$5,Leadsheet!#REF!,3,1),0)</f>
        <v>0</v>
      </c>
      <c r="P13" s="403">
        <f>IF(P$5&lt;Leadsheet!$E$12,VLOOKUP(SAP_Speadsheet!P$5,Leadsheet!#REF!,3,1),0)</f>
        <v>0</v>
      </c>
      <c r="Q13" s="403">
        <f>IF(Q$5&lt;Leadsheet!$E$12,VLOOKUP(SAP_Speadsheet!Q$5,Leadsheet!#REF!,3,1),0)</f>
        <v>0</v>
      </c>
      <c r="R13" s="403">
        <f>IF(R$5&lt;Leadsheet!$E$12,VLOOKUP(SAP_Speadsheet!R$5,Leadsheet!#REF!,3,1),0)</f>
        <v>0</v>
      </c>
      <c r="S13" s="403">
        <f>IF(S$5&lt;Leadsheet!$E$12,VLOOKUP(SAP_Speadsheet!S$5,Leadsheet!#REF!,3,1),0)</f>
        <v>0</v>
      </c>
      <c r="T13" s="403">
        <f>IF(T$5&lt;Leadsheet!$E$12,VLOOKUP(SAP_Speadsheet!T$5,Leadsheet!#REF!,3,1),0)</f>
        <v>0</v>
      </c>
      <c r="U13" s="403">
        <f>IF(U$5&lt;Leadsheet!$E$12,VLOOKUP(SAP_Speadsheet!U$5,Leadsheet!#REF!,3,1),0)</f>
        <v>0</v>
      </c>
      <c r="V13" s="403">
        <f>IF(V$5&lt;Leadsheet!$E$12,VLOOKUP(SAP_Speadsheet!V$5,Leadsheet!#REF!,3,1),0)</f>
        <v>0</v>
      </c>
      <c r="W13" s="403">
        <f>IF(W$5&lt;Leadsheet!$E$12,VLOOKUP(SAP_Speadsheet!W$5,Leadsheet!#REF!,3,1),0)</f>
        <v>0</v>
      </c>
      <c r="X13" s="403">
        <f>IF(X$5&lt;Leadsheet!$E$12,VLOOKUP(SAP_Speadsheet!X$5,Leadsheet!#REF!,3,1),0)</f>
        <v>0</v>
      </c>
      <c r="Y13" s="403">
        <f>IF(Y$5&lt;Leadsheet!$E$12,VLOOKUP(SAP_Speadsheet!Y$5,Leadsheet!#REF!,3,1),0)</f>
        <v>0</v>
      </c>
      <c r="Z13" s="403">
        <f>IF(Z$5&lt;Leadsheet!$E$12,VLOOKUP(SAP_Speadsheet!Z$5,Leadsheet!#REF!,3,1),0)</f>
        <v>0</v>
      </c>
      <c r="AA13" s="403">
        <f>IF(AA$5&lt;Leadsheet!$E$12,VLOOKUP(SAP_Speadsheet!AA$5,Leadsheet!#REF!,3,1),0)</f>
        <v>0</v>
      </c>
      <c r="AB13" s="403">
        <f>IF(AB$5&lt;Leadsheet!$E$12,VLOOKUP(SAP_Speadsheet!AB$5,Leadsheet!#REF!,3,1),0)</f>
        <v>0</v>
      </c>
      <c r="AC13" s="403">
        <f>IF(AC$5&lt;Leadsheet!$E$12,VLOOKUP(SAP_Speadsheet!AC$5,Leadsheet!#REF!,3,1),0)</f>
        <v>0</v>
      </c>
      <c r="AD13" s="403">
        <f>IF(AD$5&lt;Leadsheet!$E$12,VLOOKUP(SAP_Speadsheet!AD$5,Leadsheet!#REF!,3,1),0)</f>
        <v>0</v>
      </c>
      <c r="AE13" s="403">
        <f>IF(AE$5&lt;Leadsheet!$E$12,VLOOKUP(SAP_Speadsheet!AE$5,Leadsheet!#REF!,3,1),0)</f>
        <v>0</v>
      </c>
      <c r="AF13" s="403">
        <f>IF(AF$5&lt;Leadsheet!$E$12,VLOOKUP(SAP_Speadsheet!AF$5,Leadsheet!#REF!,3,1),0)</f>
        <v>0</v>
      </c>
      <c r="AG13" s="403">
        <f>IF(AG$5&lt;Leadsheet!$E$12,VLOOKUP(SAP_Speadsheet!AG$5,Leadsheet!#REF!,3,1),0)</f>
        <v>0</v>
      </c>
      <c r="AH13" s="403">
        <f>IF(AH$5&lt;Leadsheet!$E$12,VLOOKUP(SAP_Speadsheet!AH$5,Leadsheet!#REF!,3,1),0)</f>
        <v>0</v>
      </c>
      <c r="AI13" s="403">
        <f>IF(AI$5&lt;Leadsheet!$E$12,VLOOKUP(SAP_Speadsheet!AI$5,Leadsheet!#REF!,3,1),0)</f>
        <v>0</v>
      </c>
      <c r="AJ13" s="403">
        <f>IF(AJ$5&lt;Leadsheet!$E$12,VLOOKUP(SAP_Speadsheet!AJ$5,Leadsheet!#REF!,3,1),0)</f>
        <v>0</v>
      </c>
      <c r="AK13" s="403">
        <f>IF(AK$5&lt;Leadsheet!$E$12,VLOOKUP(SAP_Speadsheet!AK$5,Leadsheet!#REF!,3,1),0)</f>
        <v>0</v>
      </c>
      <c r="AL13" s="403">
        <f>IF(AL$5&lt;Leadsheet!$E$12,VLOOKUP(SAP_Speadsheet!AL$5,Leadsheet!#REF!,3,1),0)</f>
        <v>0</v>
      </c>
      <c r="AM13" s="403">
        <f>IF(AM$5&lt;Leadsheet!$E$12,VLOOKUP(SAP_Speadsheet!AM$5,Leadsheet!#REF!,3,1),0)</f>
        <v>0</v>
      </c>
      <c r="AN13" s="403">
        <f>IF(AN$5&lt;Leadsheet!$E$12,VLOOKUP(SAP_Speadsheet!AN$5,Leadsheet!#REF!,3,1),0)</f>
        <v>0</v>
      </c>
      <c r="AO13" s="403">
        <f>IF(AO$5&lt;Leadsheet!$E$12,VLOOKUP(SAP_Speadsheet!AO$5,Leadsheet!#REF!,3,1),0)</f>
        <v>0</v>
      </c>
      <c r="AP13" s="403">
        <f>IF(AP$5&lt;Leadsheet!$E$12,VLOOKUP(SAP_Speadsheet!AP$5,Leadsheet!#REF!,3,1),0)</f>
        <v>0</v>
      </c>
      <c r="AQ13" s="403">
        <f>IF(AQ$5&lt;Leadsheet!$E$12,VLOOKUP(SAP_Speadsheet!AQ$5,Leadsheet!#REF!,3,1),0)</f>
        <v>0</v>
      </c>
      <c r="AR13" s="403">
        <f>IF(AR$5&lt;Leadsheet!$E$12,VLOOKUP(SAP_Speadsheet!AR$5,Leadsheet!#REF!,3,1),0)</f>
        <v>0</v>
      </c>
      <c r="AS13" s="403">
        <f>IF(AS$5&lt;Leadsheet!$E$12,VLOOKUP(SAP_Speadsheet!AS$5,Leadsheet!#REF!,3,1),0)</f>
        <v>0</v>
      </c>
      <c r="AT13" s="403">
        <f>IF(AT$5&lt;Leadsheet!$E$12,VLOOKUP(SAP_Speadsheet!AT$5,Leadsheet!#REF!,3,1),0)</f>
        <v>0</v>
      </c>
      <c r="AU13" s="403">
        <f>IF(AU$5&lt;Leadsheet!$E$12,VLOOKUP(SAP_Speadsheet!AU$5,Leadsheet!#REF!,3,1),0)</f>
        <v>0</v>
      </c>
      <c r="AV13" s="403">
        <f>IF(AV$5&lt;Leadsheet!$E$12,VLOOKUP(SAP_Speadsheet!AV$5,Leadsheet!#REF!,3,1),0)</f>
        <v>0</v>
      </c>
      <c r="AW13" s="403">
        <f>IF(AW$5&lt;Leadsheet!$E$12,VLOOKUP(SAP_Speadsheet!AW$5,Leadsheet!#REF!,3,1),0)</f>
        <v>0</v>
      </c>
      <c r="AX13" s="403">
        <f>IF(AX$5&lt;Leadsheet!$E$12,VLOOKUP(SAP_Speadsheet!AX$5,Leadsheet!#REF!,3,1),0)</f>
        <v>0</v>
      </c>
      <c r="AY13" s="403">
        <f>IF(AY$5&lt;Leadsheet!$E$12,VLOOKUP(SAP_Speadsheet!AY$5,Leadsheet!#REF!,3,1),0)</f>
        <v>0</v>
      </c>
      <c r="AZ13" s="403">
        <f>IF(AZ$5&lt;Leadsheet!$E$12,VLOOKUP(SAP_Speadsheet!AZ$5,Leadsheet!#REF!,3,1),0)</f>
        <v>0</v>
      </c>
      <c r="BA13" s="403">
        <f>IF(BA$5&lt;Leadsheet!$E$12,VLOOKUP(SAP_Speadsheet!BA$5,Leadsheet!#REF!,3,1),0)</f>
        <v>0</v>
      </c>
      <c r="BB13" s="403">
        <f>IF(BB$5&lt;Leadsheet!$E$12,VLOOKUP(SAP_Speadsheet!BB$5,Leadsheet!#REF!,3,1),0)</f>
        <v>0</v>
      </c>
      <c r="BC13" s="403">
        <f>IF(BC$5&lt;Leadsheet!$E$12,VLOOKUP(SAP_Speadsheet!BC$5,Leadsheet!#REF!,3,1),0)</f>
        <v>0</v>
      </c>
      <c r="BD13" s="403">
        <f>IF(BD$5&lt;Leadsheet!$E$12,VLOOKUP(SAP_Speadsheet!BD$5,Leadsheet!#REF!,3,1),0)</f>
        <v>0</v>
      </c>
      <c r="BE13" s="403">
        <f>IF(BE$5&lt;Leadsheet!$E$12,VLOOKUP(SAP_Speadsheet!BE$5,Leadsheet!#REF!,3,1),0)</f>
        <v>0</v>
      </c>
      <c r="BF13" s="403">
        <f>IF(BF$5&lt;Leadsheet!$E$12,VLOOKUP(SAP_Speadsheet!BF$5,Leadsheet!#REF!,3,1),0)</f>
        <v>0</v>
      </c>
      <c r="BG13" s="403">
        <f>IF(BG$5&lt;Leadsheet!$E$12,VLOOKUP(SAP_Speadsheet!BG$5,Leadsheet!#REF!,3,1),0)</f>
        <v>0</v>
      </c>
      <c r="BH13" s="403">
        <f>IF(BH$5&lt;Leadsheet!$E$12,VLOOKUP(SAP_Speadsheet!BH$5,Leadsheet!#REF!,3,1),0)</f>
        <v>0</v>
      </c>
      <c r="BI13" s="403">
        <f>IF(BI$5&lt;Leadsheet!$E$12,VLOOKUP(SAP_Speadsheet!BI$5,Leadsheet!#REF!,3,1),0)</f>
        <v>0</v>
      </c>
      <c r="BJ13" s="403">
        <f>IF(BJ$5&lt;Leadsheet!$E$12,VLOOKUP(SAP_Speadsheet!BJ$5,Leadsheet!#REF!,3,1),0)</f>
        <v>0</v>
      </c>
      <c r="BK13" s="403">
        <f>IF(BK$5&lt;Leadsheet!$E$12,VLOOKUP(SAP_Speadsheet!BK$5,Leadsheet!#REF!,3,1),0)</f>
        <v>0</v>
      </c>
      <c r="BL13" s="403">
        <f>IF(BL$5&lt;Leadsheet!$E$12,VLOOKUP(SAP_Speadsheet!BL$5,Leadsheet!#REF!,3,1),0)</f>
        <v>0</v>
      </c>
    </row>
    <row r="14" spans="2:64" x14ac:dyDescent="0.15">
      <c r="E14" s="403"/>
      <c r="F14" s="403"/>
      <c r="G14" s="403"/>
      <c r="H14" s="403"/>
      <c r="I14" s="403"/>
      <c r="J14" s="403"/>
      <c r="K14" s="403"/>
      <c r="L14" s="403"/>
      <c r="M14" s="403"/>
      <c r="N14" s="403"/>
      <c r="O14" s="403"/>
      <c r="P14" s="403"/>
      <c r="Q14" s="403"/>
      <c r="R14" s="403"/>
      <c r="S14" s="403"/>
      <c r="T14" s="403"/>
      <c r="U14" s="403"/>
      <c r="V14" s="403"/>
      <c r="W14" s="403"/>
      <c r="X14" s="403"/>
      <c r="Y14" s="403"/>
      <c r="Z14" s="403"/>
      <c r="AA14" s="403"/>
      <c r="AB14" s="403"/>
      <c r="AC14" s="403"/>
      <c r="AD14" s="403"/>
      <c r="AE14" s="403"/>
      <c r="AF14" s="403"/>
      <c r="AG14" s="403"/>
      <c r="AH14" s="403"/>
      <c r="AI14" s="403"/>
      <c r="AJ14" s="403"/>
      <c r="AK14" s="403"/>
      <c r="AL14" s="403"/>
      <c r="AM14" s="403"/>
      <c r="AN14" s="403"/>
      <c r="AO14" s="403"/>
      <c r="AP14" s="403"/>
      <c r="AQ14" s="403"/>
      <c r="AR14" s="403"/>
      <c r="AS14" s="403"/>
      <c r="AT14" s="403"/>
      <c r="AU14" s="403"/>
      <c r="AV14" s="403"/>
      <c r="AW14" s="403"/>
      <c r="AX14" s="403"/>
      <c r="AY14" s="403"/>
      <c r="AZ14" s="395"/>
      <c r="BA14" s="395"/>
      <c r="BB14" s="395"/>
      <c r="BC14" s="395"/>
      <c r="BD14" s="395"/>
      <c r="BE14" s="395"/>
      <c r="BF14" s="395"/>
      <c r="BG14" s="395"/>
      <c r="BH14" s="395"/>
      <c r="BI14" s="395"/>
      <c r="BJ14" s="395"/>
      <c r="BK14" s="395"/>
      <c r="BL14" s="395"/>
    </row>
    <row r="15" spans="2:64" x14ac:dyDescent="0.15">
      <c r="B15" s="337" t="s">
        <v>406</v>
      </c>
      <c r="C15" s="257" t="s">
        <v>491</v>
      </c>
      <c r="D15" s="404">
        <v>1</v>
      </c>
      <c r="E15" s="405">
        <f>IF(E5&gt;$D$7,0,D15)</f>
        <v>1</v>
      </c>
      <c r="F15" s="405">
        <f t="shared" ref="F15:BL15" si="1">IF(F5&gt;$D$7,0,E15)</f>
        <v>1</v>
      </c>
      <c r="G15" s="405">
        <f t="shared" si="1"/>
        <v>1</v>
      </c>
      <c r="H15" s="405">
        <f t="shared" si="1"/>
        <v>1</v>
      </c>
      <c r="I15" s="405">
        <f t="shared" si="1"/>
        <v>1</v>
      </c>
      <c r="J15" s="405">
        <f t="shared" si="1"/>
        <v>1</v>
      </c>
      <c r="K15" s="405">
        <f t="shared" si="1"/>
        <v>1</v>
      </c>
      <c r="L15" s="405">
        <f t="shared" si="1"/>
        <v>0</v>
      </c>
      <c r="M15" s="405">
        <f t="shared" si="1"/>
        <v>0</v>
      </c>
      <c r="N15" s="405">
        <f t="shared" si="1"/>
        <v>0</v>
      </c>
      <c r="O15" s="405">
        <f t="shared" si="1"/>
        <v>0</v>
      </c>
      <c r="P15" s="405">
        <f t="shared" si="1"/>
        <v>0</v>
      </c>
      <c r="Q15" s="405">
        <f t="shared" si="1"/>
        <v>0</v>
      </c>
      <c r="R15" s="405">
        <f t="shared" si="1"/>
        <v>0</v>
      </c>
      <c r="S15" s="405">
        <f t="shared" si="1"/>
        <v>0</v>
      </c>
      <c r="T15" s="405">
        <f t="shared" si="1"/>
        <v>0</v>
      </c>
      <c r="U15" s="405">
        <f t="shared" si="1"/>
        <v>0</v>
      </c>
      <c r="V15" s="405">
        <f t="shared" si="1"/>
        <v>0</v>
      </c>
      <c r="W15" s="405">
        <f t="shared" si="1"/>
        <v>0</v>
      </c>
      <c r="X15" s="405">
        <f t="shared" si="1"/>
        <v>0</v>
      </c>
      <c r="Y15" s="405">
        <f t="shared" si="1"/>
        <v>0</v>
      </c>
      <c r="Z15" s="405">
        <f t="shared" si="1"/>
        <v>0</v>
      </c>
      <c r="AA15" s="405">
        <f t="shared" si="1"/>
        <v>0</v>
      </c>
      <c r="AB15" s="405">
        <f t="shared" si="1"/>
        <v>0</v>
      </c>
      <c r="AC15" s="405">
        <f t="shared" si="1"/>
        <v>0</v>
      </c>
      <c r="AD15" s="405">
        <f t="shared" si="1"/>
        <v>0</v>
      </c>
      <c r="AE15" s="405">
        <f t="shared" si="1"/>
        <v>0</v>
      </c>
      <c r="AF15" s="405">
        <f t="shared" si="1"/>
        <v>0</v>
      </c>
      <c r="AG15" s="405">
        <f t="shared" si="1"/>
        <v>0</v>
      </c>
      <c r="AH15" s="405">
        <f t="shared" si="1"/>
        <v>0</v>
      </c>
      <c r="AI15" s="405">
        <f t="shared" si="1"/>
        <v>0</v>
      </c>
      <c r="AJ15" s="405">
        <f t="shared" si="1"/>
        <v>0</v>
      </c>
      <c r="AK15" s="405">
        <f t="shared" si="1"/>
        <v>0</v>
      </c>
      <c r="AL15" s="405">
        <f t="shared" si="1"/>
        <v>0</v>
      </c>
      <c r="AM15" s="405">
        <f t="shared" si="1"/>
        <v>0</v>
      </c>
      <c r="AN15" s="405">
        <f t="shared" si="1"/>
        <v>0</v>
      </c>
      <c r="AO15" s="405">
        <f t="shared" si="1"/>
        <v>0</v>
      </c>
      <c r="AP15" s="405">
        <f t="shared" si="1"/>
        <v>0</v>
      </c>
      <c r="AQ15" s="405">
        <f t="shared" si="1"/>
        <v>0</v>
      </c>
      <c r="AR15" s="405">
        <f t="shared" si="1"/>
        <v>0</v>
      </c>
      <c r="AS15" s="405">
        <f t="shared" si="1"/>
        <v>0</v>
      </c>
      <c r="AT15" s="405">
        <f t="shared" si="1"/>
        <v>0</v>
      </c>
      <c r="AU15" s="405">
        <f t="shared" si="1"/>
        <v>0</v>
      </c>
      <c r="AV15" s="405">
        <f t="shared" si="1"/>
        <v>0</v>
      </c>
      <c r="AW15" s="405">
        <f t="shared" si="1"/>
        <v>0</v>
      </c>
      <c r="AX15" s="405">
        <f t="shared" si="1"/>
        <v>0</v>
      </c>
      <c r="AY15" s="405">
        <f t="shared" si="1"/>
        <v>0</v>
      </c>
      <c r="AZ15" s="405">
        <f t="shared" si="1"/>
        <v>0</v>
      </c>
      <c r="BA15" s="405">
        <f t="shared" si="1"/>
        <v>0</v>
      </c>
      <c r="BB15" s="405">
        <f t="shared" si="1"/>
        <v>0</v>
      </c>
      <c r="BC15" s="405">
        <f t="shared" si="1"/>
        <v>0</v>
      </c>
      <c r="BD15" s="405">
        <f t="shared" si="1"/>
        <v>0</v>
      </c>
      <c r="BE15" s="405">
        <f t="shared" si="1"/>
        <v>0</v>
      </c>
      <c r="BF15" s="405">
        <f t="shared" si="1"/>
        <v>0</v>
      </c>
      <c r="BG15" s="405">
        <f t="shared" si="1"/>
        <v>0</v>
      </c>
      <c r="BH15" s="405">
        <f t="shared" si="1"/>
        <v>0</v>
      </c>
      <c r="BI15" s="405">
        <f t="shared" si="1"/>
        <v>0</v>
      </c>
      <c r="BJ15" s="405">
        <f t="shared" si="1"/>
        <v>0</v>
      </c>
      <c r="BK15" s="405">
        <f t="shared" si="1"/>
        <v>0</v>
      </c>
      <c r="BL15" s="405">
        <f t="shared" si="1"/>
        <v>0</v>
      </c>
    </row>
    <row r="16" spans="2:64" s="335" customFormat="1" x14ac:dyDescent="0.15">
      <c r="B16" s="337"/>
      <c r="C16" s="364" t="s">
        <v>492</v>
      </c>
      <c r="D16" s="406">
        <f>Leadsheet!E10</f>
        <v>3.5358328850990226</v>
      </c>
      <c r="E16" s="406">
        <f>IF(E$5&gt;Leadsheet!$E$12,0,D16+E19)</f>
        <v>-4.4408920985006262E-16</v>
      </c>
      <c r="F16" s="406">
        <f>IF(F$5&gt;Leadsheet!$E$12,0,E16+F19)</f>
        <v>0</v>
      </c>
      <c r="G16" s="406">
        <f>IF(G$5&gt;Leadsheet!$E$12,0,F16+G19)</f>
        <v>0</v>
      </c>
      <c r="H16" s="406">
        <f>IF(H$5&gt;Leadsheet!$E$12,0,G16+H19)</f>
        <v>0</v>
      </c>
      <c r="I16" s="406">
        <f>IF(I$5&gt;Leadsheet!$E$12,0,H16+I19)</f>
        <v>0</v>
      </c>
      <c r="J16" s="406">
        <f>IF(J$5&gt;Leadsheet!$E$12,0,I16+J19)</f>
        <v>0</v>
      </c>
      <c r="K16" s="406">
        <f>IF(K$5&gt;Leadsheet!$E$12,0,J16+K19)</f>
        <v>0</v>
      </c>
      <c r="L16" s="406">
        <f>IF(L$5&gt;Leadsheet!$E$12,0,K16+L19)</f>
        <v>0</v>
      </c>
      <c r="M16" s="406">
        <f>IF(M$5&gt;Leadsheet!$E$12,0,L16+M19)</f>
        <v>0</v>
      </c>
      <c r="N16" s="406">
        <f>IF(N$5&gt;Leadsheet!$E$12,0,M16+N19)</f>
        <v>0</v>
      </c>
      <c r="O16" s="406">
        <f>IF(O$5&gt;Leadsheet!$E$12,0,N16+O19)</f>
        <v>0</v>
      </c>
      <c r="P16" s="406">
        <f>IF(P$5&gt;Leadsheet!$E$12,0,O16+P19)</f>
        <v>0</v>
      </c>
      <c r="Q16" s="406">
        <f>IF(Q$5&gt;Leadsheet!$E$12,0,P16+Q19)</f>
        <v>0</v>
      </c>
      <c r="R16" s="406">
        <f>IF(R$5&gt;Leadsheet!$E$12,0,Q16+R19)</f>
        <v>0</v>
      </c>
      <c r="S16" s="406">
        <f>IF(S$5&gt;Leadsheet!$E$12,0,R16+S19)</f>
        <v>0</v>
      </c>
      <c r="T16" s="406">
        <f>IF(T$5&gt;Leadsheet!$E$12,0,S16+T19)</f>
        <v>0</v>
      </c>
      <c r="U16" s="406">
        <f>IF(U$5&gt;Leadsheet!$E$12,0,T16+U19)</f>
        <v>0</v>
      </c>
      <c r="V16" s="406">
        <f>IF(V$5&gt;Leadsheet!$E$12,0,U16+V19)</f>
        <v>0</v>
      </c>
      <c r="W16" s="406">
        <f>IF(W$5&gt;Leadsheet!$E$12,0,V16+W19)</f>
        <v>0</v>
      </c>
      <c r="X16" s="406">
        <f>IF(X$5&gt;Leadsheet!$E$12,0,W16+X19)</f>
        <v>0</v>
      </c>
      <c r="Y16" s="406">
        <f>IF(Y$5&gt;Leadsheet!$E$12,0,X16+Y19)</f>
        <v>0</v>
      </c>
      <c r="Z16" s="406">
        <f>IF(Z$5&gt;Leadsheet!$E$12,0,Y16+Z19)</f>
        <v>0</v>
      </c>
      <c r="AA16" s="406">
        <f>IF(AA$5&gt;Leadsheet!$E$12,0,Z16+AA19)</f>
        <v>0</v>
      </c>
      <c r="AB16" s="406">
        <f>IF(AB$5&gt;Leadsheet!$E$12,0,AA16+AB19)</f>
        <v>0</v>
      </c>
      <c r="AC16" s="406">
        <f>IF(AC$5&gt;Leadsheet!$E$12,0,AB16+AC19)</f>
        <v>0</v>
      </c>
      <c r="AD16" s="406">
        <f>IF(AD$5&gt;Leadsheet!$E$12,0,AC16+AD19)</f>
        <v>0</v>
      </c>
      <c r="AE16" s="406">
        <f>IF(AE$5&gt;Leadsheet!$E$12,0,AD16+AE19)</f>
        <v>0</v>
      </c>
      <c r="AF16" s="406">
        <f>IF(AF$5&gt;Leadsheet!$E$12,0,AE16+AF19)</f>
        <v>0</v>
      </c>
      <c r="AG16" s="406">
        <f>IF(AG$5&gt;Leadsheet!$E$12,0,AF16+AG19)</f>
        <v>0</v>
      </c>
      <c r="AH16" s="406">
        <f>IF(AH$5&gt;Leadsheet!$E$12,0,AG16+AH19)</f>
        <v>0</v>
      </c>
      <c r="AI16" s="406">
        <f>IF(AI$5&gt;Leadsheet!$E$12,0,AH16+AI19)</f>
        <v>0</v>
      </c>
      <c r="AJ16" s="406">
        <f>IF(AJ$5&gt;Leadsheet!$E$12,0,AI16+AJ19)</f>
        <v>0</v>
      </c>
      <c r="AK16" s="406">
        <f>IF(AK$5&gt;Leadsheet!$E$12,0,AJ16+AK19)</f>
        <v>0</v>
      </c>
      <c r="AL16" s="406">
        <f>IF(AL$5&gt;Leadsheet!$E$12,0,AK16+AL19)</f>
        <v>0</v>
      </c>
      <c r="AM16" s="406">
        <f>IF(AM$5&gt;Leadsheet!$E$12,0,AL16+AM19)</f>
        <v>0</v>
      </c>
      <c r="AN16" s="406">
        <f>IF(AN$5&gt;Leadsheet!$E$12,0,AM16+AN19)</f>
        <v>0</v>
      </c>
      <c r="AO16" s="406">
        <f>IF(AO$5&gt;Leadsheet!$E$12,0,AN16+AO19)</f>
        <v>0</v>
      </c>
      <c r="AP16" s="406">
        <f>IF(AP$5&gt;Leadsheet!$E$12,0,AO16+AP19)</f>
        <v>0</v>
      </c>
      <c r="AQ16" s="406">
        <f>IF(AQ$5&gt;Leadsheet!$E$12,0,AP16+AQ19)</f>
        <v>0</v>
      </c>
      <c r="AR16" s="406">
        <f>IF(AR$5&gt;Leadsheet!$E$12,0,AQ16+AR19)</f>
        <v>0</v>
      </c>
      <c r="AS16" s="406">
        <f>IF(AS$5&gt;Leadsheet!$E$12,0,AR16+AS19)</f>
        <v>0</v>
      </c>
      <c r="AT16" s="406">
        <f>IF(AT$5&gt;Leadsheet!$E$12,0,AS16+AT19)</f>
        <v>0</v>
      </c>
      <c r="AU16" s="406">
        <f>IF(AU$5&gt;Leadsheet!$E$12,0,AT16+AU19)</f>
        <v>0</v>
      </c>
      <c r="AV16" s="406">
        <f>IF(AV$5&gt;Leadsheet!$E$12,0,AU16+AV19)</f>
        <v>0</v>
      </c>
      <c r="AW16" s="406">
        <f>IF(AW$5&gt;Leadsheet!$E$12,0,AV16+AW19)</f>
        <v>0</v>
      </c>
      <c r="AX16" s="406">
        <f>IF(AX$5&gt;Leadsheet!$E$12,0,AW16+AX19)</f>
        <v>0</v>
      </c>
      <c r="AY16" s="406">
        <f>IF(AY$5&gt;Leadsheet!$E$12,0,AX16+AY19)</f>
        <v>0</v>
      </c>
      <c r="AZ16" s="406">
        <f>IF(AZ$5&gt;Leadsheet!$E$12,0,AY16+AZ19)</f>
        <v>0</v>
      </c>
      <c r="BA16" s="406">
        <f>IF(BA$5&gt;Leadsheet!$E$12,0,AZ16+BA19)</f>
        <v>0</v>
      </c>
      <c r="BB16" s="406">
        <f>IF(BB$5&gt;Leadsheet!$E$12,0,BA16+BB19)</f>
        <v>0</v>
      </c>
      <c r="BC16" s="406">
        <f>IF(BC$5&gt;Leadsheet!$E$12,0,BB16+BC19)</f>
        <v>0</v>
      </c>
      <c r="BD16" s="406">
        <f>IF(BD$5&gt;Leadsheet!$E$12,0,BC16+BD19)</f>
        <v>0</v>
      </c>
      <c r="BE16" s="406">
        <f>IF(BE$5&gt;Leadsheet!$E$12,0,BD16+BE19)</f>
        <v>0</v>
      </c>
      <c r="BF16" s="406">
        <f>IF(BF$5&gt;Leadsheet!$E$12,0,BE16+BF19)</f>
        <v>0</v>
      </c>
      <c r="BG16" s="406">
        <f>IF(BG$5&gt;Leadsheet!$E$12,0,BF16+BG19)</f>
        <v>0</v>
      </c>
      <c r="BH16" s="406">
        <f>IF(BH$5&gt;Leadsheet!$E$12,0,BG16+BH19)</f>
        <v>0</v>
      </c>
      <c r="BI16" s="406">
        <f>IF(BI$5&gt;Leadsheet!$E$12,0,BH16+BI19)</f>
        <v>0</v>
      </c>
      <c r="BJ16" s="406">
        <f>IF(BJ$5&gt;Leadsheet!$E$12,0,BI16+BJ19)</f>
        <v>0</v>
      </c>
      <c r="BK16" s="406">
        <f>IF(BK$5&gt;Leadsheet!$E$12,0,BJ16+BK19)</f>
        <v>0</v>
      </c>
      <c r="BL16" s="406">
        <f>IF(BL$5&gt;Leadsheet!$E$12,0,BK16+BL19)</f>
        <v>0</v>
      </c>
    </row>
    <row r="17" spans="1:64" x14ac:dyDescent="0.15">
      <c r="C17" s="257" t="s">
        <v>493</v>
      </c>
      <c r="E17" s="406">
        <f t="shared" ref="E17:BL17" si="2">-IFERROR(PMT(D11/12,D6,-D16),0)</f>
        <v>-3.7032688581835695</v>
      </c>
      <c r="F17" s="406">
        <f t="shared" si="2"/>
        <v>0</v>
      </c>
      <c r="G17" s="406">
        <f t="shared" si="2"/>
        <v>0</v>
      </c>
      <c r="H17" s="406">
        <f t="shared" si="2"/>
        <v>0</v>
      </c>
      <c r="I17" s="406">
        <f t="shared" si="2"/>
        <v>0</v>
      </c>
      <c r="J17" s="406">
        <f t="shared" si="2"/>
        <v>0</v>
      </c>
      <c r="K17" s="406">
        <f t="shared" si="2"/>
        <v>0</v>
      </c>
      <c r="L17" s="406">
        <f t="shared" si="2"/>
        <v>0</v>
      </c>
      <c r="M17" s="406">
        <f t="shared" si="2"/>
        <v>0</v>
      </c>
      <c r="N17" s="406">
        <f t="shared" si="2"/>
        <v>0</v>
      </c>
      <c r="O17" s="406">
        <f t="shared" si="2"/>
        <v>0</v>
      </c>
      <c r="P17" s="406">
        <f t="shared" si="2"/>
        <v>0</v>
      </c>
      <c r="Q17" s="406">
        <f t="shared" si="2"/>
        <v>0</v>
      </c>
      <c r="R17" s="406">
        <f t="shared" si="2"/>
        <v>0</v>
      </c>
      <c r="S17" s="406">
        <f t="shared" si="2"/>
        <v>0</v>
      </c>
      <c r="T17" s="406">
        <f t="shared" si="2"/>
        <v>0</v>
      </c>
      <c r="U17" s="406">
        <f t="shared" si="2"/>
        <v>0</v>
      </c>
      <c r="V17" s="406">
        <f t="shared" si="2"/>
        <v>0</v>
      </c>
      <c r="W17" s="406">
        <f t="shared" si="2"/>
        <v>0</v>
      </c>
      <c r="X17" s="406">
        <f t="shared" si="2"/>
        <v>0</v>
      </c>
      <c r="Y17" s="406">
        <f t="shared" si="2"/>
        <v>0</v>
      </c>
      <c r="Z17" s="406">
        <f t="shared" si="2"/>
        <v>0</v>
      </c>
      <c r="AA17" s="406">
        <f t="shared" si="2"/>
        <v>0</v>
      </c>
      <c r="AB17" s="406">
        <f t="shared" si="2"/>
        <v>0</v>
      </c>
      <c r="AC17" s="406">
        <f t="shared" si="2"/>
        <v>0</v>
      </c>
      <c r="AD17" s="406">
        <f t="shared" si="2"/>
        <v>0</v>
      </c>
      <c r="AE17" s="406">
        <f t="shared" si="2"/>
        <v>0</v>
      </c>
      <c r="AF17" s="406">
        <f t="shared" si="2"/>
        <v>0</v>
      </c>
      <c r="AG17" s="406">
        <f t="shared" si="2"/>
        <v>0</v>
      </c>
      <c r="AH17" s="406">
        <f t="shared" si="2"/>
        <v>0</v>
      </c>
      <c r="AI17" s="406">
        <f t="shared" si="2"/>
        <v>0</v>
      </c>
      <c r="AJ17" s="406">
        <f t="shared" si="2"/>
        <v>0</v>
      </c>
      <c r="AK17" s="406">
        <f t="shared" si="2"/>
        <v>0</v>
      </c>
      <c r="AL17" s="406">
        <f t="shared" si="2"/>
        <v>0</v>
      </c>
      <c r="AM17" s="406">
        <f t="shared" si="2"/>
        <v>0</v>
      </c>
      <c r="AN17" s="406">
        <f t="shared" si="2"/>
        <v>0</v>
      </c>
      <c r="AO17" s="406">
        <f t="shared" si="2"/>
        <v>0</v>
      </c>
      <c r="AP17" s="406">
        <f t="shared" si="2"/>
        <v>0</v>
      </c>
      <c r="AQ17" s="406">
        <f t="shared" si="2"/>
        <v>0</v>
      </c>
      <c r="AR17" s="406">
        <f t="shared" si="2"/>
        <v>0</v>
      </c>
      <c r="AS17" s="406">
        <f t="shared" si="2"/>
        <v>0</v>
      </c>
      <c r="AT17" s="406">
        <f t="shared" si="2"/>
        <v>0</v>
      </c>
      <c r="AU17" s="406">
        <f t="shared" si="2"/>
        <v>0</v>
      </c>
      <c r="AV17" s="406">
        <f t="shared" si="2"/>
        <v>0</v>
      </c>
      <c r="AW17" s="406">
        <f t="shared" si="2"/>
        <v>0</v>
      </c>
      <c r="AX17" s="406">
        <f t="shared" si="2"/>
        <v>0</v>
      </c>
      <c r="AY17" s="406">
        <f t="shared" si="2"/>
        <v>0</v>
      </c>
      <c r="AZ17" s="406">
        <f t="shared" si="2"/>
        <v>0</v>
      </c>
      <c r="BA17" s="406">
        <f t="shared" si="2"/>
        <v>0</v>
      </c>
      <c r="BB17" s="406">
        <f t="shared" si="2"/>
        <v>0</v>
      </c>
      <c r="BC17" s="406">
        <f t="shared" si="2"/>
        <v>0</v>
      </c>
      <c r="BD17" s="406">
        <f t="shared" si="2"/>
        <v>0</v>
      </c>
      <c r="BE17" s="406">
        <f t="shared" si="2"/>
        <v>0</v>
      </c>
      <c r="BF17" s="406">
        <f t="shared" si="2"/>
        <v>0</v>
      </c>
      <c r="BG17" s="406">
        <f t="shared" si="2"/>
        <v>0</v>
      </c>
      <c r="BH17" s="406">
        <f t="shared" si="2"/>
        <v>0</v>
      </c>
      <c r="BI17" s="406">
        <f t="shared" si="2"/>
        <v>0</v>
      </c>
      <c r="BJ17" s="406">
        <f t="shared" si="2"/>
        <v>0</v>
      </c>
      <c r="BK17" s="406">
        <f t="shared" si="2"/>
        <v>0</v>
      </c>
      <c r="BL17" s="406">
        <f t="shared" si="2"/>
        <v>0</v>
      </c>
    </row>
    <row r="18" spans="1:64" s="335" customFormat="1" x14ac:dyDescent="0.15">
      <c r="C18" s="257" t="s">
        <v>494</v>
      </c>
      <c r="E18" s="335">
        <f t="shared" ref="E18:BL18" si="3">-IF(E5&gt;$D$6,0,D16*D11/12)</f>
        <v>-0.16743597308454658</v>
      </c>
      <c r="F18" s="335">
        <f t="shared" si="3"/>
        <v>0</v>
      </c>
      <c r="G18" s="335">
        <f t="shared" si="3"/>
        <v>0</v>
      </c>
      <c r="H18" s="335">
        <f t="shared" si="3"/>
        <v>0</v>
      </c>
      <c r="I18" s="335">
        <f t="shared" si="3"/>
        <v>0</v>
      </c>
      <c r="J18" s="335">
        <f t="shared" si="3"/>
        <v>0</v>
      </c>
      <c r="K18" s="335">
        <f t="shared" si="3"/>
        <v>0</v>
      </c>
      <c r="L18" s="335">
        <f t="shared" si="3"/>
        <v>0</v>
      </c>
      <c r="M18" s="335">
        <f t="shared" si="3"/>
        <v>0</v>
      </c>
      <c r="N18" s="335">
        <f t="shared" si="3"/>
        <v>0</v>
      </c>
      <c r="O18" s="335">
        <f t="shared" si="3"/>
        <v>0</v>
      </c>
      <c r="P18" s="335">
        <f t="shared" si="3"/>
        <v>0</v>
      </c>
      <c r="Q18" s="335">
        <f t="shared" si="3"/>
        <v>0</v>
      </c>
      <c r="R18" s="335">
        <f t="shared" si="3"/>
        <v>0</v>
      </c>
      <c r="S18" s="335">
        <f t="shared" si="3"/>
        <v>0</v>
      </c>
      <c r="T18" s="335">
        <f t="shared" si="3"/>
        <v>0</v>
      </c>
      <c r="U18" s="335">
        <f t="shared" si="3"/>
        <v>0</v>
      </c>
      <c r="V18" s="335">
        <f t="shared" si="3"/>
        <v>0</v>
      </c>
      <c r="W18" s="335">
        <f t="shared" si="3"/>
        <v>0</v>
      </c>
      <c r="X18" s="335">
        <f t="shared" si="3"/>
        <v>0</v>
      </c>
      <c r="Y18" s="335">
        <f t="shared" si="3"/>
        <v>0</v>
      </c>
      <c r="Z18" s="335">
        <f t="shared" si="3"/>
        <v>0</v>
      </c>
      <c r="AA18" s="335">
        <f t="shared" si="3"/>
        <v>0</v>
      </c>
      <c r="AB18" s="335">
        <f t="shared" si="3"/>
        <v>0</v>
      </c>
      <c r="AC18" s="335">
        <f t="shared" si="3"/>
        <v>0</v>
      </c>
      <c r="AD18" s="335">
        <f t="shared" si="3"/>
        <v>0</v>
      </c>
      <c r="AE18" s="335">
        <f t="shared" si="3"/>
        <v>0</v>
      </c>
      <c r="AF18" s="335">
        <f t="shared" si="3"/>
        <v>0</v>
      </c>
      <c r="AG18" s="335">
        <f t="shared" si="3"/>
        <v>0</v>
      </c>
      <c r="AH18" s="335">
        <f t="shared" si="3"/>
        <v>0</v>
      </c>
      <c r="AI18" s="335">
        <f t="shared" si="3"/>
        <v>0</v>
      </c>
      <c r="AJ18" s="335">
        <f t="shared" si="3"/>
        <v>0</v>
      </c>
      <c r="AK18" s="335">
        <f t="shared" si="3"/>
        <v>0</v>
      </c>
      <c r="AL18" s="335">
        <f t="shared" si="3"/>
        <v>0</v>
      </c>
      <c r="AM18" s="335">
        <f t="shared" si="3"/>
        <v>0</v>
      </c>
      <c r="AN18" s="335">
        <f t="shared" si="3"/>
        <v>0</v>
      </c>
      <c r="AO18" s="335">
        <f t="shared" si="3"/>
        <v>0</v>
      </c>
      <c r="AP18" s="335">
        <f t="shared" si="3"/>
        <v>0</v>
      </c>
      <c r="AQ18" s="335">
        <f t="shared" si="3"/>
        <v>0</v>
      </c>
      <c r="AR18" s="335">
        <f t="shared" si="3"/>
        <v>0</v>
      </c>
      <c r="AS18" s="335">
        <f t="shared" si="3"/>
        <v>0</v>
      </c>
      <c r="AT18" s="335">
        <f t="shared" si="3"/>
        <v>0</v>
      </c>
      <c r="AU18" s="335">
        <f t="shared" si="3"/>
        <v>0</v>
      </c>
      <c r="AV18" s="335">
        <f t="shared" si="3"/>
        <v>0</v>
      </c>
      <c r="AW18" s="335">
        <f t="shared" si="3"/>
        <v>0</v>
      </c>
      <c r="AX18" s="335">
        <f t="shared" si="3"/>
        <v>0</v>
      </c>
      <c r="AY18" s="335">
        <f t="shared" si="3"/>
        <v>0</v>
      </c>
      <c r="AZ18" s="335">
        <f t="shared" si="3"/>
        <v>0</v>
      </c>
      <c r="BA18" s="335">
        <f t="shared" si="3"/>
        <v>0</v>
      </c>
      <c r="BB18" s="335">
        <f t="shared" si="3"/>
        <v>0</v>
      </c>
      <c r="BC18" s="335">
        <f t="shared" si="3"/>
        <v>0</v>
      </c>
      <c r="BD18" s="335">
        <f t="shared" si="3"/>
        <v>0</v>
      </c>
      <c r="BE18" s="335">
        <f t="shared" si="3"/>
        <v>0</v>
      </c>
      <c r="BF18" s="335">
        <f t="shared" si="3"/>
        <v>0</v>
      </c>
      <c r="BG18" s="335">
        <f t="shared" si="3"/>
        <v>0</v>
      </c>
      <c r="BH18" s="335">
        <f t="shared" si="3"/>
        <v>0</v>
      </c>
      <c r="BI18" s="335">
        <f t="shared" si="3"/>
        <v>0</v>
      </c>
      <c r="BJ18" s="335">
        <f t="shared" si="3"/>
        <v>0</v>
      </c>
      <c r="BK18" s="335">
        <f t="shared" si="3"/>
        <v>0</v>
      </c>
      <c r="BL18" s="335">
        <f t="shared" si="3"/>
        <v>0</v>
      </c>
    </row>
    <row r="19" spans="1:64" s="335" customFormat="1" x14ac:dyDescent="0.15">
      <c r="C19" s="407" t="s">
        <v>495</v>
      </c>
      <c r="E19" s="335">
        <f t="shared" ref="E19:BL19" si="4">E17-E18</f>
        <v>-3.535832885099023</v>
      </c>
      <c r="F19" s="335">
        <f t="shared" si="4"/>
        <v>0</v>
      </c>
      <c r="G19" s="335">
        <f t="shared" si="4"/>
        <v>0</v>
      </c>
      <c r="H19" s="335">
        <f t="shared" si="4"/>
        <v>0</v>
      </c>
      <c r="I19" s="335">
        <f t="shared" si="4"/>
        <v>0</v>
      </c>
      <c r="J19" s="335">
        <f t="shared" si="4"/>
        <v>0</v>
      </c>
      <c r="K19" s="335">
        <f t="shared" si="4"/>
        <v>0</v>
      </c>
      <c r="L19" s="335">
        <f t="shared" si="4"/>
        <v>0</v>
      </c>
      <c r="M19" s="335">
        <f t="shared" si="4"/>
        <v>0</v>
      </c>
      <c r="N19" s="335">
        <f t="shared" si="4"/>
        <v>0</v>
      </c>
      <c r="O19" s="335">
        <f t="shared" si="4"/>
        <v>0</v>
      </c>
      <c r="P19" s="335">
        <f t="shared" si="4"/>
        <v>0</v>
      </c>
      <c r="Q19" s="335">
        <f t="shared" si="4"/>
        <v>0</v>
      </c>
      <c r="R19" s="335">
        <f t="shared" si="4"/>
        <v>0</v>
      </c>
      <c r="S19" s="335">
        <f t="shared" si="4"/>
        <v>0</v>
      </c>
      <c r="T19" s="335">
        <f t="shared" si="4"/>
        <v>0</v>
      </c>
      <c r="U19" s="335">
        <f t="shared" si="4"/>
        <v>0</v>
      </c>
      <c r="V19" s="335">
        <f t="shared" si="4"/>
        <v>0</v>
      </c>
      <c r="W19" s="335">
        <f t="shared" si="4"/>
        <v>0</v>
      </c>
      <c r="X19" s="335">
        <f t="shared" si="4"/>
        <v>0</v>
      </c>
      <c r="Y19" s="335">
        <f t="shared" si="4"/>
        <v>0</v>
      </c>
      <c r="Z19" s="335">
        <f t="shared" si="4"/>
        <v>0</v>
      </c>
      <c r="AA19" s="335">
        <f t="shared" si="4"/>
        <v>0</v>
      </c>
      <c r="AB19" s="335">
        <f t="shared" si="4"/>
        <v>0</v>
      </c>
      <c r="AC19" s="335">
        <f t="shared" si="4"/>
        <v>0</v>
      </c>
      <c r="AD19" s="335">
        <f t="shared" si="4"/>
        <v>0</v>
      </c>
      <c r="AE19" s="335">
        <f t="shared" si="4"/>
        <v>0</v>
      </c>
      <c r="AF19" s="335">
        <f t="shared" si="4"/>
        <v>0</v>
      </c>
      <c r="AG19" s="335">
        <f t="shared" si="4"/>
        <v>0</v>
      </c>
      <c r="AH19" s="335">
        <f t="shared" si="4"/>
        <v>0</v>
      </c>
      <c r="AI19" s="335">
        <f t="shared" si="4"/>
        <v>0</v>
      </c>
      <c r="AJ19" s="335">
        <f t="shared" si="4"/>
        <v>0</v>
      </c>
      <c r="AK19" s="335">
        <f t="shared" si="4"/>
        <v>0</v>
      </c>
      <c r="AL19" s="335">
        <f t="shared" si="4"/>
        <v>0</v>
      </c>
      <c r="AM19" s="335">
        <f t="shared" si="4"/>
        <v>0</v>
      </c>
      <c r="AN19" s="335">
        <f t="shared" si="4"/>
        <v>0</v>
      </c>
      <c r="AO19" s="335">
        <f t="shared" si="4"/>
        <v>0</v>
      </c>
      <c r="AP19" s="335">
        <f t="shared" si="4"/>
        <v>0</v>
      </c>
      <c r="AQ19" s="335">
        <f t="shared" si="4"/>
        <v>0</v>
      </c>
      <c r="AR19" s="335">
        <f t="shared" si="4"/>
        <v>0</v>
      </c>
      <c r="AS19" s="335">
        <f t="shared" si="4"/>
        <v>0</v>
      </c>
      <c r="AT19" s="335">
        <f t="shared" si="4"/>
        <v>0</v>
      </c>
      <c r="AU19" s="335">
        <f t="shared" si="4"/>
        <v>0</v>
      </c>
      <c r="AV19" s="335">
        <f t="shared" si="4"/>
        <v>0</v>
      </c>
      <c r="AW19" s="335">
        <f t="shared" si="4"/>
        <v>0</v>
      </c>
      <c r="AX19" s="335">
        <f t="shared" si="4"/>
        <v>0</v>
      </c>
      <c r="AY19" s="335">
        <f t="shared" si="4"/>
        <v>0</v>
      </c>
      <c r="AZ19" s="335">
        <f t="shared" si="4"/>
        <v>0</v>
      </c>
      <c r="BA19" s="335">
        <f t="shared" si="4"/>
        <v>0</v>
      </c>
      <c r="BB19" s="335">
        <f t="shared" si="4"/>
        <v>0</v>
      </c>
      <c r="BC19" s="335">
        <f t="shared" si="4"/>
        <v>0</v>
      </c>
      <c r="BD19" s="335">
        <f t="shared" si="4"/>
        <v>0</v>
      </c>
      <c r="BE19" s="335">
        <f t="shared" si="4"/>
        <v>0</v>
      </c>
      <c r="BF19" s="335">
        <f t="shared" si="4"/>
        <v>0</v>
      </c>
      <c r="BG19" s="335">
        <f t="shared" si="4"/>
        <v>0</v>
      </c>
      <c r="BH19" s="335">
        <f t="shared" si="4"/>
        <v>0</v>
      </c>
      <c r="BI19" s="335">
        <f t="shared" si="4"/>
        <v>0</v>
      </c>
      <c r="BJ19" s="335">
        <f t="shared" si="4"/>
        <v>0</v>
      </c>
      <c r="BK19" s="335">
        <f t="shared" si="4"/>
        <v>0</v>
      </c>
      <c r="BL19" s="335">
        <f t="shared" si="4"/>
        <v>0</v>
      </c>
    </row>
    <row r="20" spans="1:64" s="335" customFormat="1" x14ac:dyDescent="0.15">
      <c r="C20" s="407"/>
    </row>
    <row r="21" spans="1:64" x14ac:dyDescent="0.15">
      <c r="E21" s="335"/>
      <c r="F21" s="335"/>
      <c r="G21" s="335"/>
      <c r="H21" s="335"/>
      <c r="I21" s="335"/>
      <c r="J21" s="335"/>
      <c r="K21" s="335"/>
      <c r="L21" s="335"/>
      <c r="M21" s="335"/>
      <c r="N21" s="335"/>
      <c r="O21" s="335"/>
      <c r="P21" s="335"/>
      <c r="Q21" s="335"/>
      <c r="R21" s="335"/>
      <c r="S21" s="335"/>
      <c r="T21" s="335"/>
      <c r="U21" s="335"/>
      <c r="V21" s="335"/>
      <c r="W21" s="335"/>
      <c r="X21" s="335"/>
      <c r="Y21" s="335"/>
      <c r="Z21" s="335"/>
      <c r="AA21" s="335"/>
      <c r="AB21" s="335"/>
      <c r="AC21" s="335"/>
      <c r="AD21" s="335"/>
      <c r="AE21" s="335"/>
      <c r="AF21" s="335"/>
      <c r="AG21" s="335"/>
      <c r="AH21" s="335"/>
      <c r="AI21" s="335"/>
      <c r="AJ21" s="335"/>
      <c r="AK21" s="335"/>
      <c r="AL21" s="335"/>
      <c r="AM21" s="335"/>
      <c r="AN21" s="335"/>
      <c r="AO21" s="335"/>
      <c r="AP21" s="335"/>
      <c r="AQ21" s="335"/>
      <c r="AR21" s="335"/>
      <c r="AS21" s="335"/>
      <c r="AT21" s="335"/>
      <c r="AU21" s="335"/>
      <c r="AV21" s="335"/>
      <c r="AW21" s="335"/>
      <c r="AX21" s="335"/>
      <c r="AY21" s="335"/>
      <c r="AZ21" s="335"/>
      <c r="BA21" s="335"/>
      <c r="BB21" s="335"/>
      <c r="BC21" s="335"/>
      <c r="BD21" s="335"/>
      <c r="BE21" s="335"/>
      <c r="BF21" s="335"/>
      <c r="BG21" s="335"/>
      <c r="BH21" s="335"/>
      <c r="BI21" s="335"/>
      <c r="BJ21" s="335"/>
      <c r="BK21" s="335"/>
      <c r="BL21" s="335"/>
    </row>
    <row r="22" spans="1:64" x14ac:dyDescent="0.15">
      <c r="C22" s="337" t="s">
        <v>496</v>
      </c>
      <c r="D22" s="337"/>
      <c r="E22" s="408">
        <f>IF(E5&gt;Leadsheet!$E$12,0,IFERROR(E19/D16*D25*(1-Leadsheet!$D$76),0))</f>
        <v>-3.2741812516016959</v>
      </c>
      <c r="F22" s="408">
        <f>IF(F5&gt;Leadsheet!$E$12,0,IFERROR(F19/E16*E25*(1-Leadsheet!$D$76),0))</f>
        <v>0</v>
      </c>
      <c r="G22" s="408">
        <f>IF(G5&gt;Leadsheet!$E$12,0,IFERROR(G19/F16*F25*(1-Leadsheet!$D$76),0))</f>
        <v>0</v>
      </c>
      <c r="H22" s="408">
        <f>IF(H5&gt;Leadsheet!$E$12,0,IFERROR(H19/G16*G25*(1-Leadsheet!$D$76),0))</f>
        <v>0</v>
      </c>
      <c r="I22" s="408">
        <f>IF(I5&gt;Leadsheet!$E$12,0,IFERROR(I19/H16*H25*(1-Leadsheet!$D$76),0))</f>
        <v>0</v>
      </c>
      <c r="J22" s="408">
        <f>IF(J5&gt;Leadsheet!$E$12,0,IFERROR(J19/I16*I25*(1-Leadsheet!$D$76),0))</f>
        <v>0</v>
      </c>
      <c r="K22" s="408">
        <f>IF(K5&gt;Leadsheet!$E$12,0,IFERROR(K19/J16*J25*(1-Leadsheet!$D$76),0))</f>
        <v>0</v>
      </c>
      <c r="L22" s="408">
        <f>IF(L5&gt;Leadsheet!$E$12,0,IFERROR(L19/K16*K25*(1-Leadsheet!$D$76),0))</f>
        <v>0</v>
      </c>
      <c r="M22" s="408">
        <f>IF(M5&gt;Leadsheet!$E$12,0,IFERROR(M19/L16*L25*(1-Leadsheet!$D$76),0))</f>
        <v>0</v>
      </c>
      <c r="N22" s="408">
        <f>IF(N5&gt;Leadsheet!$E$12,0,IFERROR(N19/M16*M25*(1-Leadsheet!$D$76),0))</f>
        <v>0</v>
      </c>
      <c r="O22" s="408">
        <f>IF(O5&gt;Leadsheet!$E$12,0,IFERROR(O19/N16*N25*(1-Leadsheet!$D$76),0))</f>
        <v>0</v>
      </c>
      <c r="P22" s="408">
        <f>IF(P5&gt;Leadsheet!$E$12,0,IFERROR(P19/O16*O25*(1-Leadsheet!$D$76),0))</f>
        <v>0</v>
      </c>
      <c r="Q22" s="408">
        <f>IF(Q5&gt;Leadsheet!$E$12,0,IFERROR(Q19/P16*P25*(1-Leadsheet!$D$76),0))</f>
        <v>0</v>
      </c>
      <c r="R22" s="408">
        <f>IF(R5&gt;Leadsheet!$E$12,0,IFERROR(R19/Q16*Q25*(1-Leadsheet!$D$76),0))</f>
        <v>0</v>
      </c>
      <c r="S22" s="408">
        <f>IF(S5&gt;Leadsheet!$E$12,0,IFERROR(S19/R16*R25*(1-Leadsheet!$D$76),0))</f>
        <v>0</v>
      </c>
      <c r="T22" s="408">
        <f>IF(T5&gt;Leadsheet!$E$12,0,IFERROR(T19/S16*S25*(1-Leadsheet!$D$76),0))</f>
        <v>0</v>
      </c>
      <c r="U22" s="408">
        <f>IF(U5&gt;Leadsheet!$E$12,0,IFERROR(U19/T16*T25*(1-Leadsheet!$D$76),0))</f>
        <v>0</v>
      </c>
      <c r="V22" s="408">
        <f>IF(V5&gt;Leadsheet!$E$12,0,IFERROR(V19/U16*U25*(1-Leadsheet!$D$76),0))</f>
        <v>0</v>
      </c>
      <c r="W22" s="408">
        <f>IF(W5&gt;Leadsheet!$E$12,0,IFERROR(W19/V16*V25*(1-Leadsheet!$D$76),0))</f>
        <v>0</v>
      </c>
      <c r="X22" s="408">
        <f>IF(X5&gt;Leadsheet!$E$12,0,IFERROR(X19/W16*W25*(1-Leadsheet!$D$76),0))</f>
        <v>0</v>
      </c>
      <c r="Y22" s="408">
        <f>IF(Y5&gt;Leadsheet!$E$12,0,IFERROR(Y19/X16*X25*(1-Leadsheet!$D$76),0))</f>
        <v>0</v>
      </c>
      <c r="Z22" s="408">
        <f>IF(Z5&gt;Leadsheet!$E$12,0,IFERROR(Z19/Y16*Y25*(1-Leadsheet!$D$76),0))</f>
        <v>0</v>
      </c>
      <c r="AA22" s="408">
        <f>IF(AA5&gt;Leadsheet!$E$12,0,IFERROR(AA19/Z16*Z25*(1-Leadsheet!$D$76),0))</f>
        <v>0</v>
      </c>
      <c r="AB22" s="408">
        <f>IF(AB5&gt;Leadsheet!$E$12,0,IFERROR(AB19/AA16*AA25*(1-Leadsheet!$D$76),0))</f>
        <v>0</v>
      </c>
      <c r="AC22" s="408">
        <f>IF(AC5&gt;Leadsheet!$E$12,0,IFERROR(AC19/AB16*AB25*(1-Leadsheet!$D$76),0))</f>
        <v>0</v>
      </c>
      <c r="AD22" s="408">
        <f>IF(AD5&gt;Leadsheet!$E$12,0,IFERROR(AD19/AC16*AC25*(1-Leadsheet!$D$76),0))</f>
        <v>0</v>
      </c>
      <c r="AE22" s="408">
        <f>IF(AE5&gt;Leadsheet!$E$12,0,IFERROR(AE19/AD16*AD25*(1-Leadsheet!$D$76),0))</f>
        <v>0</v>
      </c>
      <c r="AF22" s="408">
        <f>IF(AF5&gt;Leadsheet!$E$12,0,IFERROR(AF19/AE16*AE25*(1-Leadsheet!$D$76),0))</f>
        <v>0</v>
      </c>
      <c r="AG22" s="408">
        <f>IF(AG5&gt;Leadsheet!$E$12,0,IFERROR(AG19/AF16*AF25*(1-Leadsheet!$D$76),0))</f>
        <v>0</v>
      </c>
      <c r="AH22" s="408">
        <f>IF(AH5&gt;Leadsheet!$E$12,0,IFERROR(AH19/AG16*AG25*(1-Leadsheet!$D$76),0))</f>
        <v>0</v>
      </c>
      <c r="AI22" s="408">
        <f>IF(AI5&gt;Leadsheet!$E$12,0,IFERROR(AI19/AH16*AH25*(1-Leadsheet!$D$76),0))</f>
        <v>0</v>
      </c>
      <c r="AJ22" s="408">
        <f>IF(AJ5&gt;Leadsheet!$E$12,0,IFERROR(AJ19/AI16*AI25*(1-Leadsheet!$D$76),0))</f>
        <v>0</v>
      </c>
      <c r="AK22" s="408">
        <f>IF(AK5&gt;Leadsheet!$E$12,0,IFERROR(AK19/AJ16*AJ25*(1-Leadsheet!$D$76),0))</f>
        <v>0</v>
      </c>
      <c r="AL22" s="408">
        <f>IF(AL5&gt;Leadsheet!$E$12,0,IFERROR(AL19/AK16*AK25*(1-Leadsheet!$D$76),0))</f>
        <v>0</v>
      </c>
      <c r="AM22" s="408">
        <f>IF(AM5&gt;Leadsheet!$E$12,0,IFERROR(AM19/AL16*AL25*(1-Leadsheet!$D$76),0))</f>
        <v>0</v>
      </c>
      <c r="AN22" s="408">
        <f>IF(AN5&gt;Leadsheet!$E$12,0,IFERROR(AN19/AM16*AM25*(1-Leadsheet!$D$76),0))</f>
        <v>0</v>
      </c>
      <c r="AO22" s="408">
        <f>IF(AO5&gt;Leadsheet!$E$12,0,IFERROR(AO19/AN16*AN25*(1-Leadsheet!$D$76),0))</f>
        <v>0</v>
      </c>
      <c r="AP22" s="408">
        <f>IF(AP5&gt;Leadsheet!$E$12,0,IFERROR(AP19/AO16*AO25*(1-Leadsheet!$D$76),0))</f>
        <v>0</v>
      </c>
      <c r="AQ22" s="408">
        <f>IF(AQ5&gt;Leadsheet!$E$12,0,IFERROR(AQ19/AP16*AP25*(1-Leadsheet!$D$76),0))</f>
        <v>0</v>
      </c>
      <c r="AR22" s="408">
        <f>IF(AR5&gt;Leadsheet!$E$12,0,IFERROR(AR19/AQ16*AQ25*(1-Leadsheet!$D$76),0))</f>
        <v>0</v>
      </c>
      <c r="AS22" s="408">
        <f>IF(AS5&gt;Leadsheet!$E$12,0,IFERROR(AS19/AR16*AR25*(1-Leadsheet!$D$76),0))</f>
        <v>0</v>
      </c>
      <c r="AT22" s="408">
        <f>IF(AT5&gt;Leadsheet!$E$12,0,IFERROR(AT19/AS16*AS25*(1-Leadsheet!$D$76),0))</f>
        <v>0</v>
      </c>
      <c r="AU22" s="408">
        <f>IF(AU5&gt;Leadsheet!$E$12,0,IFERROR(AU19/AT16*AT25*(1-Leadsheet!$D$76),0))</f>
        <v>0</v>
      </c>
      <c r="AV22" s="408">
        <f>IF(AV5&gt;Leadsheet!$E$12,0,IFERROR(AV19/AU16*AU25*(1-Leadsheet!$D$76),0))</f>
        <v>0</v>
      </c>
      <c r="AW22" s="408">
        <f>IF(AW5&gt;Leadsheet!$E$12,0,IFERROR(AW19/AV16*AV25*(1-Leadsheet!$D$76),0))</f>
        <v>0</v>
      </c>
      <c r="AX22" s="408">
        <f>IF(AX5&gt;Leadsheet!$E$12,0,IFERROR(AX19/AW16*AW25*(1-Leadsheet!$D$76),0))</f>
        <v>0</v>
      </c>
      <c r="AY22" s="408">
        <f>IF(AY5&gt;Leadsheet!$E$12,0,IFERROR(AY19/AX16*AX25*(1-Leadsheet!$D$76),0))</f>
        <v>0</v>
      </c>
      <c r="AZ22" s="408">
        <f>IF(AZ5&gt;Leadsheet!$E$12,0,IFERROR(AZ19/AY16*AY25*(1-Leadsheet!$D$76),0))</f>
        <v>0</v>
      </c>
      <c r="BA22" s="408">
        <f>IF(BA5&gt;Leadsheet!$E$12,0,IFERROR(BA19/AZ16*AZ25*(1-Leadsheet!$D$76),0))</f>
        <v>0</v>
      </c>
      <c r="BB22" s="408">
        <f>IF(BB5&gt;Leadsheet!$E$12,0,IFERROR(BB19/BA16*BA25*(1-Leadsheet!$D$76),0))</f>
        <v>0</v>
      </c>
      <c r="BC22" s="408">
        <f>IF(BC5&gt;Leadsheet!$E$12,0,IFERROR(BC19/BB16*BB25*(1-Leadsheet!$D$76),0))</f>
        <v>0</v>
      </c>
      <c r="BD22" s="408">
        <f>IF(BD5&gt;Leadsheet!$E$12,0,IFERROR(BD19/BC16*BC25*(1-Leadsheet!$D$76),0))</f>
        <v>0</v>
      </c>
      <c r="BE22" s="408">
        <f>IF(BE5&gt;Leadsheet!$E$12,0,IFERROR(BE19/BD16*BD25*(1-Leadsheet!$D$76),0))</f>
        <v>0</v>
      </c>
      <c r="BF22" s="408">
        <f>IF(BF5&gt;Leadsheet!$E$12,0,IFERROR(BF19/BE16*BE25*(1-Leadsheet!$D$76),0))</f>
        <v>0</v>
      </c>
      <c r="BG22" s="408">
        <f>IF(BG5&gt;Leadsheet!$E$12,0,IFERROR(BG19/BF16*BF25*(1-Leadsheet!$D$76),0))</f>
        <v>0</v>
      </c>
      <c r="BH22" s="408">
        <f>IF(BH5&gt;Leadsheet!$E$12,0,IFERROR(BH19/BG16*BG25*(1-Leadsheet!$D$76),0))</f>
        <v>0</v>
      </c>
      <c r="BI22" s="408">
        <f>IF(BI5&gt;Leadsheet!$E$12,0,IFERROR(BI19/BH16*BH25*(1-Leadsheet!$D$76),0))</f>
        <v>0</v>
      </c>
      <c r="BJ22" s="408">
        <f>IF(BJ5&gt;Leadsheet!$E$12,0,IFERROR(BJ19/BI16*BI25*(1-Leadsheet!$D$76),0))</f>
        <v>0</v>
      </c>
      <c r="BK22" s="408">
        <f>IF(BK5&gt;Leadsheet!$E$12,0,IFERROR(BK19/BJ16*BJ25*(1-Leadsheet!$D$76),0))</f>
        <v>0</v>
      </c>
      <c r="BL22" s="408">
        <f>IF(BL5&gt;Leadsheet!$E$12,0,IFERROR(BL19/BK16*BK25*(1-Leadsheet!$D$76),0))</f>
        <v>0</v>
      </c>
    </row>
    <row r="23" spans="1:64" x14ac:dyDescent="0.15">
      <c r="E23" s="279"/>
      <c r="F23" s="279"/>
      <c r="G23" s="279"/>
      <c r="H23" s="279"/>
      <c r="I23" s="279"/>
      <c r="J23" s="279"/>
      <c r="K23" s="279"/>
      <c r="L23" s="279"/>
      <c r="M23" s="279"/>
      <c r="N23" s="279"/>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79"/>
      <c r="BB23" s="279"/>
      <c r="BC23" s="279"/>
      <c r="BD23" s="335"/>
      <c r="BE23" s="335"/>
      <c r="BF23" s="335"/>
      <c r="BG23" s="335"/>
      <c r="BH23" s="335"/>
      <c r="BI23" s="335"/>
      <c r="BJ23" s="335"/>
      <c r="BK23" s="335"/>
      <c r="BL23" s="335"/>
    </row>
    <row r="24" spans="1:64" s="337" customFormat="1" x14ac:dyDescent="0.15">
      <c r="A24" s="409" t="s">
        <v>497</v>
      </c>
      <c r="B24" s="409" t="s">
        <v>412</v>
      </c>
      <c r="C24" s="394" t="s">
        <v>498</v>
      </c>
      <c r="D24" s="406"/>
      <c r="E24" s="406"/>
      <c r="F24" s="406"/>
      <c r="G24" s="406"/>
      <c r="H24" s="406"/>
      <c r="I24" s="406"/>
      <c r="J24" s="406"/>
      <c r="K24" s="406"/>
      <c r="L24" s="406"/>
      <c r="M24" s="406"/>
      <c r="N24" s="406"/>
      <c r="O24" s="406"/>
      <c r="P24" s="406"/>
      <c r="Q24" s="406"/>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6"/>
      <c r="BD24" s="406"/>
      <c r="BE24" s="406"/>
      <c r="BF24" s="406"/>
      <c r="BG24" s="406"/>
      <c r="BH24" s="406"/>
      <c r="BI24" s="406"/>
      <c r="BJ24" s="406"/>
      <c r="BK24" s="406"/>
      <c r="BL24" s="406"/>
    </row>
    <row r="25" spans="1:64" s="335" customFormat="1" x14ac:dyDescent="0.15">
      <c r="A25" s="410" t="s">
        <v>499</v>
      </c>
      <c r="B25" s="411">
        <v>0</v>
      </c>
      <c r="C25" s="257" t="s">
        <v>500</v>
      </c>
      <c r="D25" s="412">
        <f>Leadsheet!E10</f>
        <v>3.5358328850990226</v>
      </c>
      <c r="E25" s="413">
        <f>IF(E5&gt;=Leadsheet!$E$12,0,D42+E22-SUM(E26:E39))</f>
        <v>0</v>
      </c>
      <c r="F25" s="413">
        <f>IF(F5&gt;=Leadsheet!$E$12,0,E42+F22-SUM(F26:F39))</f>
        <v>0</v>
      </c>
      <c r="G25" s="413">
        <f>IF(G5&gt;=Leadsheet!$E$12,0,F42+G22-SUM(G26:G39))</f>
        <v>0</v>
      </c>
      <c r="H25" s="413">
        <f>IF(H5&gt;=Leadsheet!$E$12,0,G42+H22-SUM(H26:H39))</f>
        <v>0</v>
      </c>
      <c r="I25" s="413">
        <f>IF(I5&gt;=Leadsheet!$E$12,0,H42+I22-SUM(I26:I39))</f>
        <v>0</v>
      </c>
      <c r="J25" s="413">
        <f>IF(J5&gt;=Leadsheet!$E$12,0,I42+J22-SUM(J26:J39))</f>
        <v>0</v>
      </c>
      <c r="K25" s="413">
        <f>IF(K5&gt;=Leadsheet!$E$12,0,J42+K22-SUM(K26:K39))</f>
        <v>0</v>
      </c>
      <c r="L25" s="413">
        <f>IF(L5&gt;=Leadsheet!$E$12,0,K42+L22-SUM(L26:L39))</f>
        <v>0</v>
      </c>
      <c r="M25" s="413">
        <f>IF(M5&gt;=Leadsheet!$E$12,0,L42+M22-SUM(M26:M39))</f>
        <v>0</v>
      </c>
      <c r="N25" s="413">
        <f>IF(N5&gt;=Leadsheet!$E$12,0,M42+N22-SUM(N26:N39))</f>
        <v>0</v>
      </c>
      <c r="O25" s="413">
        <f>IF(O5&gt;=Leadsheet!$E$12,0,N42+O22-SUM(O26:O39))</f>
        <v>0</v>
      </c>
      <c r="P25" s="413">
        <f>IF(P5&gt;=Leadsheet!$E$12,0,O42+P22-SUM(P26:P39))</f>
        <v>0</v>
      </c>
      <c r="Q25" s="413">
        <f>IF(Q5&gt;=Leadsheet!$E$12,0,P42+Q22-SUM(Q26:Q39))</f>
        <v>0</v>
      </c>
      <c r="R25" s="413">
        <f>IF(R5&gt;=Leadsheet!$E$12,0,Q42+R22-SUM(R26:R39))</f>
        <v>0</v>
      </c>
      <c r="S25" s="413">
        <f>IF(S5&gt;=Leadsheet!$E$12,0,R42+S22-SUM(S26:S39))</f>
        <v>0</v>
      </c>
      <c r="T25" s="413">
        <f>IF(T5&gt;=Leadsheet!$E$12,0,S42+T22-SUM(T26:T39))</f>
        <v>0</v>
      </c>
      <c r="U25" s="413">
        <f>IF(U5&gt;=Leadsheet!$E$12,0,T42+U22-SUM(U26:U39))</f>
        <v>0</v>
      </c>
      <c r="V25" s="413">
        <f>IF(V5&gt;=Leadsheet!$E$12,0,U42+V22-SUM(V26:V39))</f>
        <v>0</v>
      </c>
      <c r="W25" s="413">
        <f>IF(W5&gt;=Leadsheet!$E$12,0,V42+W22-SUM(W26:W39))</f>
        <v>0</v>
      </c>
      <c r="X25" s="413">
        <f>IF(X5&gt;=Leadsheet!$E$12,0,W42+X22-SUM(X26:X39))</f>
        <v>0</v>
      </c>
      <c r="Y25" s="413">
        <f>IF(Y5&gt;=Leadsheet!$E$12,0,X42+Y22-SUM(Y26:Y39))</f>
        <v>0</v>
      </c>
      <c r="Z25" s="413">
        <f>IF(Z5&gt;=Leadsheet!$E$12,0,Y42+Z22-SUM(Z26:Z39))</f>
        <v>0</v>
      </c>
      <c r="AA25" s="413">
        <f>IF(AA5&gt;=Leadsheet!$E$12,0,Z42+AA22-SUM(AA26:AA39))</f>
        <v>0</v>
      </c>
      <c r="AB25" s="413">
        <f>IF(AB5&gt;=Leadsheet!$E$12,0,AA42+AB22-SUM(AB26:AB39))</f>
        <v>0</v>
      </c>
      <c r="AC25" s="413">
        <f>IF(AC5&gt;=Leadsheet!$E$12,0,AB42+AC22-SUM(AC26:AC39))</f>
        <v>0</v>
      </c>
      <c r="AD25" s="413">
        <f>IF(AD5&gt;=Leadsheet!$E$12,0,AC42+AD22-SUM(AD26:AD39))</f>
        <v>0</v>
      </c>
      <c r="AE25" s="413">
        <f>IF(AE5&gt;=Leadsheet!$E$12,0,AD42+AE22-SUM(AE26:AE39))</f>
        <v>0</v>
      </c>
      <c r="AF25" s="413">
        <f>IF(AF5&gt;=Leadsheet!$E$12,0,AE42+AF22-SUM(AF26:AF39))</f>
        <v>0</v>
      </c>
      <c r="AG25" s="413">
        <f>IF(AG5&gt;=Leadsheet!$E$12,0,AF42+AG22-SUM(AG26:AG39))</f>
        <v>0</v>
      </c>
      <c r="AH25" s="413">
        <f>IF(AH5&gt;=Leadsheet!$E$12,0,AG42+AH22-SUM(AH26:AH39))</f>
        <v>0</v>
      </c>
      <c r="AI25" s="413">
        <f>IF(AI5&gt;=Leadsheet!$E$12,0,AH42+AI22-SUM(AI26:AI39))</f>
        <v>0</v>
      </c>
      <c r="AJ25" s="413">
        <f>IF(AJ5&gt;=Leadsheet!$E$12,0,AI42+AJ22-SUM(AJ26:AJ39))</f>
        <v>0</v>
      </c>
      <c r="AK25" s="413">
        <f>IF(AK5&gt;=Leadsheet!$E$12,0,AJ42+AK22-SUM(AK26:AK39))</f>
        <v>0</v>
      </c>
      <c r="AL25" s="413">
        <f>IF(AL5&gt;=Leadsheet!$E$12,0,AK42+AL22-SUM(AL26:AL39))</f>
        <v>0</v>
      </c>
      <c r="AM25" s="413">
        <f>IF(AM5&gt;=Leadsheet!$E$12,0,AL42+AM22-SUM(AM26:AM39))</f>
        <v>0</v>
      </c>
      <c r="AN25" s="413">
        <f>IF(AN5&gt;=Leadsheet!$E$12,0,AM42+AN22-SUM(AN26:AN39))</f>
        <v>0</v>
      </c>
      <c r="AO25" s="413">
        <f>IF(AO5&gt;=Leadsheet!$E$12,0,AN42+AO22-SUM(AO26:AO39))</f>
        <v>0</v>
      </c>
      <c r="AP25" s="413">
        <f>IF(AP5&gt;=Leadsheet!$E$12,0,AO42+AP22-SUM(AP26:AP39))</f>
        <v>0</v>
      </c>
      <c r="AQ25" s="413">
        <f>IF(AQ5&gt;=Leadsheet!$E$12,0,AP42+AQ22-SUM(AQ26:AQ39))</f>
        <v>0</v>
      </c>
      <c r="AR25" s="413">
        <f>IF(AR5&gt;=Leadsheet!$E$12,0,AQ42+AR22-SUM(AR26:AR39))</f>
        <v>0</v>
      </c>
      <c r="AS25" s="413">
        <f>IF(AS5&gt;=Leadsheet!$E$12,0,AR42+AS22-SUM(AS26:AS39))</f>
        <v>0</v>
      </c>
      <c r="AT25" s="413">
        <f>IF(AT5&gt;=Leadsheet!$E$12,0,AS42+AT22-SUM(AT26:AT39))</f>
        <v>0</v>
      </c>
      <c r="AU25" s="413">
        <f>IF(AU5&gt;=Leadsheet!$E$12,0,AT42+AU22-SUM(AU26:AU39))</f>
        <v>0</v>
      </c>
      <c r="AV25" s="413">
        <f>IF(AV5&gt;=Leadsheet!$E$12,0,AU42+AV22-SUM(AV26:AV39))</f>
        <v>0</v>
      </c>
      <c r="AW25" s="413">
        <f>IF(AW5&gt;=Leadsheet!$E$12,0,AV42+AW22-SUM(AW26:AW39))</f>
        <v>0</v>
      </c>
      <c r="AX25" s="413">
        <f>IF(AX5&gt;=Leadsheet!$E$12,0,AW42+AX22-SUM(AX26:AX39))</f>
        <v>0</v>
      </c>
      <c r="AY25" s="413">
        <f>IF(AY5&gt;=Leadsheet!$E$12,0,AX42+AY22-SUM(AY26:AY39))</f>
        <v>0</v>
      </c>
      <c r="AZ25" s="413">
        <f>IF(AZ5&gt;=Leadsheet!$E$12,0,AY42+AZ22-SUM(AZ26:AZ39))</f>
        <v>0</v>
      </c>
      <c r="BA25" s="413">
        <f>IF(BA5&gt;=Leadsheet!$E$12,0,AZ42+BA22-SUM(BA26:BA39))</f>
        <v>0</v>
      </c>
      <c r="BB25" s="413">
        <f>IF(BB5&gt;=Leadsheet!$E$12,0,BA42+BB22-SUM(BB26:BB39))</f>
        <v>0</v>
      </c>
      <c r="BC25" s="413">
        <f>IF(BC5&gt;=Leadsheet!$E$12,0,BB42+BC22-SUM(BC26:BC39))</f>
        <v>0</v>
      </c>
      <c r="BD25" s="413">
        <f>IF(BD5&gt;=Leadsheet!$E$12,0,BC42+BD22-SUM(BD26:BD39))</f>
        <v>0</v>
      </c>
      <c r="BE25" s="413">
        <f>IF(BE5&gt;=Leadsheet!$E$12,0,BD42+BE22-SUM(BE26:BE39))</f>
        <v>0</v>
      </c>
      <c r="BF25" s="413">
        <f>IF(BF5&gt;=Leadsheet!$E$12,0,BE42+BF22-SUM(BF26:BF39))</f>
        <v>0</v>
      </c>
      <c r="BG25" s="413">
        <f>IF(BG5&gt;=Leadsheet!$E$12,0,BF42+BG22-SUM(BG26:BG39))</f>
        <v>0</v>
      </c>
      <c r="BH25" s="413">
        <f>IF(BH5&gt;=Leadsheet!$E$12,0,BG42+BH22-SUM(BH26:BH39))</f>
        <v>0</v>
      </c>
      <c r="BI25" s="413">
        <f>IF(BI5&gt;=Leadsheet!$E$12,0,BH42+BI22-SUM(BI26:BI39))</f>
        <v>0</v>
      </c>
      <c r="BJ25" s="413">
        <f>IF(BJ5&gt;=Leadsheet!$E$12,0,BI42+BJ22-SUM(BJ26:BJ39))</f>
        <v>0</v>
      </c>
      <c r="BK25" s="413">
        <f>IF(BK5&gt;=Leadsheet!$E$12,0,BJ42+BK22-SUM(BK26:BK39))</f>
        <v>0</v>
      </c>
      <c r="BL25" s="413">
        <f>IF(BL5&gt;=Leadsheet!$E$12,0,BK42+BL22-SUM(BL26:BL39))</f>
        <v>0</v>
      </c>
    </row>
    <row r="26" spans="1:64" s="335" customFormat="1" x14ac:dyDescent="0.15">
      <c r="A26" s="410" t="s">
        <v>501</v>
      </c>
      <c r="B26" s="411">
        <v>30</v>
      </c>
      <c r="C26" s="257" t="s">
        <v>502</v>
      </c>
      <c r="D26" s="412"/>
      <c r="E26" s="413">
        <f>IF(E$5&gt;$D$7,0,D25*Leadsheet!$D76)</f>
        <v>0.26165163349732767</v>
      </c>
      <c r="F26" s="413">
        <f>IF(F$5&gt;$D$7,0,E25*Leadsheet!$D76)</f>
        <v>0</v>
      </c>
      <c r="G26" s="413">
        <f>IF(G$5&gt;$D$7,0,F25*Leadsheet!$D76)</f>
        <v>0</v>
      </c>
      <c r="H26" s="413">
        <f>IF(H$5&gt;$D$7,0,G25*Leadsheet!$D76)</f>
        <v>0</v>
      </c>
      <c r="I26" s="413">
        <f>IF(I$5&gt;$D$7,0,H25*Leadsheet!$D76)</f>
        <v>0</v>
      </c>
      <c r="J26" s="413">
        <f>IF(J$5&gt;$D$7,0,I25*Leadsheet!$D76)</f>
        <v>0</v>
      </c>
      <c r="K26" s="413">
        <f>IF(K$5&gt;$D$7,0,J25*Leadsheet!$D76)</f>
        <v>0</v>
      </c>
      <c r="L26" s="413">
        <f>IF(L$5&gt;$D$7,0,K25*Leadsheet!$D76)</f>
        <v>0</v>
      </c>
      <c r="M26" s="413">
        <f>IF(M$5&gt;$D$7,0,L25*Leadsheet!$D76)</f>
        <v>0</v>
      </c>
      <c r="N26" s="413">
        <f>IF(N$5&gt;$D$7,0,M25*Leadsheet!$D76)</f>
        <v>0</v>
      </c>
      <c r="O26" s="413">
        <f>IF(O$5&gt;$D$7,0,N25*Leadsheet!$D76)</f>
        <v>0</v>
      </c>
      <c r="P26" s="413">
        <f>IF(P$5&gt;$D$7,0,O25*Leadsheet!$D76)</f>
        <v>0</v>
      </c>
      <c r="Q26" s="413">
        <f>IF(Q$5&gt;$D$7,0,P25*Leadsheet!$D76)</f>
        <v>0</v>
      </c>
      <c r="R26" s="413">
        <f>IF(R$5&gt;$D$7,0,Q25*Leadsheet!$D76)</f>
        <v>0</v>
      </c>
      <c r="S26" s="413">
        <f>IF(S$5&gt;$D$7,0,R25*Leadsheet!$D76)</f>
        <v>0</v>
      </c>
      <c r="T26" s="412">
        <f>IF(T$5&gt;$D$7,0,S25*Leadsheet!$D76)</f>
        <v>0</v>
      </c>
      <c r="U26" s="412">
        <f>IF(U$5&gt;$D$7,0,T25*Leadsheet!$D76)</f>
        <v>0</v>
      </c>
      <c r="V26" s="412">
        <f>IF(V$5&gt;$D$7,0,U25*Leadsheet!$D76)</f>
        <v>0</v>
      </c>
      <c r="W26" s="412">
        <f>IF(W$5&gt;$D$7,0,V25*Leadsheet!$D76)</f>
        <v>0</v>
      </c>
      <c r="X26" s="412">
        <f>IF(X$5&gt;$D$7,0,W25*Leadsheet!$D76)</f>
        <v>0</v>
      </c>
      <c r="Y26" s="412">
        <f>IF(Y$5&gt;$D$7,0,X25*Leadsheet!$D76)</f>
        <v>0</v>
      </c>
      <c r="Z26" s="412">
        <f>IF(Z$5&gt;$D$7,0,Y25*Leadsheet!$D76)</f>
        <v>0</v>
      </c>
      <c r="AA26" s="412">
        <f>IF(AA$5&gt;$D$7,0,Z25*Leadsheet!$D76)</f>
        <v>0</v>
      </c>
      <c r="AB26" s="412">
        <f>IF(AB$5&gt;$D$7,0,AA25*Leadsheet!$D76)</f>
        <v>0</v>
      </c>
      <c r="AC26" s="412">
        <f>IF(AC$5&gt;$D$7,0,AB25*Leadsheet!$D76)</f>
        <v>0</v>
      </c>
      <c r="AD26" s="412">
        <f>IF(AD$5&gt;$D$7,0,AC25*Leadsheet!$D76)</f>
        <v>0</v>
      </c>
      <c r="AE26" s="412">
        <f>IF(AE$5&gt;$D$7,0,AD25*Leadsheet!$D76)</f>
        <v>0</v>
      </c>
      <c r="AF26" s="412">
        <f>IF(AF$5&gt;$D$7,0,AE25*Leadsheet!$D76)</f>
        <v>0</v>
      </c>
      <c r="AG26" s="412">
        <f>IF(AG$5&gt;$D$7,0,AF25*Leadsheet!$D76)</f>
        <v>0</v>
      </c>
      <c r="AH26" s="412">
        <f>IF(AH$5&gt;$D$7,0,AG25*Leadsheet!$D76)</f>
        <v>0</v>
      </c>
      <c r="AI26" s="412">
        <f>IF(AI$5&gt;$D$7,0,AH25*Leadsheet!$D76)</f>
        <v>0</v>
      </c>
      <c r="AJ26" s="412">
        <f>IF(AJ$5&gt;$D$7,0,AI25*Leadsheet!$D76)</f>
        <v>0</v>
      </c>
      <c r="AK26" s="412">
        <f>IF(AK$5&gt;$D$7,0,AJ25*Leadsheet!$D76)</f>
        <v>0</v>
      </c>
      <c r="AL26" s="412">
        <f>IF(AL$5&gt;$D$7,0,AK25*Leadsheet!$D76)</f>
        <v>0</v>
      </c>
      <c r="AM26" s="412">
        <f>IF(AM$5&gt;$D$7,0,AL25*Leadsheet!$D76)</f>
        <v>0</v>
      </c>
      <c r="AN26" s="412">
        <f>IF(AN$5&gt;$D$7,0,AM25*Leadsheet!$D76)</f>
        <v>0</v>
      </c>
      <c r="AO26" s="412">
        <f>IF(AO$5&gt;$D$7,0,AN25*Leadsheet!$D76)</f>
        <v>0</v>
      </c>
      <c r="AP26" s="412">
        <f>IF(AP$5&gt;$D$7,0,AO25*Leadsheet!$D76)</f>
        <v>0</v>
      </c>
      <c r="AQ26" s="412">
        <f>IF(AQ$5&gt;$D$7,0,AP25*Leadsheet!$D76)</f>
        <v>0</v>
      </c>
      <c r="AR26" s="412">
        <f>IF(AR$5&gt;$D$7,0,AQ25*Leadsheet!$D76)</f>
        <v>0</v>
      </c>
      <c r="AS26" s="412">
        <f>IF(AS$5&gt;$D$7,0,AR25*Leadsheet!$D76)</f>
        <v>0</v>
      </c>
      <c r="AT26" s="412">
        <f>IF(AT$5&gt;$D$7,0,AS25*Leadsheet!$D76)</f>
        <v>0</v>
      </c>
      <c r="AU26" s="412">
        <f>IF(AU$5&gt;$D$7,0,AT25*Leadsheet!$D76)</f>
        <v>0</v>
      </c>
      <c r="AV26" s="412">
        <f>IF(AV$5&gt;$D$7,0,AU25*Leadsheet!$D76)</f>
        <v>0</v>
      </c>
      <c r="AW26" s="412">
        <f>IF(AW$5&gt;$D$7,0,AV25*Leadsheet!$D76)</f>
        <v>0</v>
      </c>
      <c r="AX26" s="412">
        <f>IF(AX$5&gt;$D$7,0,AW25*Leadsheet!$D76)</f>
        <v>0</v>
      </c>
      <c r="AY26" s="412">
        <f>IF(AY$5&gt;$D$7,0,AX25*Leadsheet!$D76)</f>
        <v>0</v>
      </c>
      <c r="AZ26" s="412">
        <f>IF(AZ$5&gt;$D$7,0,AY25*Leadsheet!$D76)</f>
        <v>0</v>
      </c>
      <c r="BA26" s="412">
        <f>IF(BA$5&gt;$D$7,0,AZ25*Leadsheet!$D76)</f>
        <v>0</v>
      </c>
      <c r="BB26" s="412">
        <f>IF(BB$5&gt;$D$7,0,BA25*Leadsheet!$D76)</f>
        <v>0</v>
      </c>
      <c r="BC26" s="412">
        <f>IF(BC$5&gt;$D$7,0,BB25*Leadsheet!$D76)</f>
        <v>0</v>
      </c>
      <c r="BD26" s="412">
        <f>IF(BD$5&gt;$D$7,0,BC25*Leadsheet!$D76)</f>
        <v>0</v>
      </c>
      <c r="BE26" s="412">
        <f>IF(BE$5&gt;$D$7,0,BD25*Leadsheet!$D76)</f>
        <v>0</v>
      </c>
      <c r="BF26" s="412">
        <f>IF(BF$5&gt;$D$7,0,BE25*Leadsheet!$D76)</f>
        <v>0</v>
      </c>
      <c r="BG26" s="412">
        <f>IF(BG$5&gt;$D$7,0,BF25*Leadsheet!$D76)</f>
        <v>0</v>
      </c>
      <c r="BH26" s="412">
        <f>IF(BH$5&gt;$D$7,0,BG25*Leadsheet!$D76)</f>
        <v>0</v>
      </c>
      <c r="BI26" s="412">
        <f>IF(BI$5&gt;$D$7,0,BH25*Leadsheet!$D76)</f>
        <v>0</v>
      </c>
      <c r="BJ26" s="412">
        <f>IF(BJ$5&gt;$D$7,0,BI25*Leadsheet!$D76)</f>
        <v>0</v>
      </c>
      <c r="BK26" s="412">
        <f>IF(BK$5&gt;$D$7,0,BJ25*Leadsheet!$D76)</f>
        <v>0</v>
      </c>
      <c r="BL26" s="412">
        <f>IF(BL$5&gt;$D$7,0,BK25*Leadsheet!$D76)</f>
        <v>0</v>
      </c>
    </row>
    <row r="27" spans="1:64" s="335" customFormat="1" x14ac:dyDescent="0.15">
      <c r="A27" s="410" t="s">
        <v>501</v>
      </c>
      <c r="B27" s="411">
        <v>60</v>
      </c>
      <c r="C27" s="257" t="s">
        <v>503</v>
      </c>
      <c r="D27" s="412"/>
      <c r="E27" s="413">
        <f>IF(E$5&gt;$D$7,0,D26*Leadsheet!$D77)</f>
        <v>0</v>
      </c>
      <c r="F27" s="413">
        <f>IF(F$5&gt;$D$7,0,E26*Leadsheet!$D77)</f>
        <v>0.20801304863037551</v>
      </c>
      <c r="G27" s="413">
        <f>IF(G$5&gt;$D$7,0,F26*Leadsheet!$D77)</f>
        <v>0</v>
      </c>
      <c r="H27" s="413">
        <f>IF(H$5&gt;$D$7,0,G26*Leadsheet!$D77)</f>
        <v>0</v>
      </c>
      <c r="I27" s="413">
        <f>IF(I$5&gt;$D$7,0,H26*Leadsheet!$D77)</f>
        <v>0</v>
      </c>
      <c r="J27" s="413">
        <f>IF(J$5&gt;$D$7,0,I26*Leadsheet!$D77)</f>
        <v>0</v>
      </c>
      <c r="K27" s="413">
        <f>IF(K$5&gt;$D$7,0,J26*Leadsheet!$D77)</f>
        <v>0</v>
      </c>
      <c r="L27" s="413">
        <f>IF(L$5&gt;$D$7,0,K26*Leadsheet!$D77)</f>
        <v>0</v>
      </c>
      <c r="M27" s="413">
        <f>IF(M$5&gt;$D$7,0,L26*Leadsheet!$D77)</f>
        <v>0</v>
      </c>
      <c r="N27" s="413">
        <f>IF(N$5&gt;$D$7,0,M26*Leadsheet!$D77)</f>
        <v>0</v>
      </c>
      <c r="O27" s="413">
        <f>IF(O$5&gt;$D$7,0,N26*Leadsheet!$D77)</f>
        <v>0</v>
      </c>
      <c r="P27" s="413">
        <f>IF(P$5&gt;$D$7,0,O26*Leadsheet!$D77)</f>
        <v>0</v>
      </c>
      <c r="Q27" s="413">
        <f>IF(Q$5&gt;$D$7,0,P26*Leadsheet!$D77)</f>
        <v>0</v>
      </c>
      <c r="R27" s="413">
        <f>IF(R$5&gt;$D$7,0,Q26*Leadsheet!$D77)</f>
        <v>0</v>
      </c>
      <c r="S27" s="413">
        <f>IF(S$5&gt;$D$7,0,R26*Leadsheet!$D77)</f>
        <v>0</v>
      </c>
      <c r="T27" s="412">
        <f>IF(T$5&gt;$D$7,0,S26*Leadsheet!$D77)</f>
        <v>0</v>
      </c>
      <c r="U27" s="412">
        <f>IF(U$5&gt;$D$7,0,T26*Leadsheet!$D77)</f>
        <v>0</v>
      </c>
      <c r="V27" s="412">
        <f>IF(V$5&gt;$D$7,0,U26*Leadsheet!$D77)</f>
        <v>0</v>
      </c>
      <c r="W27" s="412">
        <f>IF(W$5&gt;$D$7,0,V26*Leadsheet!$D77)</f>
        <v>0</v>
      </c>
      <c r="X27" s="412">
        <f>IF(X$5&gt;$D$7,0,W26*Leadsheet!$D77)</f>
        <v>0</v>
      </c>
      <c r="Y27" s="412">
        <f>IF(Y$5&gt;$D$7,0,X26*Leadsheet!$D77)</f>
        <v>0</v>
      </c>
      <c r="Z27" s="412">
        <f>IF(Z$5&gt;$D$7,0,Y26*Leadsheet!$D77)</f>
        <v>0</v>
      </c>
      <c r="AA27" s="412">
        <f>IF(AA$5&gt;$D$7,0,Z26*Leadsheet!$D77)</f>
        <v>0</v>
      </c>
      <c r="AB27" s="412">
        <f>IF(AB$5&gt;$D$7,0,AA26*Leadsheet!$D77)</f>
        <v>0</v>
      </c>
      <c r="AC27" s="412">
        <f>IF(AC$5&gt;$D$7,0,AB26*Leadsheet!$D77)</f>
        <v>0</v>
      </c>
      <c r="AD27" s="412">
        <f>IF(AD$5&gt;$D$7,0,AC26*Leadsheet!$D77)</f>
        <v>0</v>
      </c>
      <c r="AE27" s="412">
        <f>IF(AE$5&gt;$D$7,0,AD26*Leadsheet!$D77)</f>
        <v>0</v>
      </c>
      <c r="AF27" s="412">
        <f>IF(AF$5&gt;$D$7,0,AE26*Leadsheet!$D77)</f>
        <v>0</v>
      </c>
      <c r="AG27" s="412">
        <f>IF(AG$5&gt;$D$7,0,AF26*Leadsheet!$D77)</f>
        <v>0</v>
      </c>
      <c r="AH27" s="412">
        <f>IF(AH$5&gt;$D$7,0,AG26*Leadsheet!$D77)</f>
        <v>0</v>
      </c>
      <c r="AI27" s="412">
        <f>IF(AI$5&gt;$D$7,0,AH26*Leadsheet!$D77)</f>
        <v>0</v>
      </c>
      <c r="AJ27" s="412">
        <f>IF(AJ$5&gt;$D$7,0,AI26*Leadsheet!$D77)</f>
        <v>0</v>
      </c>
      <c r="AK27" s="412">
        <f>IF(AK$5&gt;$D$7,0,AJ26*Leadsheet!$D77)</f>
        <v>0</v>
      </c>
      <c r="AL27" s="412">
        <f>IF(AL$5&gt;$D$7,0,AK26*Leadsheet!$D77)</f>
        <v>0</v>
      </c>
      <c r="AM27" s="412">
        <f>IF(AM$5&gt;$D$7,0,AL26*Leadsheet!$D77)</f>
        <v>0</v>
      </c>
      <c r="AN27" s="412">
        <f>IF(AN$5&gt;$D$7,0,AM26*Leadsheet!$D77)</f>
        <v>0</v>
      </c>
      <c r="AO27" s="412">
        <f>IF(AO$5&gt;$D$7,0,AN26*Leadsheet!$D77)</f>
        <v>0</v>
      </c>
      <c r="AP27" s="412">
        <f>IF(AP$5&gt;$D$7,0,AO26*Leadsheet!$D77)</f>
        <v>0</v>
      </c>
      <c r="AQ27" s="412">
        <f>IF(AQ$5&gt;$D$7,0,AP26*Leadsheet!$D77)</f>
        <v>0</v>
      </c>
      <c r="AR27" s="412">
        <f>IF(AR$5&gt;$D$7,0,AQ26*Leadsheet!$D77)</f>
        <v>0</v>
      </c>
      <c r="AS27" s="412">
        <f>IF(AS$5&gt;$D$7,0,AR26*Leadsheet!$D77)</f>
        <v>0</v>
      </c>
      <c r="AT27" s="412">
        <f>IF(AT$5&gt;$D$7,0,AS26*Leadsheet!$D77)</f>
        <v>0</v>
      </c>
      <c r="AU27" s="412">
        <f>IF(AU$5&gt;$D$7,0,AT26*Leadsheet!$D77)</f>
        <v>0</v>
      </c>
      <c r="AV27" s="412">
        <f>IF(AV$5&gt;$D$7,0,AU26*Leadsheet!$D77)</f>
        <v>0</v>
      </c>
      <c r="AW27" s="412">
        <f>IF(AW$5&gt;$D$7,0,AV26*Leadsheet!$D77)</f>
        <v>0</v>
      </c>
      <c r="AX27" s="412">
        <f>IF(AX$5&gt;$D$7,0,AW26*Leadsheet!$D77)</f>
        <v>0</v>
      </c>
      <c r="AY27" s="412">
        <f>IF(AY$5&gt;$D$7,0,AX26*Leadsheet!$D77)</f>
        <v>0</v>
      </c>
      <c r="AZ27" s="412">
        <f>IF(AZ$5&gt;$D$7,0,AY26*Leadsheet!$D77)</f>
        <v>0</v>
      </c>
      <c r="BA27" s="412">
        <f>IF(BA$5&gt;$D$7,0,AZ26*Leadsheet!$D77)</f>
        <v>0</v>
      </c>
      <c r="BB27" s="412">
        <f>IF(BB$5&gt;$D$7,0,BA26*Leadsheet!$D77)</f>
        <v>0</v>
      </c>
      <c r="BC27" s="412">
        <f>IF(BC$5&gt;$D$7,0,BB26*Leadsheet!$D77)</f>
        <v>0</v>
      </c>
      <c r="BD27" s="412">
        <f>IF(BD$5&gt;$D$7,0,BC26*Leadsheet!$D77)</f>
        <v>0</v>
      </c>
      <c r="BE27" s="412">
        <f>IF(BE$5&gt;$D$7,0,BD26*Leadsheet!$D77)</f>
        <v>0</v>
      </c>
      <c r="BF27" s="412">
        <f>IF(BF$5&gt;$D$7,0,BE26*Leadsheet!$D77)</f>
        <v>0</v>
      </c>
      <c r="BG27" s="412">
        <f>IF(BG$5&gt;$D$7,0,BF26*Leadsheet!$D77)</f>
        <v>0</v>
      </c>
      <c r="BH27" s="412">
        <f>IF(BH$5&gt;$D$7,0,BG26*Leadsheet!$D77)</f>
        <v>0</v>
      </c>
      <c r="BI27" s="412">
        <f>IF(BI$5&gt;$D$7,0,BH26*Leadsheet!$D77)</f>
        <v>0</v>
      </c>
      <c r="BJ27" s="412">
        <f>IF(BJ$5&gt;$D$7,0,BI26*Leadsheet!$D77)</f>
        <v>0</v>
      </c>
      <c r="BK27" s="412">
        <f>IF(BK$5&gt;$D$7,0,BJ26*Leadsheet!$D77)</f>
        <v>0</v>
      </c>
      <c r="BL27" s="412">
        <f>IF(BL$5&gt;$D$7,0,BK26*Leadsheet!$D77)</f>
        <v>0</v>
      </c>
    </row>
    <row r="28" spans="1:64" s="335" customFormat="1" x14ac:dyDescent="0.15">
      <c r="A28" s="410" t="s">
        <v>501</v>
      </c>
      <c r="B28" s="411">
        <v>90</v>
      </c>
      <c r="C28" s="257" t="s">
        <v>504</v>
      </c>
      <c r="D28" s="412"/>
      <c r="E28" s="413">
        <f>IF(E$5&gt;$D$7,0,D27*Leadsheet!$D78)</f>
        <v>0</v>
      </c>
      <c r="F28" s="413">
        <f>IF(F$5&gt;$D$7,0,E27*Leadsheet!$D78)</f>
        <v>0</v>
      </c>
      <c r="G28" s="413">
        <f>IF(G$5&gt;$D$7,0,F27*Leadsheet!$D78)</f>
        <v>0.19787875335297817</v>
      </c>
      <c r="H28" s="413">
        <f>IF(H$5&gt;$D$7,0,G27*Leadsheet!$D78)</f>
        <v>0</v>
      </c>
      <c r="I28" s="413">
        <f>IF(I$5&gt;$D$7,0,H27*Leadsheet!$D78)</f>
        <v>0</v>
      </c>
      <c r="J28" s="413">
        <f>IF(J$5&gt;$D$7,0,I27*Leadsheet!$D78)</f>
        <v>0</v>
      </c>
      <c r="K28" s="413">
        <f>IF(K$5&gt;$D$7,0,J27*Leadsheet!$D78)</f>
        <v>0</v>
      </c>
      <c r="L28" s="413">
        <f>IF(L$5&gt;$D$7,0,K27*Leadsheet!$D78)</f>
        <v>0</v>
      </c>
      <c r="M28" s="413">
        <f>IF(M$5&gt;$D$7,0,L27*Leadsheet!$D78)</f>
        <v>0</v>
      </c>
      <c r="N28" s="413">
        <f>IF(N$5&gt;$D$7,0,M27*Leadsheet!$D78)</f>
        <v>0</v>
      </c>
      <c r="O28" s="413">
        <f>IF(O$5&gt;$D$7,0,N27*Leadsheet!$D78)</f>
        <v>0</v>
      </c>
      <c r="P28" s="413">
        <f>IF(P$5&gt;$D$7,0,O27*Leadsheet!$D78)</f>
        <v>0</v>
      </c>
      <c r="Q28" s="413">
        <f>IF(Q$5&gt;$D$7,0,P27*Leadsheet!$D78)</f>
        <v>0</v>
      </c>
      <c r="R28" s="413">
        <f>IF(R$5&gt;$D$7,0,Q27*Leadsheet!$D78)</f>
        <v>0</v>
      </c>
      <c r="S28" s="413">
        <f>IF(S$5&gt;$D$7,0,R27*Leadsheet!$D78)</f>
        <v>0</v>
      </c>
      <c r="T28" s="412">
        <f>IF(T$5&gt;$D$7,0,S27*Leadsheet!$D78)</f>
        <v>0</v>
      </c>
      <c r="U28" s="412">
        <f>IF(U$5&gt;$D$7,0,T27*Leadsheet!$D78)</f>
        <v>0</v>
      </c>
      <c r="V28" s="412">
        <f>IF(V$5&gt;$D$7,0,U27*Leadsheet!$D78)</f>
        <v>0</v>
      </c>
      <c r="W28" s="412">
        <f>IF(W$5&gt;$D$7,0,V27*Leadsheet!$D78)</f>
        <v>0</v>
      </c>
      <c r="X28" s="412">
        <f>IF(X$5&gt;$D$7,0,W27*Leadsheet!$D78)</f>
        <v>0</v>
      </c>
      <c r="Y28" s="412">
        <f>IF(Y$5&gt;$D$7,0,X27*Leadsheet!$D78)</f>
        <v>0</v>
      </c>
      <c r="Z28" s="412">
        <f>IF(Z$5&gt;$D$7,0,Y27*Leadsheet!$D78)</f>
        <v>0</v>
      </c>
      <c r="AA28" s="412">
        <f>IF(AA$5&gt;$D$7,0,Z27*Leadsheet!$D78)</f>
        <v>0</v>
      </c>
      <c r="AB28" s="412">
        <f>IF(AB$5&gt;$D$7,0,AA27*Leadsheet!$D78)</f>
        <v>0</v>
      </c>
      <c r="AC28" s="412">
        <f>IF(AC$5&gt;$D$7,0,AB27*Leadsheet!$D78)</f>
        <v>0</v>
      </c>
      <c r="AD28" s="412">
        <f>IF(AD$5&gt;$D$7,0,AC27*Leadsheet!$D78)</f>
        <v>0</v>
      </c>
      <c r="AE28" s="412">
        <f>IF(AE$5&gt;$D$7,0,AD27*Leadsheet!$D78)</f>
        <v>0</v>
      </c>
      <c r="AF28" s="412">
        <f>IF(AF$5&gt;$D$7,0,AE27*Leadsheet!$D78)</f>
        <v>0</v>
      </c>
      <c r="AG28" s="412">
        <f>IF(AG$5&gt;$D$7,0,AF27*Leadsheet!$D78)</f>
        <v>0</v>
      </c>
      <c r="AH28" s="412">
        <f>IF(AH$5&gt;$D$7,0,AG27*Leadsheet!$D78)</f>
        <v>0</v>
      </c>
      <c r="AI28" s="412">
        <f>IF(AI$5&gt;$D$7,0,AH27*Leadsheet!$D78)</f>
        <v>0</v>
      </c>
      <c r="AJ28" s="412">
        <f>IF(AJ$5&gt;$D$7,0,AI27*Leadsheet!$D78)</f>
        <v>0</v>
      </c>
      <c r="AK28" s="412">
        <f>IF(AK$5&gt;$D$7,0,AJ27*Leadsheet!$D78)</f>
        <v>0</v>
      </c>
      <c r="AL28" s="412">
        <f>IF(AL$5&gt;$D$7,0,AK27*Leadsheet!$D78)</f>
        <v>0</v>
      </c>
      <c r="AM28" s="412">
        <f>IF(AM$5&gt;$D$7,0,AL27*Leadsheet!$D78)</f>
        <v>0</v>
      </c>
      <c r="AN28" s="412">
        <f>IF(AN$5&gt;$D$7,0,AM27*Leadsheet!$D78)</f>
        <v>0</v>
      </c>
      <c r="AO28" s="412">
        <f>IF(AO$5&gt;$D$7,0,AN27*Leadsheet!$D78)</f>
        <v>0</v>
      </c>
      <c r="AP28" s="412">
        <f>IF(AP$5&gt;$D$7,0,AO27*Leadsheet!$D78)</f>
        <v>0</v>
      </c>
      <c r="AQ28" s="412">
        <f>IF(AQ$5&gt;$D$7,0,AP27*Leadsheet!$D78)</f>
        <v>0</v>
      </c>
      <c r="AR28" s="412">
        <f>IF(AR$5&gt;$D$7,0,AQ27*Leadsheet!$D78)</f>
        <v>0</v>
      </c>
      <c r="AS28" s="412">
        <f>IF(AS$5&gt;$D$7,0,AR27*Leadsheet!$D78)</f>
        <v>0</v>
      </c>
      <c r="AT28" s="412">
        <f>IF(AT$5&gt;$D$7,0,AS27*Leadsheet!$D78)</f>
        <v>0</v>
      </c>
      <c r="AU28" s="412">
        <f>IF(AU$5&gt;$D$7,0,AT27*Leadsheet!$D78)</f>
        <v>0</v>
      </c>
      <c r="AV28" s="412">
        <v>0</v>
      </c>
      <c r="AW28" s="412">
        <f>IF(AW$5&gt;$D$7,0,AV27*Leadsheet!$D78)</f>
        <v>0</v>
      </c>
      <c r="AX28" s="412">
        <f>IF(AX$5&gt;$D$7,0,AW27*Leadsheet!$D78)</f>
        <v>0</v>
      </c>
      <c r="AY28" s="412">
        <f>IF(AY$5&gt;$D$7,0,AX27*Leadsheet!$D78)</f>
        <v>0</v>
      </c>
      <c r="AZ28" s="412">
        <f>IF(AZ$5&gt;$D$7,0,AY27*Leadsheet!$D78)</f>
        <v>0</v>
      </c>
      <c r="BA28" s="412">
        <f>IF(BA$5&gt;$D$7,0,AZ27*Leadsheet!$D78)</f>
        <v>0</v>
      </c>
      <c r="BB28" s="412">
        <f>IF(BB$5&gt;$D$7,0,BA27*Leadsheet!$D78)</f>
        <v>0</v>
      </c>
      <c r="BC28" s="412">
        <f>IF(BC$5&gt;$D$7,0,BB27*Leadsheet!$D78)</f>
        <v>0</v>
      </c>
      <c r="BD28" s="412">
        <f>IF(BD$5&gt;$D$7,0,BC27*Leadsheet!$D78)</f>
        <v>0</v>
      </c>
      <c r="BE28" s="412">
        <f>IF(BE$5&gt;$D$7,0,BD27*Leadsheet!$D78)</f>
        <v>0</v>
      </c>
      <c r="BF28" s="412">
        <f>IF(BF$5&gt;$D$7,0,BE27*Leadsheet!$D78)</f>
        <v>0</v>
      </c>
      <c r="BG28" s="412">
        <f>IF(BG$5&gt;$D$7,0,BF27*Leadsheet!$D78)</f>
        <v>0</v>
      </c>
      <c r="BH28" s="412">
        <f>IF(BH$5&gt;$D$7,0,BG27*Leadsheet!$D78)</f>
        <v>0</v>
      </c>
      <c r="BI28" s="412">
        <f>IF(BI$5&gt;$D$7,0,BH27*Leadsheet!$D78)</f>
        <v>0</v>
      </c>
      <c r="BJ28" s="412">
        <f>IF(BJ$5&gt;$D$7,0,BI27*Leadsheet!$D78)</f>
        <v>0</v>
      </c>
      <c r="BK28" s="412">
        <f>IF(BK$5&gt;$D$7,0,BJ27*Leadsheet!$D78)</f>
        <v>0</v>
      </c>
      <c r="BL28" s="412">
        <f>IF(BL$5&gt;$D$7,0,BK27*Leadsheet!$D78)</f>
        <v>0</v>
      </c>
    </row>
    <row r="29" spans="1:64" x14ac:dyDescent="0.15">
      <c r="A29" s="414" t="s">
        <v>505</v>
      </c>
      <c r="B29" s="415">
        <v>120</v>
      </c>
      <c r="C29" s="257" t="s">
        <v>506</v>
      </c>
      <c r="D29" s="416"/>
      <c r="E29" s="413">
        <f>IF(E$5&gt;$D$7,0,D28*Leadsheet!$D79)</f>
        <v>0</v>
      </c>
      <c r="F29" s="413">
        <f>IF(F$5&gt;$D$7,0,E28*Leadsheet!$D79)</f>
        <v>0</v>
      </c>
      <c r="G29" s="413">
        <f>IF(G$5&gt;$D$7,0,F28*Leadsheet!$D79)</f>
        <v>0</v>
      </c>
      <c r="H29" s="413">
        <f>IF(H$5&gt;$D$7,0,G28*Leadsheet!$D79)</f>
        <v>0.1931738003985628</v>
      </c>
      <c r="I29" s="413">
        <f>IF(I$5&gt;$D$7,0,H28*Leadsheet!$D79)</f>
        <v>0</v>
      </c>
      <c r="J29" s="413">
        <f>IF(J$5&gt;$D$7,0,I28*Leadsheet!$D79)</f>
        <v>0</v>
      </c>
      <c r="K29" s="413">
        <f>IF(K$5&gt;$D$7,0,J28*Leadsheet!$D79)</f>
        <v>0</v>
      </c>
      <c r="L29" s="413">
        <f>IF(L$5&gt;$D$7,0,K28*Leadsheet!$D79)</f>
        <v>0</v>
      </c>
      <c r="M29" s="413">
        <f>IF(M$5&gt;$D$7,0,L28*Leadsheet!$D79)</f>
        <v>0</v>
      </c>
      <c r="N29" s="413">
        <f>IF(N$5&gt;$D$7,0,M28*Leadsheet!$D79)</f>
        <v>0</v>
      </c>
      <c r="O29" s="413">
        <f>IF(O$5&gt;$D$7,0,N28*Leadsheet!$D79)</f>
        <v>0</v>
      </c>
      <c r="P29" s="413">
        <f>IF(P$5&gt;$D$7,0,O28*Leadsheet!$D79)</f>
        <v>0</v>
      </c>
      <c r="Q29" s="413">
        <f>IF(Q$5&gt;$D$7,0,P28*Leadsheet!$D79)</f>
        <v>0</v>
      </c>
      <c r="R29" s="413">
        <f>IF(R$5&gt;$D$7,0,Q28*Leadsheet!$D79)</f>
        <v>0</v>
      </c>
      <c r="S29" s="413">
        <f>IF(S$5&gt;$D$7,0,R28*Leadsheet!$D79)</f>
        <v>0</v>
      </c>
      <c r="T29" s="412">
        <f>IF(T$5&gt;$D$7,0,S28*Leadsheet!$D79)</f>
        <v>0</v>
      </c>
      <c r="U29" s="412">
        <f>IF(U$5&gt;$D$7,0,T28*Leadsheet!$D79)</f>
        <v>0</v>
      </c>
      <c r="V29" s="412">
        <f>IF(V$5&gt;$D$7,0,U28*Leadsheet!$D79)</f>
        <v>0</v>
      </c>
      <c r="W29" s="412">
        <f>IF(W$5&gt;$D$7,0,V28*Leadsheet!$D79)</f>
        <v>0</v>
      </c>
      <c r="X29" s="412">
        <f>IF(X$5&gt;$D$7,0,W28*Leadsheet!$D79)</f>
        <v>0</v>
      </c>
      <c r="Y29" s="412">
        <f>IF(Y$5&gt;$D$7,0,X28*Leadsheet!$D79)</f>
        <v>0</v>
      </c>
      <c r="Z29" s="412">
        <f>IF(Z$5&gt;$D$7,0,Y28*Leadsheet!$D79)</f>
        <v>0</v>
      </c>
      <c r="AA29" s="412">
        <f>IF(AA$5&gt;$D$7,0,Z28*Leadsheet!$D79)</f>
        <v>0</v>
      </c>
      <c r="AB29" s="412">
        <f>IF(AB$5&gt;$D$7,0,AA28*Leadsheet!$D79)</f>
        <v>0</v>
      </c>
      <c r="AC29" s="412">
        <f>IF(AC$5&gt;$D$7,0,AB28*Leadsheet!$D79)</f>
        <v>0</v>
      </c>
      <c r="AD29" s="412">
        <f>IF(AD$5&gt;$D$7,0,AC28*Leadsheet!$D79)</f>
        <v>0</v>
      </c>
      <c r="AE29" s="412">
        <f>IF(AE$5&gt;$D$7,0,AD28*Leadsheet!$D79)</f>
        <v>0</v>
      </c>
      <c r="AF29" s="412">
        <f>IF(AF$5&gt;$D$7,0,AE28*Leadsheet!$D79)</f>
        <v>0</v>
      </c>
      <c r="AG29" s="412">
        <f>IF(AG$5&gt;$D$7,0,AF28*Leadsheet!$D79)</f>
        <v>0</v>
      </c>
      <c r="AH29" s="412">
        <f>IF(AH$5&gt;$D$7,0,AG28*Leadsheet!$D79)</f>
        <v>0</v>
      </c>
      <c r="AI29" s="412">
        <f>IF(AI$5&gt;$D$7,0,AH28*Leadsheet!$D79)</f>
        <v>0</v>
      </c>
      <c r="AJ29" s="412">
        <f>IF(AJ$5&gt;$D$7,0,AI28*Leadsheet!$D79)</f>
        <v>0</v>
      </c>
      <c r="AK29" s="412">
        <f>IF(AK$5&gt;$D$7,0,AJ28*Leadsheet!$D79)</f>
        <v>0</v>
      </c>
      <c r="AL29" s="412">
        <f>IF(AL$5&gt;$D$7,0,AK28*Leadsheet!$D79)</f>
        <v>0</v>
      </c>
      <c r="AM29" s="412">
        <f>IF(AM$5&gt;$D$7,0,AL28*Leadsheet!$D79)</f>
        <v>0</v>
      </c>
      <c r="AN29" s="412">
        <f>IF(AN$5&gt;$D$7,0,AM28*Leadsheet!$D79)</f>
        <v>0</v>
      </c>
      <c r="AO29" s="412">
        <f>IF(AO$5&gt;$D$7,0,AN28*Leadsheet!$D79)</f>
        <v>0</v>
      </c>
      <c r="AP29" s="412">
        <f>IF(AP$5&gt;$D$7,0,AO28*Leadsheet!$D79)</f>
        <v>0</v>
      </c>
      <c r="AQ29" s="412">
        <f>IF(AQ$5&gt;$D$7,0,AP28*Leadsheet!$D79)</f>
        <v>0</v>
      </c>
      <c r="AR29" s="412">
        <f>IF(AR$5&gt;$D$7,0,AQ28*Leadsheet!$D79)</f>
        <v>0</v>
      </c>
      <c r="AS29" s="412">
        <f>IF(AS$5&gt;$D$7,0,AR28*Leadsheet!$D79)</f>
        <v>0</v>
      </c>
      <c r="AT29" s="412">
        <f>IF(AT$5&gt;$D$7,0,AS28*Leadsheet!$D79)</f>
        <v>0</v>
      </c>
      <c r="AU29" s="412">
        <f>IF(AU$5&gt;$D$7,0,AT28*Leadsheet!$D79)</f>
        <v>0</v>
      </c>
      <c r="AV29" s="412">
        <f>IF(AV$5&gt;$D$7,0,AU28*Leadsheet!$D79)</f>
        <v>0</v>
      </c>
      <c r="AW29" s="412">
        <f>IF(AW$5&gt;$D$7,0,AV28*Leadsheet!$D79)</f>
        <v>0</v>
      </c>
      <c r="AX29" s="412">
        <f>IF(AX$5&gt;$D$7,0,AW28*Leadsheet!$D79)</f>
        <v>0</v>
      </c>
      <c r="AY29" s="412">
        <f>IF(AY$5&gt;$D$7,0,AX28*Leadsheet!$D79)</f>
        <v>0</v>
      </c>
      <c r="AZ29" s="412">
        <f>IF(AZ$5&gt;$D$7,0,AY28*Leadsheet!$D79)</f>
        <v>0</v>
      </c>
      <c r="BA29" s="412">
        <f>IF(BA$5&gt;$D$7,0,AZ28*Leadsheet!$D79)</f>
        <v>0</v>
      </c>
      <c r="BB29" s="412">
        <f>IF(BB$5&gt;$D$7,0,BA28*Leadsheet!$D79)</f>
        <v>0</v>
      </c>
      <c r="BC29" s="412">
        <f>IF(BC$5&gt;$D$7,0,BB28*Leadsheet!$D79)</f>
        <v>0</v>
      </c>
      <c r="BD29" s="412">
        <f>IF(BD$5&gt;$D$7,0,BC28*Leadsheet!$D79)</f>
        <v>0</v>
      </c>
      <c r="BE29" s="412">
        <f>IF(BE$5&gt;$D$7,0,BD28*Leadsheet!$D79)</f>
        <v>0</v>
      </c>
      <c r="BF29" s="412">
        <f>IF(BF$5&gt;$D$7,0,BE28*Leadsheet!$D79)</f>
        <v>0</v>
      </c>
      <c r="BG29" s="412">
        <f>IF(BG$5&gt;$D$7,0,BF28*Leadsheet!$D79)</f>
        <v>0</v>
      </c>
      <c r="BH29" s="412">
        <f>IF(BH$5&gt;$D$7,0,BG28*Leadsheet!$D79)</f>
        <v>0</v>
      </c>
      <c r="BI29" s="412">
        <f>IF(BI$5&gt;$D$7,0,BH28*Leadsheet!$D79)</f>
        <v>0</v>
      </c>
      <c r="BJ29" s="412">
        <f>IF(BJ$5&gt;$D$7,0,BI28*Leadsheet!$D79)</f>
        <v>0</v>
      </c>
      <c r="BK29" s="412">
        <f>IF(BK$5&gt;$D$7,0,BJ28*Leadsheet!$D79)</f>
        <v>0</v>
      </c>
      <c r="BL29" s="412">
        <f>IF(BL$5&gt;$D$7,0,BK28*Leadsheet!$D79)</f>
        <v>0</v>
      </c>
    </row>
    <row r="30" spans="1:64" x14ac:dyDescent="0.15">
      <c r="A30" s="414" t="s">
        <v>505</v>
      </c>
      <c r="B30" s="415">
        <v>150</v>
      </c>
      <c r="C30" s="257" t="s">
        <v>507</v>
      </c>
      <c r="D30" s="416"/>
      <c r="E30" s="413">
        <f>IF(E$5&gt;$D$7,0,D29*Leadsheet!$D80)</f>
        <v>0</v>
      </c>
      <c r="F30" s="413">
        <f>IF(F$5&gt;$D$7,0,E29*Leadsheet!$D80)</f>
        <v>0</v>
      </c>
      <c r="G30" s="413">
        <f>IF(G$5&gt;$D$7,0,F29*Leadsheet!$D80)</f>
        <v>0</v>
      </c>
      <c r="H30" s="413">
        <f>IF(H$5&gt;$D$7,0,G29*Leadsheet!$D80)</f>
        <v>0</v>
      </c>
      <c r="I30" s="413">
        <f>IF(I$5&gt;$D$7,0,H29*Leadsheet!$D80)</f>
        <v>0.19113371034002682</v>
      </c>
      <c r="J30" s="413">
        <f>IF(J$5&gt;$D$7,0,I29*Leadsheet!$D80)</f>
        <v>0</v>
      </c>
      <c r="K30" s="413">
        <f>IF(K$5&gt;$D$7,0,J29*Leadsheet!$D80)</f>
        <v>0</v>
      </c>
      <c r="L30" s="413">
        <f>IF(L$5&gt;$D$7,0,K29*Leadsheet!$D80)</f>
        <v>0</v>
      </c>
      <c r="M30" s="413">
        <f>IF(M$5&gt;$D$7,0,L29*Leadsheet!$D80)</f>
        <v>0</v>
      </c>
      <c r="N30" s="413">
        <f>IF(N$5&gt;$D$7,0,M29*Leadsheet!$D80)</f>
        <v>0</v>
      </c>
      <c r="O30" s="413">
        <f>IF(O$5&gt;$D$7,0,N29*Leadsheet!$D80)</f>
        <v>0</v>
      </c>
      <c r="P30" s="413">
        <f>IF(P$5&gt;$D$7,0,O29*Leadsheet!$D80)</f>
        <v>0</v>
      </c>
      <c r="Q30" s="413">
        <f>IF(Q$5&gt;$D$7,0,P29*Leadsheet!$D80)</f>
        <v>0</v>
      </c>
      <c r="R30" s="413">
        <f>IF(R$5&gt;$D$7,0,Q29*Leadsheet!$D80)</f>
        <v>0</v>
      </c>
      <c r="S30" s="413">
        <f>IF(S$5&gt;$D$7,0,R29*Leadsheet!$D80)</f>
        <v>0</v>
      </c>
      <c r="T30" s="412">
        <f>IF(T$5&gt;$D$7,0,S29*Leadsheet!$D80)</f>
        <v>0</v>
      </c>
      <c r="U30" s="412">
        <f>IF(U$5&gt;$D$7,0,T29*Leadsheet!$D80)</f>
        <v>0</v>
      </c>
      <c r="V30" s="412">
        <f>IF(V$5&gt;$D$7,0,U29*Leadsheet!$D80)</f>
        <v>0</v>
      </c>
      <c r="W30" s="412">
        <f>IF(W$5&gt;$D$7,0,V29*Leadsheet!$D80)</f>
        <v>0</v>
      </c>
      <c r="X30" s="412">
        <f>IF(X$5&gt;$D$7,0,W29*Leadsheet!$D80)</f>
        <v>0</v>
      </c>
      <c r="Y30" s="412">
        <f>IF(Y$5&gt;$D$7,0,X29*Leadsheet!$D80)</f>
        <v>0</v>
      </c>
      <c r="Z30" s="412">
        <f>IF(Z$5&gt;$D$7,0,Y29*Leadsheet!$D80)</f>
        <v>0</v>
      </c>
      <c r="AA30" s="412">
        <f>IF(AA$5&gt;$D$7,0,Z29*Leadsheet!$D80)</f>
        <v>0</v>
      </c>
      <c r="AB30" s="412">
        <f>IF(AB$5&gt;$D$7,0,AA29*Leadsheet!$D80)</f>
        <v>0</v>
      </c>
      <c r="AC30" s="412">
        <f>IF(AC$5&gt;$D$7,0,AB29*Leadsheet!$D80)</f>
        <v>0</v>
      </c>
      <c r="AD30" s="412">
        <f>IF(AD$5&gt;$D$7,0,AC29*Leadsheet!$D80)</f>
        <v>0</v>
      </c>
      <c r="AE30" s="412">
        <f>IF(AE$5&gt;$D$7,0,AD29*Leadsheet!$D80)</f>
        <v>0</v>
      </c>
      <c r="AF30" s="412">
        <f>IF(AF$5&gt;$D$7,0,AE29*Leadsheet!$D80)</f>
        <v>0</v>
      </c>
      <c r="AG30" s="412">
        <f>IF(AG$5&gt;$D$7,0,AF29*Leadsheet!$D80)</f>
        <v>0</v>
      </c>
      <c r="AH30" s="412">
        <f>IF(AH$5&gt;$D$7,0,AG29*Leadsheet!$D80)</f>
        <v>0</v>
      </c>
      <c r="AI30" s="412">
        <f>IF(AI$5&gt;$D$7,0,AH29*Leadsheet!$D80)</f>
        <v>0</v>
      </c>
      <c r="AJ30" s="412">
        <f>IF(AJ$5&gt;$D$7,0,AI29*Leadsheet!$D80)</f>
        <v>0</v>
      </c>
      <c r="AK30" s="412">
        <f>IF(AK$5&gt;$D$7,0,AJ29*Leadsheet!$D80)</f>
        <v>0</v>
      </c>
      <c r="AL30" s="412">
        <f>IF(AL$5&gt;$D$7,0,AK29*Leadsheet!$D80)</f>
        <v>0</v>
      </c>
      <c r="AM30" s="412">
        <f>IF(AM$5&gt;$D$7,0,AL29*Leadsheet!$D80)</f>
        <v>0</v>
      </c>
      <c r="AN30" s="412">
        <f>IF(AN$5&gt;$D$7,0,AM29*Leadsheet!$D80)</f>
        <v>0</v>
      </c>
      <c r="AO30" s="412">
        <f>IF(AO$5&gt;$D$7,0,AN29*Leadsheet!$D80)</f>
        <v>0</v>
      </c>
      <c r="AP30" s="412">
        <f>IF(AP$5&gt;$D$7,0,AO29*Leadsheet!$D80)</f>
        <v>0</v>
      </c>
      <c r="AQ30" s="412">
        <f>IF(AQ$5&gt;$D$7,0,AP29*Leadsheet!$D80)</f>
        <v>0</v>
      </c>
      <c r="AR30" s="412">
        <f>IF(AR$5&gt;$D$7,0,AQ29*Leadsheet!$D80)</f>
        <v>0</v>
      </c>
      <c r="AS30" s="412">
        <f>IF(AS$5&gt;$D$7,0,AR29*Leadsheet!$D80)</f>
        <v>0</v>
      </c>
      <c r="AT30" s="412">
        <f>IF(AT$5&gt;$D$7,0,AS29*Leadsheet!$D80)</f>
        <v>0</v>
      </c>
      <c r="AU30" s="412">
        <f>IF(AU$5&gt;$D$7,0,AT29*Leadsheet!$D80)</f>
        <v>0</v>
      </c>
      <c r="AV30" s="412">
        <f>IF(AV$5&gt;$D$7,0,AU29*Leadsheet!$D80)</f>
        <v>0</v>
      </c>
      <c r="AW30" s="412">
        <f>IF(AW$5&gt;$D$7,0,AV29*Leadsheet!$D80)</f>
        <v>0</v>
      </c>
      <c r="AX30" s="412">
        <f>IF(AX$5&gt;$D$7,0,AW29*Leadsheet!$D80)</f>
        <v>0</v>
      </c>
      <c r="AY30" s="412">
        <f>IF(AY$5&gt;$D$7,0,AX29*Leadsheet!$D80)</f>
        <v>0</v>
      </c>
      <c r="AZ30" s="412">
        <f>IF(AZ$5&gt;$D$7,0,AY29*Leadsheet!$D80)</f>
        <v>0</v>
      </c>
      <c r="BA30" s="412">
        <f>IF(BA$5&gt;$D$7,0,AZ29*Leadsheet!$D80)</f>
        <v>0</v>
      </c>
      <c r="BB30" s="412">
        <f>IF(BB$5&gt;$D$7,0,BA29*Leadsheet!$D80)</f>
        <v>0</v>
      </c>
      <c r="BC30" s="412">
        <f>IF(BC$5&gt;$D$7,0,BB29*Leadsheet!$D80)</f>
        <v>0</v>
      </c>
      <c r="BD30" s="412">
        <f>IF(BD$5&gt;$D$7,0,BC29*Leadsheet!$D80)</f>
        <v>0</v>
      </c>
      <c r="BE30" s="412">
        <f>IF(BE$5&gt;$D$7,0,BD29*Leadsheet!$D80)</f>
        <v>0</v>
      </c>
      <c r="BF30" s="412">
        <f>IF(BF$5&gt;$D$7,0,BE29*Leadsheet!$D80)</f>
        <v>0</v>
      </c>
      <c r="BG30" s="412">
        <f>IF(BG$5&gt;$D$7,0,BF29*Leadsheet!$D80)</f>
        <v>0</v>
      </c>
      <c r="BH30" s="412">
        <f>IF(BH$5&gt;$D$7,0,BG29*Leadsheet!$D80)</f>
        <v>0</v>
      </c>
      <c r="BI30" s="412">
        <f>IF(BI$5&gt;$D$7,0,BH29*Leadsheet!$D80)</f>
        <v>0</v>
      </c>
      <c r="BJ30" s="412">
        <f>IF(BJ$5&gt;$D$7,0,BI29*Leadsheet!$D80)</f>
        <v>0</v>
      </c>
      <c r="BK30" s="412">
        <f>IF(BK$5&gt;$D$7,0,BJ29*Leadsheet!$D80)</f>
        <v>0</v>
      </c>
      <c r="BL30" s="412">
        <f>IF(BL$5&gt;$D$7,0,BK29*Leadsheet!$D80)</f>
        <v>0</v>
      </c>
    </row>
    <row r="31" spans="1:64" s="337" customFormat="1" x14ac:dyDescent="0.15">
      <c r="A31" s="414" t="s">
        <v>505</v>
      </c>
      <c r="B31" s="415">
        <v>180</v>
      </c>
      <c r="C31" s="257" t="s">
        <v>508</v>
      </c>
      <c r="D31" s="417"/>
      <c r="E31" s="413">
        <f>IF(E$5&gt;$D$7,0,D30*Leadsheet!$D81)</f>
        <v>0</v>
      </c>
      <c r="F31" s="413">
        <f>IF(F$5&gt;$D$7,0,E30*Leadsheet!$D81)</f>
        <v>0</v>
      </c>
      <c r="G31" s="413">
        <f>IF(G$5&gt;$D$7,0,F30*Leadsheet!$D81)</f>
        <v>0</v>
      </c>
      <c r="H31" s="413">
        <f>IF(H$5&gt;$D$7,0,G30*Leadsheet!$D81)</f>
        <v>0</v>
      </c>
      <c r="I31" s="413">
        <f>IF(I$5&gt;$D$7,0,H30*Leadsheet!$D81)</f>
        <v>0</v>
      </c>
      <c r="J31" s="413">
        <f>IF(J$5&gt;$D$7,0,I30*Leadsheet!$D81)</f>
        <v>0.18922237323662655</v>
      </c>
      <c r="K31" s="413">
        <f>IF(K$5&gt;$D$7,0,J30*Leadsheet!$D81)</f>
        <v>0</v>
      </c>
      <c r="L31" s="413">
        <f>IF(L$5&gt;$D$7,0,K30*Leadsheet!$D81)</f>
        <v>0</v>
      </c>
      <c r="M31" s="413">
        <f>IF(M$5&gt;$D$7,0,L30*Leadsheet!$D81)</f>
        <v>0</v>
      </c>
      <c r="N31" s="413">
        <f>IF(N$5&gt;$D$7,0,M30*Leadsheet!$D81)</f>
        <v>0</v>
      </c>
      <c r="O31" s="413">
        <f>IF(O$5&gt;$D$7,0,N30*Leadsheet!$D81)</f>
        <v>0</v>
      </c>
      <c r="P31" s="413">
        <f>IF(P$5&gt;$D$7,0,O30*Leadsheet!$D81)</f>
        <v>0</v>
      </c>
      <c r="Q31" s="413">
        <f>IF(Q$5&gt;$D$7,0,P30*Leadsheet!$D81)</f>
        <v>0</v>
      </c>
      <c r="R31" s="413">
        <f>IF(R$5&gt;$D$7,0,Q30*Leadsheet!$D81)</f>
        <v>0</v>
      </c>
      <c r="S31" s="413">
        <f>IF(S$5&gt;$D$7,0,R30*Leadsheet!$D81)</f>
        <v>0</v>
      </c>
      <c r="T31" s="412">
        <f>IF(T$5&gt;$D$7,0,S30*Leadsheet!$D81)</f>
        <v>0</v>
      </c>
      <c r="U31" s="412">
        <f>IF(U$5&gt;$D$7,0,T30*Leadsheet!$D81)</f>
        <v>0</v>
      </c>
      <c r="V31" s="412">
        <f>IF(V$5&gt;$D$7,0,U30*Leadsheet!$D81)</f>
        <v>0</v>
      </c>
      <c r="W31" s="412">
        <f>IF(W$5&gt;$D$7,0,V30*Leadsheet!$D81)</f>
        <v>0</v>
      </c>
      <c r="X31" s="412">
        <f>IF(X$5&gt;$D$7,0,W30*Leadsheet!$D81)</f>
        <v>0</v>
      </c>
      <c r="Y31" s="412">
        <f>IF(Y$5&gt;$D$7,0,X30*Leadsheet!$D81)</f>
        <v>0</v>
      </c>
      <c r="Z31" s="412">
        <f>IF(Z$5&gt;$D$7,0,Y30*Leadsheet!$D81)</f>
        <v>0</v>
      </c>
      <c r="AA31" s="412">
        <f>IF(AA$5&gt;$D$7,0,Z30*Leadsheet!$D81)</f>
        <v>0</v>
      </c>
      <c r="AB31" s="412">
        <f>IF(AB$5&gt;$D$7,0,AA30*Leadsheet!$D81)</f>
        <v>0</v>
      </c>
      <c r="AC31" s="412">
        <f>IF(AC$5&gt;$D$7,0,AB30*Leadsheet!$D81)</f>
        <v>0</v>
      </c>
      <c r="AD31" s="412">
        <f>IF(AD$5&gt;$D$7,0,AC30*Leadsheet!$D81)</f>
        <v>0</v>
      </c>
      <c r="AE31" s="412">
        <f>IF(AE$5&gt;$D$7,0,AD30*Leadsheet!$D81)</f>
        <v>0</v>
      </c>
      <c r="AF31" s="412">
        <f>IF(AF$5&gt;$D$7,0,AE30*Leadsheet!$D81)</f>
        <v>0</v>
      </c>
      <c r="AG31" s="412">
        <f>IF(AG$5&gt;$D$7,0,AF30*Leadsheet!$D81)</f>
        <v>0</v>
      </c>
      <c r="AH31" s="412">
        <f>IF(AH$5&gt;$D$7,0,AG30*Leadsheet!$D81)</f>
        <v>0</v>
      </c>
      <c r="AI31" s="412">
        <f>IF(AI$5&gt;$D$7,0,AH30*Leadsheet!$D81)</f>
        <v>0</v>
      </c>
      <c r="AJ31" s="412">
        <f>IF(AJ$5&gt;$D$7,0,AI30*Leadsheet!$D81)</f>
        <v>0</v>
      </c>
      <c r="AK31" s="412">
        <f>IF(AK$5&gt;$D$7,0,AJ30*Leadsheet!$D81)</f>
        <v>0</v>
      </c>
      <c r="AL31" s="412">
        <f>IF(AL$5&gt;$D$7,0,AK30*Leadsheet!$D81)</f>
        <v>0</v>
      </c>
      <c r="AM31" s="412">
        <f>IF(AM$5&gt;$D$7,0,AL30*Leadsheet!$D81)</f>
        <v>0</v>
      </c>
      <c r="AN31" s="412">
        <f>IF(AN$5&gt;$D$7,0,AM30*Leadsheet!$D81)</f>
        <v>0</v>
      </c>
      <c r="AO31" s="412">
        <f>IF(AO$5&gt;$D$7,0,AN30*Leadsheet!$D81)</f>
        <v>0</v>
      </c>
      <c r="AP31" s="412">
        <f>IF(AP$5&gt;$D$7,0,AO30*Leadsheet!$D81)</f>
        <v>0</v>
      </c>
      <c r="AQ31" s="412">
        <f>IF(AQ$5&gt;$D$7,0,AP30*Leadsheet!$D81)</f>
        <v>0</v>
      </c>
      <c r="AR31" s="412">
        <f>IF(AR$5&gt;$D$7,0,AQ30*Leadsheet!$D81)</f>
        <v>0</v>
      </c>
      <c r="AS31" s="412">
        <f>IF(AS$5&gt;$D$7,0,AR30*Leadsheet!$D81)</f>
        <v>0</v>
      </c>
      <c r="AT31" s="412">
        <f>IF(AT$5&gt;$D$7,0,AS30*Leadsheet!$D81)</f>
        <v>0</v>
      </c>
      <c r="AU31" s="412">
        <f>IF(AU$5&gt;$D$7,0,AT30*Leadsheet!$D81)</f>
        <v>0</v>
      </c>
      <c r="AV31" s="412">
        <f>IF(AV$5&gt;$D$7,0,AU30*Leadsheet!$D81)</f>
        <v>0</v>
      </c>
      <c r="AW31" s="412">
        <f>IF(AW$5&gt;$D$7,0,AV30*Leadsheet!$D81)</f>
        <v>0</v>
      </c>
      <c r="AX31" s="412">
        <f>IF(AX$5&gt;$D$7,0,AW30*Leadsheet!$D81)</f>
        <v>0</v>
      </c>
      <c r="AY31" s="412">
        <f>IF(AY$5&gt;$D$7,0,AX30*Leadsheet!$D81)</f>
        <v>0</v>
      </c>
      <c r="AZ31" s="412">
        <f>IF(AZ$5&gt;$D$7,0,AY30*Leadsheet!$D81)</f>
        <v>0</v>
      </c>
      <c r="BA31" s="412">
        <f>IF(BA$5&gt;$D$7,0,AZ30*Leadsheet!$D81)</f>
        <v>0</v>
      </c>
      <c r="BB31" s="412">
        <f>IF(BB$5&gt;$D$7,0,BA30*Leadsheet!$D81)</f>
        <v>0</v>
      </c>
      <c r="BC31" s="412">
        <f>IF(BC$5&gt;$D$7,0,BB30*Leadsheet!$D81)</f>
        <v>0</v>
      </c>
      <c r="BD31" s="412">
        <f>IF(BD$5&gt;$D$7,0,BC30*Leadsheet!$D81)</f>
        <v>0</v>
      </c>
      <c r="BE31" s="412">
        <f>IF(BE$5&gt;$D$7,0,BD30*Leadsheet!$D81)</f>
        <v>0</v>
      </c>
      <c r="BF31" s="412">
        <f>IF(BF$5&gt;$D$7,0,BE30*Leadsheet!$D81)</f>
        <v>0</v>
      </c>
      <c r="BG31" s="412">
        <f>IF(BG$5&gt;$D$7,0,BF30*Leadsheet!$D81)</f>
        <v>0</v>
      </c>
      <c r="BH31" s="412">
        <f>IF(BH$5&gt;$D$7,0,BG30*Leadsheet!$D81)</f>
        <v>0</v>
      </c>
      <c r="BI31" s="412">
        <f>IF(BI$5&gt;$D$7,0,BH30*Leadsheet!$D81)</f>
        <v>0</v>
      </c>
      <c r="BJ31" s="412">
        <f>IF(BJ$5&gt;$D$7,0,BI30*Leadsheet!$D81)</f>
        <v>0</v>
      </c>
      <c r="BK31" s="412">
        <f>IF(BK$5&gt;$D$7,0,BJ30*Leadsheet!$D81)</f>
        <v>0</v>
      </c>
      <c r="BL31" s="412">
        <f>IF(BL$5&gt;$D$7,0,BK30*Leadsheet!$D81)</f>
        <v>0</v>
      </c>
    </row>
    <row r="32" spans="1:64" s="337" customFormat="1" x14ac:dyDescent="0.15">
      <c r="A32" s="414" t="s">
        <v>509</v>
      </c>
      <c r="B32" s="415">
        <v>210</v>
      </c>
      <c r="C32" s="257" t="s">
        <v>510</v>
      </c>
      <c r="D32" s="417"/>
      <c r="E32" s="413">
        <f>IF(E$5&gt;$D$7,0,D31*Leadsheet!$D82)</f>
        <v>0</v>
      </c>
      <c r="F32" s="413">
        <f>IF(F$5&gt;$D$7,0,E31*Leadsheet!$D82)</f>
        <v>0</v>
      </c>
      <c r="G32" s="413">
        <f>IF(G$5&gt;$D$7,0,F31*Leadsheet!$D82)</f>
        <v>0</v>
      </c>
      <c r="H32" s="413">
        <f>IF(H$5&gt;$D$7,0,G31*Leadsheet!$D82)</f>
        <v>0</v>
      </c>
      <c r="I32" s="413">
        <f>IF(I$5&gt;$D$7,0,H31*Leadsheet!$D82)</f>
        <v>0</v>
      </c>
      <c r="J32" s="413">
        <f>IF(J$5&gt;$D$7,0,I31*Leadsheet!$D82)</f>
        <v>0</v>
      </c>
      <c r="K32" s="413">
        <f>IF(K$5&gt;$D$7,0,J31*Leadsheet!$D82)</f>
        <v>0.18770859425073352</v>
      </c>
      <c r="L32" s="413">
        <f>IF(L$5&gt;$D$7,0,K31*Leadsheet!$D82)</f>
        <v>0</v>
      </c>
      <c r="M32" s="413">
        <f>IF(M$5&gt;$D$7,0,L31*Leadsheet!$D82)</f>
        <v>0</v>
      </c>
      <c r="N32" s="413">
        <f>IF(N$5&gt;$D$7,0,M31*Leadsheet!$D82)</f>
        <v>0</v>
      </c>
      <c r="O32" s="413">
        <f>IF(O$5&gt;$D$7,0,N31*Leadsheet!$D82)</f>
        <v>0</v>
      </c>
      <c r="P32" s="413">
        <f>IF(P$5&gt;$D$7,0,O31*Leadsheet!$D82)</f>
        <v>0</v>
      </c>
      <c r="Q32" s="413">
        <f>IF(Q$5&gt;$D$7,0,P31*Leadsheet!$D82)</f>
        <v>0</v>
      </c>
      <c r="R32" s="413">
        <f>IF(R$5&gt;$D$7,0,Q31*Leadsheet!$D82)</f>
        <v>0</v>
      </c>
      <c r="S32" s="413">
        <f>IF(S$5&gt;$D$7,0,R31*Leadsheet!$D82)</f>
        <v>0</v>
      </c>
      <c r="T32" s="412">
        <f>IF(T$5&gt;$D$7,0,S31*Leadsheet!$D82)</f>
        <v>0</v>
      </c>
      <c r="U32" s="412">
        <f>IF(U$5&gt;$D$7,0,T31*Leadsheet!$D82)</f>
        <v>0</v>
      </c>
      <c r="V32" s="412">
        <f>IF(V$5&gt;$D$7,0,U31*Leadsheet!$D82)</f>
        <v>0</v>
      </c>
      <c r="W32" s="412">
        <f>IF(W$5&gt;$D$7,0,V31*Leadsheet!$D82)</f>
        <v>0</v>
      </c>
      <c r="X32" s="412">
        <f>IF(X$5&gt;$D$7,0,W31*Leadsheet!$D82)</f>
        <v>0</v>
      </c>
      <c r="Y32" s="412">
        <f>IF(Y$5&gt;$D$7,0,X31*Leadsheet!$D82)</f>
        <v>0</v>
      </c>
      <c r="Z32" s="412">
        <f>IF(Z$5&gt;$D$7,0,Y31*Leadsheet!$D82)</f>
        <v>0</v>
      </c>
      <c r="AA32" s="412">
        <f>IF(AA$5&gt;$D$7,0,Z31*Leadsheet!$D82)</f>
        <v>0</v>
      </c>
      <c r="AB32" s="412">
        <f>IF(AB$5&gt;$D$7,0,AA31*Leadsheet!$D82)</f>
        <v>0</v>
      </c>
      <c r="AC32" s="412">
        <f>IF(AC$5&gt;$D$7,0,AB31*Leadsheet!$D82)</f>
        <v>0</v>
      </c>
      <c r="AD32" s="412">
        <f>IF(AD$5&gt;$D$7,0,AC31*Leadsheet!$D82)</f>
        <v>0</v>
      </c>
      <c r="AE32" s="412">
        <f>IF(AE$5&gt;$D$7,0,AD31*Leadsheet!$D82)</f>
        <v>0</v>
      </c>
      <c r="AF32" s="412">
        <f>IF(AF$5&gt;$D$7,0,AE31*Leadsheet!$D82)</f>
        <v>0</v>
      </c>
      <c r="AG32" s="412">
        <f>IF(AG$5&gt;$D$7,0,AF31*Leadsheet!$D82)</f>
        <v>0</v>
      </c>
      <c r="AH32" s="412">
        <f>IF(AH$5&gt;$D$7,0,AG31*Leadsheet!$D82)</f>
        <v>0</v>
      </c>
      <c r="AI32" s="412">
        <f>IF(AI$5&gt;$D$7,0,AH31*Leadsheet!$D82)</f>
        <v>0</v>
      </c>
      <c r="AJ32" s="412">
        <f>IF(AJ$5&gt;$D$7,0,AI31*Leadsheet!$D82)</f>
        <v>0</v>
      </c>
      <c r="AK32" s="412">
        <f>IF(AK$5&gt;$D$7,0,AJ31*Leadsheet!$D82)</f>
        <v>0</v>
      </c>
      <c r="AL32" s="412">
        <f>IF(AL$5&gt;$D$7,0,AK31*Leadsheet!$D82)</f>
        <v>0</v>
      </c>
      <c r="AM32" s="412">
        <f>IF(AM$5&gt;$D$7,0,AL31*Leadsheet!$D82)</f>
        <v>0</v>
      </c>
      <c r="AN32" s="412">
        <f>IF(AN$5&gt;$D$7,0,AM31*Leadsheet!$D82)</f>
        <v>0</v>
      </c>
      <c r="AO32" s="412">
        <f>IF(AO$5&gt;$D$7,0,AN31*Leadsheet!$D82)</f>
        <v>0</v>
      </c>
      <c r="AP32" s="412">
        <f>IF(AP$5&gt;$D$7,0,AO31*Leadsheet!$D82)</f>
        <v>0</v>
      </c>
      <c r="AQ32" s="412">
        <f>IF(AQ$5&gt;$D$7,0,AP31*Leadsheet!$D82)</f>
        <v>0</v>
      </c>
      <c r="AR32" s="412">
        <f>IF(AR$5&gt;$D$7,0,AQ31*Leadsheet!$D82)</f>
        <v>0</v>
      </c>
      <c r="AS32" s="412">
        <f>IF(AS$5&gt;$D$7,0,AR31*Leadsheet!$D82)</f>
        <v>0</v>
      </c>
      <c r="AT32" s="412">
        <f>IF(AT$5&gt;$D$7,0,AS31*Leadsheet!$D82)</f>
        <v>0</v>
      </c>
      <c r="AU32" s="412">
        <f>IF(AU$5&gt;$D$7,0,AT31*Leadsheet!$D82)</f>
        <v>0</v>
      </c>
      <c r="AV32" s="412">
        <f>IF(AV$5&gt;$D$7,0,AU31*Leadsheet!$D82)</f>
        <v>0</v>
      </c>
      <c r="AW32" s="412">
        <f>IF(AW$5&gt;$D$7,0,AV31*Leadsheet!$D82)</f>
        <v>0</v>
      </c>
      <c r="AX32" s="412">
        <f>IF(AX$5&gt;$D$7,0,AW31*Leadsheet!$D82)</f>
        <v>0</v>
      </c>
      <c r="AY32" s="412">
        <f>IF(AY$5&gt;$D$7,0,AX31*Leadsheet!$D82)</f>
        <v>0</v>
      </c>
      <c r="AZ32" s="412">
        <f>IF(AZ$5&gt;$D$7,0,AY31*Leadsheet!$D82)</f>
        <v>0</v>
      </c>
      <c r="BA32" s="412">
        <f>IF(BA$5&gt;$D$7,0,AZ31*Leadsheet!$D82)</f>
        <v>0</v>
      </c>
      <c r="BB32" s="412">
        <f>IF(BB$5&gt;$D$7,0,BA31*Leadsheet!$D82)</f>
        <v>0</v>
      </c>
      <c r="BC32" s="412">
        <f>IF(BC$5&gt;$D$7,0,BB31*Leadsheet!$D82)</f>
        <v>0</v>
      </c>
      <c r="BD32" s="412">
        <f>IF(BD$5&gt;$D$7,0,BC31*Leadsheet!$D82)</f>
        <v>0</v>
      </c>
      <c r="BE32" s="412">
        <f>IF(BE$5&gt;$D$7,0,BD31*Leadsheet!$D82)</f>
        <v>0</v>
      </c>
      <c r="BF32" s="412">
        <f>IF(BF$5&gt;$D$7,0,BE31*Leadsheet!$D82)</f>
        <v>0</v>
      </c>
      <c r="BG32" s="412">
        <f>IF(BG$5&gt;$D$7,0,BF31*Leadsheet!$D82)</f>
        <v>0</v>
      </c>
      <c r="BH32" s="412">
        <f>IF(BH$5&gt;$D$7,0,BG31*Leadsheet!$D82)</f>
        <v>0</v>
      </c>
      <c r="BI32" s="412">
        <f>IF(BI$5&gt;$D$7,0,BH31*Leadsheet!$D82)</f>
        <v>0</v>
      </c>
      <c r="BJ32" s="412">
        <f>IF(BJ$5&gt;$D$7,0,BI31*Leadsheet!$D82)</f>
        <v>0</v>
      </c>
      <c r="BK32" s="412">
        <f>IF(BK$5&gt;$D$7,0,BJ31*Leadsheet!$D82)</f>
        <v>0</v>
      </c>
      <c r="BL32" s="412">
        <f>IF(BL$5&gt;$D$7,0,BK31*Leadsheet!$D82)</f>
        <v>0</v>
      </c>
    </row>
    <row r="33" spans="1:64" s="337" customFormat="1" x14ac:dyDescent="0.15">
      <c r="A33" s="414" t="s">
        <v>509</v>
      </c>
      <c r="B33" s="415">
        <v>240</v>
      </c>
      <c r="C33" s="257" t="s">
        <v>511</v>
      </c>
      <c r="D33" s="417"/>
      <c r="E33" s="413">
        <f>IF(E$5&gt;$D$7,0,D32*Leadsheet!$D83)</f>
        <v>0</v>
      </c>
      <c r="F33" s="413">
        <f>IF(F$5&gt;$D$7,0,E32*Leadsheet!$D83)</f>
        <v>0</v>
      </c>
      <c r="G33" s="413">
        <f>IF(G$5&gt;$D$7,0,F32*Leadsheet!$D83)</f>
        <v>0</v>
      </c>
      <c r="H33" s="413">
        <f>IF(H$5&gt;$D$7,0,G32*Leadsheet!$D83)</f>
        <v>0</v>
      </c>
      <c r="I33" s="413">
        <f>IF(I$5&gt;$D$7,0,H32*Leadsheet!$D83)</f>
        <v>0</v>
      </c>
      <c r="J33" s="413">
        <f>IF(J$5&gt;$D$7,0,I32*Leadsheet!$D83)</f>
        <v>0</v>
      </c>
      <c r="K33" s="413">
        <f>IF(K$5&gt;$D$7,0,J32*Leadsheet!$D83)</f>
        <v>0</v>
      </c>
      <c r="L33" s="413">
        <f>IF(L$5&gt;$D$7,0,K32*Leadsheet!$D83)</f>
        <v>0</v>
      </c>
      <c r="M33" s="413">
        <f>IF(M$5&gt;$D$7,0,L32*Leadsheet!$D83)</f>
        <v>0</v>
      </c>
      <c r="N33" s="413">
        <f>IF(N$5&gt;$D$7,0,M32*Leadsheet!$D83)</f>
        <v>0</v>
      </c>
      <c r="O33" s="413">
        <f>IF(O$5&gt;$D$7,0,N32*Leadsheet!$D83)</f>
        <v>0</v>
      </c>
      <c r="P33" s="413">
        <f>IF(P$5&gt;$D$7,0,O32*Leadsheet!$D83)</f>
        <v>0</v>
      </c>
      <c r="Q33" s="413">
        <f>IF(Q$5&gt;$D$7,0,P32*Leadsheet!$D83)</f>
        <v>0</v>
      </c>
      <c r="R33" s="413">
        <f>IF(R$5&gt;$D$7,0,Q32*Leadsheet!$D83)</f>
        <v>0</v>
      </c>
      <c r="S33" s="413">
        <f>IF(S$5&gt;$D$7,0,R32*Leadsheet!$D83)</f>
        <v>0</v>
      </c>
      <c r="T33" s="412">
        <f>IF(T$5&gt;$D$7,0,S32*Leadsheet!$D83)</f>
        <v>0</v>
      </c>
      <c r="U33" s="412">
        <f>IF(U$5&gt;$D$7,0,T32*Leadsheet!$D83)</f>
        <v>0</v>
      </c>
      <c r="V33" s="412">
        <f>IF(V$5&gt;$D$7,0,U32*Leadsheet!$D83)</f>
        <v>0</v>
      </c>
      <c r="W33" s="412">
        <f>IF(W$5&gt;$D$7,0,V32*Leadsheet!$D83)</f>
        <v>0</v>
      </c>
      <c r="X33" s="412">
        <f>IF(X$5&gt;$D$7,0,W32*Leadsheet!$D83)</f>
        <v>0</v>
      </c>
      <c r="Y33" s="412">
        <f>IF(Y$5&gt;$D$7,0,X32*Leadsheet!$D83)</f>
        <v>0</v>
      </c>
      <c r="Z33" s="412">
        <f>IF(Z$5&gt;$D$7,0,Y32*Leadsheet!$D83)</f>
        <v>0</v>
      </c>
      <c r="AA33" s="412">
        <f>IF(AA$5&gt;$D$7,0,Z32*Leadsheet!$D83)</f>
        <v>0</v>
      </c>
      <c r="AB33" s="412">
        <f>IF(AB$5&gt;$D$7,0,AA32*Leadsheet!$D83)</f>
        <v>0</v>
      </c>
      <c r="AC33" s="412">
        <f>IF(AC$5&gt;$D$7,0,AB32*Leadsheet!$D83)</f>
        <v>0</v>
      </c>
      <c r="AD33" s="412">
        <f>IF(AD$5&gt;$D$7,0,AC32*Leadsheet!$D83)</f>
        <v>0</v>
      </c>
      <c r="AE33" s="412">
        <f>IF(AE$5&gt;$D$7,0,AD32*Leadsheet!$D83)</f>
        <v>0</v>
      </c>
      <c r="AF33" s="412">
        <f>IF(AF$5&gt;$D$7,0,AE32*Leadsheet!$D83)</f>
        <v>0</v>
      </c>
      <c r="AG33" s="412">
        <f>IF(AG$5&gt;$D$7,0,AF32*Leadsheet!$D83)</f>
        <v>0</v>
      </c>
      <c r="AH33" s="412">
        <f>IF(AH$5&gt;$D$7,0,AG32*Leadsheet!$D83)</f>
        <v>0</v>
      </c>
      <c r="AI33" s="412">
        <f>IF(AI$5&gt;$D$7,0,AH32*Leadsheet!$D83)</f>
        <v>0</v>
      </c>
      <c r="AJ33" s="412">
        <f>IF(AJ$5&gt;$D$7,0,AI32*Leadsheet!$D83)</f>
        <v>0</v>
      </c>
      <c r="AK33" s="412">
        <f>IF(AK$5&gt;$D$7,0,AJ32*Leadsheet!$D83)</f>
        <v>0</v>
      </c>
      <c r="AL33" s="412">
        <f>IF(AL$5&gt;$D$7,0,AK32*Leadsheet!$D83)</f>
        <v>0</v>
      </c>
      <c r="AM33" s="412">
        <f>IF(AM$5&gt;$D$7,0,AL32*Leadsheet!$D83)</f>
        <v>0</v>
      </c>
      <c r="AN33" s="412">
        <f>IF(AN$5&gt;$D$7,0,AM32*Leadsheet!$D83)</f>
        <v>0</v>
      </c>
      <c r="AO33" s="412">
        <f>IF(AO$5&gt;$D$7,0,AN32*Leadsheet!$D83)</f>
        <v>0</v>
      </c>
      <c r="AP33" s="412">
        <f>IF(AP$5&gt;$D$7,0,AO32*Leadsheet!$D83)</f>
        <v>0</v>
      </c>
      <c r="AQ33" s="412">
        <f>IF(AQ$5&gt;$D$7,0,AP32*Leadsheet!$D83)</f>
        <v>0</v>
      </c>
      <c r="AR33" s="412">
        <f>IF(AR$5&gt;$D$7,0,AQ32*Leadsheet!$D83)</f>
        <v>0</v>
      </c>
      <c r="AS33" s="412">
        <f>IF(AS$5&gt;$D$7,0,AR32*Leadsheet!$D83)</f>
        <v>0</v>
      </c>
      <c r="AT33" s="412">
        <f>IF(AT$5&gt;$D$7,0,AS32*Leadsheet!$D83)</f>
        <v>0</v>
      </c>
      <c r="AU33" s="412">
        <f>IF(AU$5&gt;$D$7,0,AT32*Leadsheet!$D83)</f>
        <v>0</v>
      </c>
      <c r="AV33" s="412">
        <f>IF(AV$5&gt;$D$7,0,AU32*Leadsheet!$D83)</f>
        <v>0</v>
      </c>
      <c r="AW33" s="412">
        <f>IF(AW$5&gt;$D$7,0,AV32*Leadsheet!$D83)</f>
        <v>0</v>
      </c>
      <c r="AX33" s="412">
        <f>IF(AX$5&gt;$D$7,0,AW32*Leadsheet!$D83)</f>
        <v>0</v>
      </c>
      <c r="AY33" s="412">
        <f>IF(AY$5&gt;$D$7,0,AX32*Leadsheet!$D83)</f>
        <v>0</v>
      </c>
      <c r="AZ33" s="412">
        <f>IF(AZ$5&gt;$D$7,0,AY32*Leadsheet!$D83)</f>
        <v>0</v>
      </c>
      <c r="BA33" s="412">
        <f>IF(BA$5&gt;$D$7,0,AZ32*Leadsheet!$D83)</f>
        <v>0</v>
      </c>
      <c r="BB33" s="412">
        <f>IF(BB$5&gt;$D$7,0,BA32*Leadsheet!$D83)</f>
        <v>0</v>
      </c>
      <c r="BC33" s="412">
        <f>IF(BC$5&gt;$D$7,0,BB32*Leadsheet!$D83)</f>
        <v>0</v>
      </c>
      <c r="BD33" s="412">
        <f>IF(BD$5&gt;$D$7,0,BC32*Leadsheet!$D83)</f>
        <v>0</v>
      </c>
      <c r="BE33" s="412">
        <f>IF(BE$5&gt;$D$7,0,BD32*Leadsheet!$D83)</f>
        <v>0</v>
      </c>
      <c r="BF33" s="412">
        <f>IF(BF$5&gt;$D$7,0,BE32*Leadsheet!$D83)</f>
        <v>0</v>
      </c>
      <c r="BG33" s="412">
        <f>IF(BG$5&gt;$D$7,0,BF32*Leadsheet!$D83)</f>
        <v>0</v>
      </c>
      <c r="BH33" s="412">
        <f>IF(BH$5&gt;$D$7,0,BG32*Leadsheet!$D83)</f>
        <v>0</v>
      </c>
      <c r="BI33" s="412">
        <f>IF(BI$5&gt;$D$7,0,BH32*Leadsheet!$D83)</f>
        <v>0</v>
      </c>
      <c r="BJ33" s="412">
        <f>IF(BJ$5&gt;$D$7,0,BI32*Leadsheet!$D83)</f>
        <v>0</v>
      </c>
      <c r="BK33" s="412">
        <f>IF(BK$5&gt;$D$7,0,BJ32*Leadsheet!$D83)</f>
        <v>0</v>
      </c>
      <c r="BL33" s="412">
        <f>IF(BL$5&gt;$D$7,0,BK32*Leadsheet!$D83)</f>
        <v>0</v>
      </c>
    </row>
    <row r="34" spans="1:64" s="337" customFormat="1" x14ac:dyDescent="0.15">
      <c r="A34" s="414" t="s">
        <v>509</v>
      </c>
      <c r="B34" s="415">
        <v>270</v>
      </c>
      <c r="C34" s="257" t="s">
        <v>512</v>
      </c>
      <c r="D34" s="417"/>
      <c r="E34" s="413">
        <f>IF(E$5&gt;$D$7,0,D33*Leadsheet!$D84)</f>
        <v>0</v>
      </c>
      <c r="F34" s="413">
        <f>IF(F$5&gt;$D$7,0,E33*Leadsheet!$D84)</f>
        <v>0</v>
      </c>
      <c r="G34" s="413">
        <f>IF(G$5&gt;$D$7,0,F33*Leadsheet!$D84)</f>
        <v>0</v>
      </c>
      <c r="H34" s="413">
        <f>IF(H$5&gt;$D$7,0,G33*Leadsheet!$D84)</f>
        <v>0</v>
      </c>
      <c r="I34" s="413">
        <f>IF(I$5&gt;$D$7,0,H33*Leadsheet!$D84)</f>
        <v>0</v>
      </c>
      <c r="J34" s="413">
        <f>IF(J$5&gt;$D$7,0,I33*Leadsheet!$D84)</f>
        <v>0</v>
      </c>
      <c r="K34" s="413">
        <f>IF(K$5&gt;$D$7,0,J33*Leadsheet!$D84)</f>
        <v>0</v>
      </c>
      <c r="L34" s="413">
        <f>IF(L$5&gt;$D$7,0,K33*Leadsheet!$D84)</f>
        <v>0</v>
      </c>
      <c r="M34" s="413">
        <f>IF(M$5&gt;$D$7,0,L33*Leadsheet!$D84)</f>
        <v>0</v>
      </c>
      <c r="N34" s="413">
        <f>IF(N$5&gt;$D$7,0,M33*Leadsheet!$D84)</f>
        <v>0</v>
      </c>
      <c r="O34" s="413">
        <f>IF(O$5&gt;$D$7,0,N33*Leadsheet!$D84)</f>
        <v>0</v>
      </c>
      <c r="P34" s="413">
        <f>IF(P$5&gt;$D$7,0,O33*Leadsheet!$D84)</f>
        <v>0</v>
      </c>
      <c r="Q34" s="413">
        <f>IF(Q$5&gt;$D$7,0,P33*Leadsheet!$D84)</f>
        <v>0</v>
      </c>
      <c r="R34" s="413">
        <f>IF(R$5&gt;$D$7,0,Q33*Leadsheet!$D84)</f>
        <v>0</v>
      </c>
      <c r="S34" s="413">
        <f>IF(S$5&gt;$D$7,0,R33*Leadsheet!$D84)</f>
        <v>0</v>
      </c>
      <c r="T34" s="412">
        <f>IF(T$5&gt;$D$7,0,S33*Leadsheet!$D84)</f>
        <v>0</v>
      </c>
      <c r="U34" s="412">
        <f>IF(U$5&gt;$D$7,0,T33*Leadsheet!$D84)</f>
        <v>0</v>
      </c>
      <c r="V34" s="412">
        <f>IF(V$5&gt;$D$7,0,U33*Leadsheet!$D84)</f>
        <v>0</v>
      </c>
      <c r="W34" s="412">
        <f>IF(W$5&gt;$D$7,0,V33*Leadsheet!$D84)</f>
        <v>0</v>
      </c>
      <c r="X34" s="412">
        <f>IF(X$5&gt;$D$7,0,W33*Leadsheet!$D84)</f>
        <v>0</v>
      </c>
      <c r="Y34" s="412">
        <f>IF(Y$5&gt;$D$7,0,X33*Leadsheet!$D84)</f>
        <v>0</v>
      </c>
      <c r="Z34" s="412">
        <f>IF(Z$5&gt;$D$7,0,Y33*Leadsheet!$D84)</f>
        <v>0</v>
      </c>
      <c r="AA34" s="412">
        <f>IF(AA$5&gt;$D$7,0,Z33*Leadsheet!$D84)</f>
        <v>0</v>
      </c>
      <c r="AB34" s="412">
        <f>IF(AB$5&gt;$D$7,0,AA33*Leadsheet!$D84)</f>
        <v>0</v>
      </c>
      <c r="AC34" s="412">
        <f>IF(AC$5&gt;$D$7,0,AB33*Leadsheet!$D84)</f>
        <v>0</v>
      </c>
      <c r="AD34" s="412">
        <f>IF(AD$5&gt;$D$7,0,AC33*Leadsheet!$D84)</f>
        <v>0</v>
      </c>
      <c r="AE34" s="412">
        <f>IF(AE$5&gt;$D$7,0,AD33*Leadsheet!$D84)</f>
        <v>0</v>
      </c>
      <c r="AF34" s="412">
        <f>IF(AF$5&gt;$D$7,0,AE33*Leadsheet!$D84)</f>
        <v>0</v>
      </c>
      <c r="AG34" s="412">
        <f>IF(AG$5&gt;$D$7,0,AF33*Leadsheet!$D84)</f>
        <v>0</v>
      </c>
      <c r="AH34" s="412">
        <f>IF(AH$5&gt;$D$7,0,AG33*Leadsheet!$D84)</f>
        <v>0</v>
      </c>
      <c r="AI34" s="412">
        <f>IF(AI$5&gt;$D$7,0,AH33*Leadsheet!$D84)</f>
        <v>0</v>
      </c>
      <c r="AJ34" s="412">
        <f>IF(AJ$5&gt;$D$7,0,AI33*Leadsheet!$D84)</f>
        <v>0</v>
      </c>
      <c r="AK34" s="412">
        <f>IF(AK$5&gt;$D$7,0,AJ33*Leadsheet!$D84)</f>
        <v>0</v>
      </c>
      <c r="AL34" s="412">
        <f>IF(AL$5&gt;$D$7,0,AK33*Leadsheet!$D84)</f>
        <v>0</v>
      </c>
      <c r="AM34" s="412">
        <f>IF(AM$5&gt;$D$7,0,AL33*Leadsheet!$D84)</f>
        <v>0</v>
      </c>
      <c r="AN34" s="412">
        <f>IF(AN$5&gt;$D$7,0,AM33*Leadsheet!$D84)</f>
        <v>0</v>
      </c>
      <c r="AO34" s="412">
        <f>IF(AO$5&gt;$D$7,0,AN33*Leadsheet!$D84)</f>
        <v>0</v>
      </c>
      <c r="AP34" s="412">
        <f>IF(AP$5&gt;$D$7,0,AO33*Leadsheet!$D84)</f>
        <v>0</v>
      </c>
      <c r="AQ34" s="412">
        <f>IF(AQ$5&gt;$D$7,0,AP33*Leadsheet!$D84)</f>
        <v>0</v>
      </c>
      <c r="AR34" s="412">
        <f>IF(AR$5&gt;$D$7,0,AQ33*Leadsheet!$D84)</f>
        <v>0</v>
      </c>
      <c r="AS34" s="412">
        <f>IF(AS$5&gt;$D$7,0,AR33*Leadsheet!$D84)</f>
        <v>0</v>
      </c>
      <c r="AT34" s="412">
        <f>IF(AT$5&gt;$D$7,0,AS33*Leadsheet!$D84)</f>
        <v>0</v>
      </c>
      <c r="AU34" s="412">
        <f>IF(AU$5&gt;$D$7,0,AT33*Leadsheet!$D84)</f>
        <v>0</v>
      </c>
      <c r="AV34" s="412">
        <f>IF(AV$5&gt;$D$7,0,AU33*Leadsheet!$D84)</f>
        <v>0</v>
      </c>
      <c r="AW34" s="412">
        <f>IF(AW$5&gt;$D$7,0,AV33*Leadsheet!$D84)</f>
        <v>0</v>
      </c>
      <c r="AX34" s="412">
        <f>IF(AX$5&gt;$D$7,0,AW33*Leadsheet!$D84)</f>
        <v>0</v>
      </c>
      <c r="AY34" s="412">
        <f>IF(AY$5&gt;$D$7,0,AX33*Leadsheet!$D84)</f>
        <v>0</v>
      </c>
      <c r="AZ34" s="412">
        <f>IF(AZ$5&gt;$D$7,0,AY33*Leadsheet!$D84)</f>
        <v>0</v>
      </c>
      <c r="BA34" s="412">
        <f>IF(BA$5&gt;$D$7,0,AZ33*Leadsheet!$D84)</f>
        <v>0</v>
      </c>
      <c r="BB34" s="412">
        <f>IF(BB$5&gt;$D$7,0,BA33*Leadsheet!$D84)</f>
        <v>0</v>
      </c>
      <c r="BC34" s="412">
        <f>IF(BC$5&gt;$D$7,0,BB33*Leadsheet!$D84)</f>
        <v>0</v>
      </c>
      <c r="BD34" s="412">
        <f>IF(BD$5&gt;$D$7,0,BC33*Leadsheet!$D84)</f>
        <v>0</v>
      </c>
      <c r="BE34" s="412">
        <f>IF(BE$5&gt;$D$7,0,BD33*Leadsheet!$D84)</f>
        <v>0</v>
      </c>
      <c r="BF34" s="412">
        <f>IF(BF$5&gt;$D$7,0,BE33*Leadsheet!$D84)</f>
        <v>0</v>
      </c>
      <c r="BG34" s="412">
        <f>IF(BG$5&gt;$D$7,0,BF33*Leadsheet!$D84)</f>
        <v>0</v>
      </c>
      <c r="BH34" s="412">
        <f>IF(BH$5&gt;$D$7,0,BG33*Leadsheet!$D84)</f>
        <v>0</v>
      </c>
      <c r="BI34" s="412">
        <f>IF(BI$5&gt;$D$7,0,BH33*Leadsheet!$D84)</f>
        <v>0</v>
      </c>
      <c r="BJ34" s="412">
        <f>IF(BJ$5&gt;$D$7,0,BI33*Leadsheet!$D84)</f>
        <v>0</v>
      </c>
      <c r="BK34" s="412">
        <f>IF(BK$5&gt;$D$7,0,BJ33*Leadsheet!$D84)</f>
        <v>0</v>
      </c>
      <c r="BL34" s="412">
        <f>IF(BL$5&gt;$D$7,0,BK33*Leadsheet!$D84)</f>
        <v>0</v>
      </c>
    </row>
    <row r="35" spans="1:64" s="337" customFormat="1" x14ac:dyDescent="0.15">
      <c r="A35" s="414" t="s">
        <v>509</v>
      </c>
      <c r="B35" s="415">
        <v>300</v>
      </c>
      <c r="C35" s="257" t="s">
        <v>359</v>
      </c>
      <c r="D35" s="417"/>
      <c r="E35" s="413">
        <f>IF(E$5&gt;$D$7,0,D34*Leadsheet!$D85)</f>
        <v>0</v>
      </c>
      <c r="F35" s="413">
        <f>IF(F$5&gt;$D$7,0,E34*Leadsheet!$D85)</f>
        <v>0</v>
      </c>
      <c r="G35" s="413">
        <f>IF(G$5&gt;$D$7,0,F34*Leadsheet!$D85)</f>
        <v>0</v>
      </c>
      <c r="H35" s="413">
        <f>IF(H$5&gt;$D$7,0,G34*Leadsheet!$D85)</f>
        <v>0</v>
      </c>
      <c r="I35" s="413">
        <f>IF(I$5&gt;$D$7,0,H34*Leadsheet!$D85)</f>
        <v>0</v>
      </c>
      <c r="J35" s="413">
        <f>IF(J$5&gt;$D$7,0,I34*Leadsheet!$D85)</f>
        <v>0</v>
      </c>
      <c r="K35" s="413">
        <f>IF(K$5&gt;$D$7,0,J34*Leadsheet!$D85)</f>
        <v>0</v>
      </c>
      <c r="L35" s="413">
        <f>IF(L$5&gt;$D$7,0,K34*Leadsheet!$D85)</f>
        <v>0</v>
      </c>
      <c r="M35" s="413">
        <f>IF(M$5&gt;$D$7,0,L34*Leadsheet!$D85)</f>
        <v>0</v>
      </c>
      <c r="N35" s="413">
        <f>IF(N$5&gt;$D$7,0,M34*Leadsheet!$D85)</f>
        <v>0</v>
      </c>
      <c r="O35" s="413">
        <f>IF(O$5&gt;$D$7,0,N34*Leadsheet!$D85)</f>
        <v>0</v>
      </c>
      <c r="P35" s="413">
        <f>IF(P$5&gt;$D$7,0,O34*Leadsheet!$D85)</f>
        <v>0</v>
      </c>
      <c r="Q35" s="413">
        <f>IF(Q$5&gt;$D$7,0,P34*Leadsheet!$D85)</f>
        <v>0</v>
      </c>
      <c r="R35" s="413">
        <f>IF(R$5&gt;$D$7,0,Q34*Leadsheet!$D85)</f>
        <v>0</v>
      </c>
      <c r="S35" s="413">
        <f>IF(S$5&gt;$D$7,0,R34*Leadsheet!$D85)</f>
        <v>0</v>
      </c>
      <c r="T35" s="412">
        <f>IF(T$5&gt;$D$7,0,S34*Leadsheet!$D85)</f>
        <v>0</v>
      </c>
      <c r="U35" s="412">
        <f>IF(U$5&gt;$D$7,0,T34*Leadsheet!$D85)</f>
        <v>0</v>
      </c>
      <c r="V35" s="412">
        <f>IF(V$5&gt;$D$7,0,U34*Leadsheet!$D85)</f>
        <v>0</v>
      </c>
      <c r="W35" s="412">
        <f>IF(W$5&gt;$D$7,0,V34*Leadsheet!$D85)</f>
        <v>0</v>
      </c>
      <c r="X35" s="412">
        <f>IF(X$5&gt;$D$7,0,W34*Leadsheet!$D85)</f>
        <v>0</v>
      </c>
      <c r="Y35" s="412">
        <f>IF(Y$5&gt;$D$7,0,X34*Leadsheet!$D85)</f>
        <v>0</v>
      </c>
      <c r="Z35" s="412">
        <f>IF(Z$5&gt;$D$7,0,Y34*Leadsheet!$D85)</f>
        <v>0</v>
      </c>
      <c r="AA35" s="412">
        <f>IF(AA$5&gt;$D$7,0,Z34*Leadsheet!$D85)</f>
        <v>0</v>
      </c>
      <c r="AB35" s="412">
        <f>IF(AB$5&gt;$D$7,0,AA34*Leadsheet!$D85)</f>
        <v>0</v>
      </c>
      <c r="AC35" s="412">
        <f>IF(AC$5&gt;$D$7,0,AB34*Leadsheet!$D85)</f>
        <v>0</v>
      </c>
      <c r="AD35" s="412">
        <f>IF(AD$5&gt;$D$7,0,AC34*Leadsheet!$D85)</f>
        <v>0</v>
      </c>
      <c r="AE35" s="412">
        <f>IF(AE$5&gt;$D$7,0,AD34*Leadsheet!$D85)</f>
        <v>0</v>
      </c>
      <c r="AF35" s="412">
        <f>IF(AF$5&gt;$D$7,0,AE34*Leadsheet!$D85)</f>
        <v>0</v>
      </c>
      <c r="AG35" s="412">
        <f>IF(AG$5&gt;$D$7,0,AF34*Leadsheet!$D85)</f>
        <v>0</v>
      </c>
      <c r="AH35" s="412">
        <f>IF(AH$5&gt;$D$7,0,AG34*Leadsheet!$D85)</f>
        <v>0</v>
      </c>
      <c r="AI35" s="412">
        <f>IF(AI$5&gt;$D$7,0,AH34*Leadsheet!$D85)</f>
        <v>0</v>
      </c>
      <c r="AJ35" s="412">
        <f>IF(AJ$5&gt;$D$7,0,AI34*Leadsheet!$D85)</f>
        <v>0</v>
      </c>
      <c r="AK35" s="412">
        <f>IF(AK$5&gt;$D$7,0,AJ34*Leadsheet!$D85)</f>
        <v>0</v>
      </c>
      <c r="AL35" s="412">
        <f>IF(AL$5&gt;$D$7,0,AK34*Leadsheet!$D85)</f>
        <v>0</v>
      </c>
      <c r="AM35" s="412">
        <f>IF(AM$5&gt;$D$7,0,AL34*Leadsheet!$D85)</f>
        <v>0</v>
      </c>
      <c r="AN35" s="412">
        <f>IF(AN$5&gt;$D$7,0,AM34*Leadsheet!$D85)</f>
        <v>0</v>
      </c>
      <c r="AO35" s="412">
        <f>IF(AO$5&gt;$D$7,0,AN34*Leadsheet!$D85)</f>
        <v>0</v>
      </c>
      <c r="AP35" s="412">
        <f>IF(AP$5&gt;$D$7,0,AO34*Leadsheet!$D85)</f>
        <v>0</v>
      </c>
      <c r="AQ35" s="412">
        <f>IF(AQ$5&gt;$D$7,0,AP34*Leadsheet!$D85)</f>
        <v>0</v>
      </c>
      <c r="AR35" s="412">
        <f>IF(AR$5&gt;$D$7,0,AQ34*Leadsheet!$D85)</f>
        <v>0</v>
      </c>
      <c r="AS35" s="412">
        <f>IF(AS$5&gt;$D$7,0,AR34*Leadsheet!$D85)</f>
        <v>0</v>
      </c>
      <c r="AT35" s="412">
        <f>IF(AT$5&gt;$D$7,0,AS34*Leadsheet!$D85)</f>
        <v>0</v>
      </c>
      <c r="AU35" s="412">
        <f>IF(AU$5&gt;$D$7,0,AT34*Leadsheet!$D85)</f>
        <v>0</v>
      </c>
      <c r="AV35" s="412">
        <f>IF(AV$5&gt;$D$7,0,AU34*Leadsheet!$D85)</f>
        <v>0</v>
      </c>
      <c r="AW35" s="412">
        <f>IF(AW$5&gt;$D$7,0,AV34*Leadsheet!$D85)</f>
        <v>0</v>
      </c>
      <c r="AX35" s="412">
        <f>IF(AX$5&gt;$D$7,0,AW34*Leadsheet!$D85)</f>
        <v>0</v>
      </c>
      <c r="AY35" s="412">
        <f>IF(AY$5&gt;$D$7,0,AX34*Leadsheet!$D85)</f>
        <v>0</v>
      </c>
      <c r="AZ35" s="412">
        <f>IF(AZ$5&gt;$D$7,0,AY34*Leadsheet!$D85)</f>
        <v>0</v>
      </c>
      <c r="BA35" s="412">
        <f>IF(BA$5&gt;$D$7,0,AZ34*Leadsheet!$D85)</f>
        <v>0</v>
      </c>
      <c r="BB35" s="412">
        <f>IF(BB$5&gt;$D$7,0,BA34*Leadsheet!$D85)</f>
        <v>0</v>
      </c>
      <c r="BC35" s="412">
        <f>IF(BC$5&gt;$D$7,0,BB34*Leadsheet!$D85)</f>
        <v>0</v>
      </c>
      <c r="BD35" s="412">
        <f>IF(BD$5&gt;$D$7,0,BC34*Leadsheet!$D85)</f>
        <v>0</v>
      </c>
      <c r="BE35" s="412">
        <f>IF(BE$5&gt;$D$7,0,BD34*Leadsheet!$D85)</f>
        <v>0</v>
      </c>
      <c r="BF35" s="412">
        <f>IF(BF$5&gt;$D$7,0,BE34*Leadsheet!$D85)</f>
        <v>0</v>
      </c>
      <c r="BG35" s="412">
        <f>IF(BG$5&gt;$D$7,0,BF34*Leadsheet!$D85)</f>
        <v>0</v>
      </c>
      <c r="BH35" s="412">
        <f>IF(BH$5&gt;$D$7,0,BG34*Leadsheet!$D85)</f>
        <v>0</v>
      </c>
      <c r="BI35" s="412">
        <f>IF(BI$5&gt;$D$7,0,BH34*Leadsheet!$D85)</f>
        <v>0</v>
      </c>
      <c r="BJ35" s="412">
        <f>IF(BJ$5&gt;$D$7,0,BI34*Leadsheet!$D85)</f>
        <v>0</v>
      </c>
      <c r="BK35" s="412">
        <f>IF(BK$5&gt;$D$7,0,BJ34*Leadsheet!$D85)</f>
        <v>0</v>
      </c>
      <c r="BL35" s="412">
        <f>IF(BL$5&gt;$D$7,0,BK34*Leadsheet!$D85)</f>
        <v>0</v>
      </c>
    </row>
    <row r="36" spans="1:64" s="337" customFormat="1" x14ac:dyDescent="0.15">
      <c r="A36" s="414" t="s">
        <v>509</v>
      </c>
      <c r="B36" s="415">
        <v>330</v>
      </c>
      <c r="C36" s="257" t="s">
        <v>361</v>
      </c>
      <c r="D36" s="417"/>
      <c r="E36" s="413">
        <f>IF(E$5&gt;$D$7,0,D35*Leadsheet!$D86)</f>
        <v>0</v>
      </c>
      <c r="F36" s="413">
        <f>IF(F$5&gt;$D$7,0,E35*Leadsheet!$D86)</f>
        <v>0</v>
      </c>
      <c r="G36" s="413">
        <f>IF(G$5&gt;$D$7,0,F35*Leadsheet!$D86)</f>
        <v>0</v>
      </c>
      <c r="H36" s="413">
        <f>IF(H$5&gt;$D$7,0,G35*Leadsheet!$D86)</f>
        <v>0</v>
      </c>
      <c r="I36" s="413">
        <f>IF(I$5&gt;$D$7,0,H35*Leadsheet!$D86)</f>
        <v>0</v>
      </c>
      <c r="J36" s="413">
        <f>IF(J$5&gt;$D$7,0,I35*Leadsheet!$D86)</f>
        <v>0</v>
      </c>
      <c r="K36" s="413">
        <f>IF(K$5&gt;$D$7,0,J35*Leadsheet!$D86)</f>
        <v>0</v>
      </c>
      <c r="L36" s="413">
        <f>IF(L$5&gt;$D$7,0,K35*Leadsheet!$D86)</f>
        <v>0</v>
      </c>
      <c r="M36" s="413">
        <f>IF(M$5&gt;$D$7,0,L35*Leadsheet!$D86)</f>
        <v>0</v>
      </c>
      <c r="N36" s="413">
        <f>IF(N$5&gt;$D$7,0,M35*Leadsheet!$D86)</f>
        <v>0</v>
      </c>
      <c r="O36" s="413">
        <f>IF(O$5&gt;$D$7,0,N35*Leadsheet!$D86)</f>
        <v>0</v>
      </c>
      <c r="P36" s="413">
        <f>IF(P$5&gt;$D$7,0,O35*Leadsheet!$D86)</f>
        <v>0</v>
      </c>
      <c r="Q36" s="413">
        <f>IF(Q$5&gt;$D$7,0,P35*Leadsheet!$D86)</f>
        <v>0</v>
      </c>
      <c r="R36" s="413">
        <f>IF(R$5&gt;$D$7,0,Q35*Leadsheet!$D86)</f>
        <v>0</v>
      </c>
      <c r="S36" s="413">
        <f>IF(S$5&gt;$D$7,0,R35*Leadsheet!$D86)</f>
        <v>0</v>
      </c>
      <c r="T36" s="412">
        <f>IF(T$5&gt;$D$7,0,S35*Leadsheet!$D86)</f>
        <v>0</v>
      </c>
      <c r="U36" s="412">
        <f>IF(U$5&gt;$D$7,0,T35*Leadsheet!$D86)</f>
        <v>0</v>
      </c>
      <c r="V36" s="412">
        <f>IF(V$5&gt;$D$7,0,U35*Leadsheet!$D86)</f>
        <v>0</v>
      </c>
      <c r="W36" s="412">
        <f>IF(W$5&gt;$D$7,0,V35*Leadsheet!$D86)</f>
        <v>0</v>
      </c>
      <c r="X36" s="412">
        <f>IF(X$5&gt;$D$7,0,W35*Leadsheet!$D86)</f>
        <v>0</v>
      </c>
      <c r="Y36" s="412">
        <f>IF(Y$5&gt;$D$7,0,X35*Leadsheet!$D86)</f>
        <v>0</v>
      </c>
      <c r="Z36" s="412">
        <f>IF(Z$5&gt;$D$7,0,Y35*Leadsheet!$D86)</f>
        <v>0</v>
      </c>
      <c r="AA36" s="412">
        <f>IF(AA$5&gt;$D$7,0,Z35*Leadsheet!$D86)</f>
        <v>0</v>
      </c>
      <c r="AB36" s="412">
        <f>IF(AB$5&gt;$D$7,0,AA35*Leadsheet!$D86)</f>
        <v>0</v>
      </c>
      <c r="AC36" s="412">
        <f>IF(AC$5&gt;$D$7,0,AB35*Leadsheet!$D86)</f>
        <v>0</v>
      </c>
      <c r="AD36" s="412">
        <f>IF(AD$5&gt;$D$7,0,AC35*Leadsheet!$D86)</f>
        <v>0</v>
      </c>
      <c r="AE36" s="412">
        <f>IF(AE$5&gt;$D$7,0,AD35*Leadsheet!$D86)</f>
        <v>0</v>
      </c>
      <c r="AF36" s="412">
        <f>IF(AF$5&gt;$D$7,0,AE35*Leadsheet!$D86)</f>
        <v>0</v>
      </c>
      <c r="AG36" s="412">
        <f>IF(AG$5&gt;$D$7,0,AF35*Leadsheet!$D86)</f>
        <v>0</v>
      </c>
      <c r="AH36" s="412">
        <f>IF(AH$5&gt;$D$7,0,AG35*Leadsheet!$D86)</f>
        <v>0</v>
      </c>
      <c r="AI36" s="412">
        <f>IF(AI$5&gt;$D$7,0,AH35*Leadsheet!$D86)</f>
        <v>0</v>
      </c>
      <c r="AJ36" s="412">
        <f>IF(AJ$5&gt;$D$7,0,AI35*Leadsheet!$D86)</f>
        <v>0</v>
      </c>
      <c r="AK36" s="412">
        <f>IF(AK$5&gt;$D$7,0,AJ35*Leadsheet!$D86)</f>
        <v>0</v>
      </c>
      <c r="AL36" s="412">
        <f>IF(AL$5&gt;$D$7,0,AK35*Leadsheet!$D86)</f>
        <v>0</v>
      </c>
      <c r="AM36" s="412">
        <f>IF(AM$5&gt;$D$7,0,AL35*Leadsheet!$D86)</f>
        <v>0</v>
      </c>
      <c r="AN36" s="412">
        <f>IF(AN$5&gt;$D$7,0,AM35*Leadsheet!$D86)</f>
        <v>0</v>
      </c>
      <c r="AO36" s="412">
        <f>IF(AO$5&gt;$D$7,0,AN35*Leadsheet!$D86)</f>
        <v>0</v>
      </c>
      <c r="AP36" s="412">
        <f>IF(AP$5&gt;$D$7,0,AO35*Leadsheet!$D86)</f>
        <v>0</v>
      </c>
      <c r="AQ36" s="412">
        <f>IF(AQ$5&gt;$D$7,0,AP35*Leadsheet!$D86)</f>
        <v>0</v>
      </c>
      <c r="AR36" s="412">
        <f>IF(AR$5&gt;$D$7,0,AQ35*Leadsheet!$D86)</f>
        <v>0</v>
      </c>
      <c r="AS36" s="412">
        <f>IF(AS$5&gt;$D$7,0,AR35*Leadsheet!$D86)</f>
        <v>0</v>
      </c>
      <c r="AT36" s="412">
        <f>IF(AT$5&gt;$D$7,0,AS35*Leadsheet!$D86)</f>
        <v>0</v>
      </c>
      <c r="AU36" s="412">
        <f>IF(AU$5&gt;$D$7,0,AT35*Leadsheet!$D86)</f>
        <v>0</v>
      </c>
      <c r="AV36" s="412">
        <f>IF(AV$5&gt;$D$7,0,AU35*Leadsheet!$D86)</f>
        <v>0</v>
      </c>
      <c r="AW36" s="412">
        <f>IF(AW$5&gt;$D$7,0,AV35*Leadsheet!$D86)</f>
        <v>0</v>
      </c>
      <c r="AX36" s="412">
        <f>IF(AX$5&gt;$D$7,0,AW35*Leadsheet!$D86)</f>
        <v>0</v>
      </c>
      <c r="AY36" s="412">
        <f>IF(AY$5&gt;$D$7,0,AX35*Leadsheet!$D86)</f>
        <v>0</v>
      </c>
      <c r="AZ36" s="412">
        <f>IF(AZ$5&gt;$D$7,0,AY35*Leadsheet!$D86)</f>
        <v>0</v>
      </c>
      <c r="BA36" s="412">
        <f>IF(BA$5&gt;$D$7,0,AZ35*Leadsheet!$D86)</f>
        <v>0</v>
      </c>
      <c r="BB36" s="412">
        <f>IF(BB$5&gt;$D$7,0,BA35*Leadsheet!$D86)</f>
        <v>0</v>
      </c>
      <c r="BC36" s="412">
        <f>IF(BC$5&gt;$D$7,0,BB35*Leadsheet!$D86)</f>
        <v>0</v>
      </c>
      <c r="BD36" s="412">
        <f>IF(BD$5&gt;$D$7,0,BC35*Leadsheet!$D86)</f>
        <v>0</v>
      </c>
      <c r="BE36" s="412">
        <f>IF(BE$5&gt;$D$7,0,BD35*Leadsheet!$D86)</f>
        <v>0</v>
      </c>
      <c r="BF36" s="412">
        <f>IF(BF$5&gt;$D$7,0,BE35*Leadsheet!$D86)</f>
        <v>0</v>
      </c>
      <c r="BG36" s="412">
        <f>IF(BG$5&gt;$D$7,0,BF35*Leadsheet!$D86)</f>
        <v>0</v>
      </c>
      <c r="BH36" s="412">
        <f>IF(BH$5&gt;$D$7,0,BG35*Leadsheet!$D86)</f>
        <v>0</v>
      </c>
      <c r="BI36" s="412">
        <f>IF(BI$5&gt;$D$7,0,BH35*Leadsheet!$D86)</f>
        <v>0</v>
      </c>
      <c r="BJ36" s="412">
        <f>IF(BJ$5&gt;$D$7,0,BI35*Leadsheet!$D86)</f>
        <v>0</v>
      </c>
      <c r="BK36" s="412">
        <f>IF(BK$5&gt;$D$7,0,BJ35*Leadsheet!$D86)</f>
        <v>0</v>
      </c>
      <c r="BL36" s="412">
        <f>IF(BL$5&gt;$D$7,0,BK35*Leadsheet!$D86)</f>
        <v>0</v>
      </c>
    </row>
    <row r="37" spans="1:64" s="337" customFormat="1" x14ac:dyDescent="0.15">
      <c r="A37" s="414" t="s">
        <v>509</v>
      </c>
      <c r="B37" s="415">
        <v>360</v>
      </c>
      <c r="C37" s="257" t="s">
        <v>362</v>
      </c>
      <c r="D37" s="417"/>
      <c r="E37" s="413">
        <f>IF(E$5&gt;$D$7,0,D36*Leadsheet!$D87)</f>
        <v>0</v>
      </c>
      <c r="F37" s="413">
        <f>IF(F$5&gt;$D$7,0,E36*Leadsheet!$D87)</f>
        <v>0</v>
      </c>
      <c r="G37" s="413">
        <f>IF(G$5&gt;$D$7,0,F36*Leadsheet!$D87)</f>
        <v>0</v>
      </c>
      <c r="H37" s="413">
        <f>IF(H$5&gt;$D$7,0,G36*Leadsheet!$D87)</f>
        <v>0</v>
      </c>
      <c r="I37" s="413">
        <f>IF(I$5&gt;$D$7,0,H36*Leadsheet!$D87)</f>
        <v>0</v>
      </c>
      <c r="J37" s="413">
        <f>IF(J$5&gt;$D$7,0,I36*Leadsheet!$D87)</f>
        <v>0</v>
      </c>
      <c r="K37" s="413">
        <f>IF(K$5&gt;$D$7,0,J36*Leadsheet!$D87)</f>
        <v>0</v>
      </c>
      <c r="L37" s="413">
        <f>IF(L$5&gt;$D$7,0,K36*Leadsheet!$D87)</f>
        <v>0</v>
      </c>
      <c r="M37" s="413">
        <f>IF(M$5&gt;$D$7,0,L36*Leadsheet!$D87)</f>
        <v>0</v>
      </c>
      <c r="N37" s="413">
        <f>IF(N$5&gt;$D$7,0,M36*Leadsheet!$D87)</f>
        <v>0</v>
      </c>
      <c r="O37" s="413">
        <f>IF(O$5&gt;$D$7,0,N36*Leadsheet!$D87)</f>
        <v>0</v>
      </c>
      <c r="P37" s="413">
        <f>IF(P$5&gt;$D$7,0,O36*Leadsheet!$D87)</f>
        <v>0</v>
      </c>
      <c r="Q37" s="413">
        <f>IF(Q$5&gt;$D$7,0,P36*Leadsheet!$D87)</f>
        <v>0</v>
      </c>
      <c r="R37" s="413">
        <f>IF(R$5&gt;$D$7,0,Q36*Leadsheet!$D87)</f>
        <v>0</v>
      </c>
      <c r="S37" s="413">
        <f>IF(S$5&gt;$D$7,0,R36*Leadsheet!$D87)</f>
        <v>0</v>
      </c>
      <c r="T37" s="412">
        <f>IF(T$5&gt;$D$7,0,S36*Leadsheet!$D87)</f>
        <v>0</v>
      </c>
      <c r="U37" s="412">
        <f>IF(U$5&gt;$D$7,0,T36*Leadsheet!$D87)</f>
        <v>0</v>
      </c>
      <c r="V37" s="412">
        <f>IF(V$5&gt;$D$7,0,U36*Leadsheet!$D87)</f>
        <v>0</v>
      </c>
      <c r="W37" s="412">
        <f>IF(W$5&gt;$D$7,0,V36*Leadsheet!$D87)</f>
        <v>0</v>
      </c>
      <c r="X37" s="412">
        <f>IF(X$5&gt;$D$7,0,W36*Leadsheet!$D87)</f>
        <v>0</v>
      </c>
      <c r="Y37" s="412">
        <f>IF(Y$5&gt;$D$7,0,X36*Leadsheet!$D87)</f>
        <v>0</v>
      </c>
      <c r="Z37" s="412">
        <f>IF(Z$5&gt;$D$7,0,Y36*Leadsheet!$D87)</f>
        <v>0</v>
      </c>
      <c r="AA37" s="412">
        <f>IF(AA$5&gt;$D$7,0,Z36*Leadsheet!$D87)</f>
        <v>0</v>
      </c>
      <c r="AB37" s="412">
        <f>IF(AB$5&gt;$D$7,0,AA36*Leadsheet!$D87)</f>
        <v>0</v>
      </c>
      <c r="AC37" s="412">
        <f>IF(AC$5&gt;$D$7,0,AB36*Leadsheet!$D87)</f>
        <v>0</v>
      </c>
      <c r="AD37" s="412">
        <f>IF(AD$5&gt;$D$7,0,AC36*Leadsheet!$D87)</f>
        <v>0</v>
      </c>
      <c r="AE37" s="412">
        <f>IF(AE$5&gt;$D$7,0,AD36*Leadsheet!$D87)</f>
        <v>0</v>
      </c>
      <c r="AF37" s="412">
        <f>IF(AF$5&gt;$D$7,0,AE36*Leadsheet!$D87)</f>
        <v>0</v>
      </c>
      <c r="AG37" s="412">
        <f>IF(AG$5&gt;$D$7,0,AF36*Leadsheet!$D87)</f>
        <v>0</v>
      </c>
      <c r="AH37" s="412">
        <f>IF(AH$5&gt;$D$7,0,AG36*Leadsheet!$D87)</f>
        <v>0</v>
      </c>
      <c r="AI37" s="412">
        <f>IF(AI$5&gt;$D$7,0,AH36*Leadsheet!$D87)</f>
        <v>0</v>
      </c>
      <c r="AJ37" s="412">
        <f>IF(AJ$5&gt;$D$7,0,AI36*Leadsheet!$D87)</f>
        <v>0</v>
      </c>
      <c r="AK37" s="412">
        <f>IF(AK$5&gt;$D$7,0,AJ36*Leadsheet!$D87)</f>
        <v>0</v>
      </c>
      <c r="AL37" s="412">
        <f>IF(AL$5&gt;$D$7,0,AK36*Leadsheet!$D87)</f>
        <v>0</v>
      </c>
      <c r="AM37" s="412">
        <f>IF(AM$5&gt;$D$7,0,AL36*Leadsheet!$D87)</f>
        <v>0</v>
      </c>
      <c r="AN37" s="412">
        <f>IF(AN$5&gt;$D$7,0,AM36*Leadsheet!$D87)</f>
        <v>0</v>
      </c>
      <c r="AO37" s="412">
        <f>IF(AO$5&gt;$D$7,0,AN36*Leadsheet!$D87)</f>
        <v>0</v>
      </c>
      <c r="AP37" s="412">
        <f>IF(AP$5&gt;$D$7,0,AO36*Leadsheet!$D87)</f>
        <v>0</v>
      </c>
      <c r="AQ37" s="412">
        <f>IF(AQ$5&gt;$D$7,0,AP36*Leadsheet!$D87)</f>
        <v>0</v>
      </c>
      <c r="AR37" s="412">
        <f>IF(AR$5&gt;$D$7,0,AQ36*Leadsheet!$D87)</f>
        <v>0</v>
      </c>
      <c r="AS37" s="412">
        <f>IF(AS$5&gt;$D$7,0,AR36*Leadsheet!$D87)</f>
        <v>0</v>
      </c>
      <c r="AT37" s="412">
        <f>IF(AT$5&gt;$D$7,0,AS36*Leadsheet!$D87)</f>
        <v>0</v>
      </c>
      <c r="AU37" s="412">
        <f>IF(AU$5&gt;$D$7,0,AT36*Leadsheet!$D87)</f>
        <v>0</v>
      </c>
      <c r="AV37" s="412">
        <f>IF(AV$5&gt;$D$7,0,AU36*Leadsheet!$D87)</f>
        <v>0</v>
      </c>
      <c r="AW37" s="412">
        <f>IF(AW$5&gt;$D$7,0,AV36*Leadsheet!$D87)</f>
        <v>0</v>
      </c>
      <c r="AX37" s="412">
        <f>IF(AX$5&gt;$D$7,0,AW36*Leadsheet!$D87)</f>
        <v>0</v>
      </c>
      <c r="AY37" s="412">
        <f>IF(AY$5&gt;$D$7,0,AX36*Leadsheet!$D87)</f>
        <v>0</v>
      </c>
      <c r="AZ37" s="412">
        <f>IF(AZ$5&gt;$D$7,0,AY36*Leadsheet!$D87)</f>
        <v>0</v>
      </c>
      <c r="BA37" s="412">
        <f>IF(BA$5&gt;$D$7,0,AZ36*Leadsheet!$D87)</f>
        <v>0</v>
      </c>
      <c r="BB37" s="412">
        <f>IF(BB$5&gt;$D$7,0,BA36*Leadsheet!$D87)</f>
        <v>0</v>
      </c>
      <c r="BC37" s="412">
        <f>IF(BC$5&gt;$D$7,0,BB36*Leadsheet!$D87)</f>
        <v>0</v>
      </c>
      <c r="BD37" s="412">
        <f>IF(BD$5&gt;$D$7,0,BC36*Leadsheet!$D87)</f>
        <v>0</v>
      </c>
      <c r="BE37" s="412">
        <f>IF(BE$5&gt;$D$7,0,BD36*Leadsheet!$D87)</f>
        <v>0</v>
      </c>
      <c r="BF37" s="412">
        <f>IF(BF$5&gt;$D$7,0,BE36*Leadsheet!$D87)</f>
        <v>0</v>
      </c>
      <c r="BG37" s="412">
        <f>IF(BG$5&gt;$D$7,0,BF36*Leadsheet!$D87)</f>
        <v>0</v>
      </c>
      <c r="BH37" s="412">
        <f>IF(BH$5&gt;$D$7,0,BG36*Leadsheet!$D87)</f>
        <v>0</v>
      </c>
      <c r="BI37" s="412">
        <f>IF(BI$5&gt;$D$7,0,BH36*Leadsheet!$D87)</f>
        <v>0</v>
      </c>
      <c r="BJ37" s="412">
        <f>IF(BJ$5&gt;$D$7,0,BI36*Leadsheet!$D87)</f>
        <v>0</v>
      </c>
      <c r="BK37" s="412">
        <f>IF(BK$5&gt;$D$7,0,BJ36*Leadsheet!$D87)</f>
        <v>0</v>
      </c>
      <c r="BL37" s="412">
        <f>IF(BL$5&gt;$D$7,0,BK36*Leadsheet!$D87)</f>
        <v>0</v>
      </c>
    </row>
    <row r="38" spans="1:64" x14ac:dyDescent="0.15">
      <c r="A38" s="414" t="s">
        <v>513</v>
      </c>
      <c r="B38" s="415">
        <v>390</v>
      </c>
      <c r="C38" s="257" t="s">
        <v>363</v>
      </c>
      <c r="D38" s="416"/>
      <c r="E38" s="413">
        <f>IF(E$5&gt;$D$7,0,D37*Leadsheet!$D88)</f>
        <v>0</v>
      </c>
      <c r="F38" s="413">
        <f>IF(F$5&gt;$D$7,0,E37*Leadsheet!$D88)</f>
        <v>0</v>
      </c>
      <c r="G38" s="413">
        <f>IF(G$5&gt;$D$7,0,F37*Leadsheet!$D88)</f>
        <v>0</v>
      </c>
      <c r="H38" s="413">
        <f>IF(H$5&gt;$D$7,0,G37*Leadsheet!$D88)</f>
        <v>0</v>
      </c>
      <c r="I38" s="413">
        <f>IF(I$5&gt;$D$7,0,H37*Leadsheet!$D88)</f>
        <v>0</v>
      </c>
      <c r="J38" s="413">
        <f>IF(J$5&gt;$D$7,0,I37*Leadsheet!$D88)</f>
        <v>0</v>
      </c>
      <c r="K38" s="413">
        <f>IF(K$5&gt;$D$7,0,J37*Leadsheet!$D88)</f>
        <v>0</v>
      </c>
      <c r="L38" s="413">
        <f>IF(L$5&gt;$D$7,0,K37*Leadsheet!$D88)</f>
        <v>0</v>
      </c>
      <c r="M38" s="413">
        <f>IF(M$5&gt;$D$7,0,L37*Leadsheet!$D88)</f>
        <v>0</v>
      </c>
      <c r="N38" s="413">
        <f>IF(N$5&gt;$D$7,0,M37*Leadsheet!$D88)</f>
        <v>0</v>
      </c>
      <c r="O38" s="413">
        <f>IF(O$5&gt;$D$7,0,N37*Leadsheet!$D88)</f>
        <v>0</v>
      </c>
      <c r="P38" s="413">
        <f>IF(P$5&gt;$D$7,0,O37*Leadsheet!$D88)</f>
        <v>0</v>
      </c>
      <c r="Q38" s="413">
        <f>IF(Q$5&gt;$D$7,0,P37*Leadsheet!$D88)</f>
        <v>0</v>
      </c>
      <c r="R38" s="413">
        <f>IF(R$5&gt;$D$7,0,Q37*Leadsheet!$D88)</f>
        <v>0</v>
      </c>
      <c r="S38" s="413">
        <f>IF(S$5&gt;$D$7,0,R37*Leadsheet!$D88)</f>
        <v>0</v>
      </c>
      <c r="T38" s="412">
        <f>IF(T$5&gt;$D$7,0,S37*Leadsheet!$D88)</f>
        <v>0</v>
      </c>
      <c r="U38" s="412">
        <f>IF(U$5&gt;$D$7,0,T37*Leadsheet!$D88)</f>
        <v>0</v>
      </c>
      <c r="V38" s="412">
        <f>IF(V$5&gt;$D$7,0,U37*Leadsheet!$D88)</f>
        <v>0</v>
      </c>
      <c r="W38" s="412">
        <f>IF(W$5&gt;$D$7,0,V37*Leadsheet!$D88)</f>
        <v>0</v>
      </c>
      <c r="X38" s="412">
        <f>IF(X$5&gt;$D$7,0,W37*Leadsheet!$D88)</f>
        <v>0</v>
      </c>
      <c r="Y38" s="412">
        <f>IF(Y$5&gt;$D$7,0,X37*Leadsheet!$D88)</f>
        <v>0</v>
      </c>
      <c r="Z38" s="412">
        <f>IF(Z$5&gt;$D$7,0,Y37*Leadsheet!$D88)</f>
        <v>0</v>
      </c>
      <c r="AA38" s="412">
        <f>IF(AA$5&gt;$D$7,0,Z37*Leadsheet!$D88)</f>
        <v>0</v>
      </c>
      <c r="AB38" s="412">
        <f>IF(AB$5&gt;$D$7,0,AA37*Leadsheet!$D88)</f>
        <v>0</v>
      </c>
      <c r="AC38" s="412">
        <f>IF(AC$5&gt;$D$7,0,AB37*Leadsheet!$D88)</f>
        <v>0</v>
      </c>
      <c r="AD38" s="412">
        <f>IF(AD$5&gt;$D$7,0,AC37*Leadsheet!$D88)</f>
        <v>0</v>
      </c>
      <c r="AE38" s="412">
        <f>IF(AE$5&gt;$D$7,0,AD37*Leadsheet!$D88)</f>
        <v>0</v>
      </c>
      <c r="AF38" s="412">
        <f>IF(AF$5&gt;$D$7,0,AE37*Leadsheet!$D88)</f>
        <v>0</v>
      </c>
      <c r="AG38" s="412">
        <f>IF(AG$5&gt;$D$7,0,AF37*Leadsheet!$D88)</f>
        <v>0</v>
      </c>
      <c r="AH38" s="412">
        <f>IF(AH$5&gt;$D$7,0,AG37*Leadsheet!$D88)</f>
        <v>0</v>
      </c>
      <c r="AI38" s="412">
        <f>IF(AI$5&gt;$D$7,0,AH37*Leadsheet!$D88)</f>
        <v>0</v>
      </c>
      <c r="AJ38" s="412">
        <f>IF(AJ$5&gt;$D$7,0,AI37*Leadsheet!$D88)</f>
        <v>0</v>
      </c>
      <c r="AK38" s="412">
        <f>IF(AK$5&gt;$D$7,0,AJ37*Leadsheet!$D88)</f>
        <v>0</v>
      </c>
      <c r="AL38" s="412">
        <f>IF(AL$5&gt;$D$7,0,AK37*Leadsheet!$D88)</f>
        <v>0</v>
      </c>
      <c r="AM38" s="412">
        <f>IF(AM$5&gt;$D$7,0,AL37*Leadsheet!$D88)</f>
        <v>0</v>
      </c>
      <c r="AN38" s="412">
        <f>IF(AN$5&gt;$D$7,0,AM37*Leadsheet!$D88)</f>
        <v>0</v>
      </c>
      <c r="AO38" s="412">
        <f>IF(AO$5&gt;$D$7,0,AN37*Leadsheet!$D88)</f>
        <v>0</v>
      </c>
      <c r="AP38" s="412">
        <f>IF(AP$5&gt;$D$7,0,AO37*Leadsheet!$D88)</f>
        <v>0</v>
      </c>
      <c r="AQ38" s="412">
        <f>IF(AQ$5&gt;$D$7,0,AP37*Leadsheet!$D88)</f>
        <v>0</v>
      </c>
      <c r="AR38" s="412">
        <f>IF(AR$5&gt;$D$7,0,AQ37*Leadsheet!$D88)</f>
        <v>0</v>
      </c>
      <c r="AS38" s="412">
        <f>IF(AS$5&gt;$D$7,0,AR37*Leadsheet!$D88)</f>
        <v>0</v>
      </c>
      <c r="AT38" s="412">
        <f>IF(AT$5&gt;$D$7,0,AS37*Leadsheet!$D88)</f>
        <v>0</v>
      </c>
      <c r="AU38" s="412">
        <f>IF(AU$5&gt;$D$7,0,AT37*Leadsheet!$D88)</f>
        <v>0</v>
      </c>
      <c r="AV38" s="412">
        <f>IF(AV$5&gt;$D$7,0,AU37*Leadsheet!$D88)</f>
        <v>0</v>
      </c>
      <c r="AW38" s="412">
        <f>IF(AW$5&gt;$D$7,0,AV37*Leadsheet!$D88)</f>
        <v>0</v>
      </c>
      <c r="AX38" s="412">
        <f>IF(AX$5&gt;$D$7,0,AW37*Leadsheet!$D88)</f>
        <v>0</v>
      </c>
      <c r="AY38" s="412">
        <f>IF(AY$5&gt;$D$7,0,AX37*Leadsheet!$D88)</f>
        <v>0</v>
      </c>
      <c r="AZ38" s="412">
        <f>IF(AZ$5&gt;$D$7,0,AY37*Leadsheet!$D88)</f>
        <v>0</v>
      </c>
      <c r="BA38" s="412">
        <f>IF(BA$5&gt;$D$7,0,AZ37*Leadsheet!$D88)</f>
        <v>0</v>
      </c>
      <c r="BB38" s="412">
        <f>IF(BB$5&gt;$D$7,0,BA37*Leadsheet!$D88)</f>
        <v>0</v>
      </c>
      <c r="BC38" s="412">
        <f>IF(BC$5&gt;$D$7,0,BB37*Leadsheet!$D88)</f>
        <v>0</v>
      </c>
      <c r="BD38" s="412">
        <f>IF(BD$5&gt;$D$7,0,BC37*Leadsheet!$D88)</f>
        <v>0</v>
      </c>
      <c r="BE38" s="412">
        <f>IF(BE$5&gt;$D$7,0,BD37*Leadsheet!$D88)</f>
        <v>0</v>
      </c>
      <c r="BF38" s="412">
        <f>IF(BF$5&gt;$D$7,0,BE37*Leadsheet!$D88)</f>
        <v>0</v>
      </c>
      <c r="BG38" s="412">
        <f>IF(BG$5&gt;$D$7,0,BF37*Leadsheet!$D88)</f>
        <v>0</v>
      </c>
      <c r="BH38" s="412">
        <f>IF(BH$5&gt;$D$7,0,BG37*Leadsheet!$D88)</f>
        <v>0</v>
      </c>
      <c r="BI38" s="412">
        <f>IF(BI$5&gt;$D$7,0,BH37*Leadsheet!$D88)</f>
        <v>0</v>
      </c>
      <c r="BJ38" s="412">
        <f>IF(BJ$5&gt;$D$7,0,BI37*Leadsheet!$D88)</f>
        <v>0</v>
      </c>
      <c r="BK38" s="412">
        <f>IF(BK$5&gt;$D$7,0,BJ37*Leadsheet!$D88)</f>
        <v>0</v>
      </c>
      <c r="BL38" s="412">
        <f>IF(BL$5&gt;$D$7,0,BK37*Leadsheet!$D88)</f>
        <v>0</v>
      </c>
    </row>
    <row r="39" spans="1:64" x14ac:dyDescent="0.15">
      <c r="A39" s="414" t="s">
        <v>513</v>
      </c>
      <c r="B39" s="415" t="s">
        <v>514</v>
      </c>
      <c r="C39" s="257" t="s">
        <v>515</v>
      </c>
      <c r="D39" s="416"/>
      <c r="E39" s="412">
        <f t="shared" ref="E39:BL39" si="5">IF(E5&gt;$D$7,0,D38+D39)</f>
        <v>0</v>
      </c>
      <c r="F39" s="412">
        <f t="shared" si="5"/>
        <v>0</v>
      </c>
      <c r="G39" s="412">
        <f t="shared" si="5"/>
        <v>0</v>
      </c>
      <c r="H39" s="412">
        <f t="shared" si="5"/>
        <v>0</v>
      </c>
      <c r="I39" s="412">
        <f t="shared" si="5"/>
        <v>0</v>
      </c>
      <c r="J39" s="412">
        <f t="shared" si="5"/>
        <v>0</v>
      </c>
      <c r="K39" s="412">
        <f t="shared" si="5"/>
        <v>0</v>
      </c>
      <c r="L39" s="412">
        <f t="shared" si="5"/>
        <v>0</v>
      </c>
      <c r="M39" s="412">
        <f t="shared" si="5"/>
        <v>0</v>
      </c>
      <c r="N39" s="412">
        <f t="shared" si="5"/>
        <v>0</v>
      </c>
      <c r="O39" s="412">
        <f t="shared" si="5"/>
        <v>0</v>
      </c>
      <c r="P39" s="412">
        <f t="shared" si="5"/>
        <v>0</v>
      </c>
      <c r="Q39" s="412">
        <f t="shared" si="5"/>
        <v>0</v>
      </c>
      <c r="R39" s="412">
        <f t="shared" si="5"/>
        <v>0</v>
      </c>
      <c r="S39" s="412">
        <f t="shared" si="5"/>
        <v>0</v>
      </c>
      <c r="T39" s="412">
        <f t="shared" si="5"/>
        <v>0</v>
      </c>
      <c r="U39" s="412">
        <f t="shared" si="5"/>
        <v>0</v>
      </c>
      <c r="V39" s="412">
        <f t="shared" si="5"/>
        <v>0</v>
      </c>
      <c r="W39" s="412">
        <f t="shared" si="5"/>
        <v>0</v>
      </c>
      <c r="X39" s="412">
        <f t="shared" si="5"/>
        <v>0</v>
      </c>
      <c r="Y39" s="412">
        <f t="shared" si="5"/>
        <v>0</v>
      </c>
      <c r="Z39" s="412">
        <f t="shared" si="5"/>
        <v>0</v>
      </c>
      <c r="AA39" s="412">
        <f t="shared" si="5"/>
        <v>0</v>
      </c>
      <c r="AB39" s="412">
        <f t="shared" si="5"/>
        <v>0</v>
      </c>
      <c r="AC39" s="412">
        <f t="shared" si="5"/>
        <v>0</v>
      </c>
      <c r="AD39" s="412">
        <f t="shared" si="5"/>
        <v>0</v>
      </c>
      <c r="AE39" s="412">
        <f t="shared" si="5"/>
        <v>0</v>
      </c>
      <c r="AF39" s="412">
        <f t="shared" si="5"/>
        <v>0</v>
      </c>
      <c r="AG39" s="412">
        <f t="shared" si="5"/>
        <v>0</v>
      </c>
      <c r="AH39" s="412">
        <f t="shared" si="5"/>
        <v>0</v>
      </c>
      <c r="AI39" s="412">
        <f t="shared" si="5"/>
        <v>0</v>
      </c>
      <c r="AJ39" s="412">
        <f t="shared" si="5"/>
        <v>0</v>
      </c>
      <c r="AK39" s="412">
        <f t="shared" si="5"/>
        <v>0</v>
      </c>
      <c r="AL39" s="412">
        <f t="shared" si="5"/>
        <v>0</v>
      </c>
      <c r="AM39" s="412">
        <f t="shared" si="5"/>
        <v>0</v>
      </c>
      <c r="AN39" s="412">
        <f t="shared" si="5"/>
        <v>0</v>
      </c>
      <c r="AO39" s="412">
        <f t="shared" si="5"/>
        <v>0</v>
      </c>
      <c r="AP39" s="412">
        <f t="shared" si="5"/>
        <v>0</v>
      </c>
      <c r="AQ39" s="412">
        <f t="shared" si="5"/>
        <v>0</v>
      </c>
      <c r="AR39" s="412">
        <f t="shared" si="5"/>
        <v>0</v>
      </c>
      <c r="AS39" s="412">
        <f t="shared" si="5"/>
        <v>0</v>
      </c>
      <c r="AT39" s="412">
        <f t="shared" si="5"/>
        <v>0</v>
      </c>
      <c r="AU39" s="412">
        <f t="shared" si="5"/>
        <v>0</v>
      </c>
      <c r="AV39" s="412">
        <f t="shared" si="5"/>
        <v>0</v>
      </c>
      <c r="AW39" s="412">
        <f t="shared" si="5"/>
        <v>0</v>
      </c>
      <c r="AX39" s="412">
        <f t="shared" si="5"/>
        <v>0</v>
      </c>
      <c r="AY39" s="412">
        <f t="shared" si="5"/>
        <v>0</v>
      </c>
      <c r="AZ39" s="412">
        <f t="shared" si="5"/>
        <v>0</v>
      </c>
      <c r="BA39" s="412">
        <f t="shared" si="5"/>
        <v>0</v>
      </c>
      <c r="BB39" s="412">
        <f t="shared" si="5"/>
        <v>0</v>
      </c>
      <c r="BC39" s="412">
        <f t="shared" si="5"/>
        <v>0</v>
      </c>
      <c r="BD39" s="412">
        <f t="shared" si="5"/>
        <v>0</v>
      </c>
      <c r="BE39" s="412">
        <f t="shared" si="5"/>
        <v>0</v>
      </c>
      <c r="BF39" s="412">
        <f t="shared" si="5"/>
        <v>0</v>
      </c>
      <c r="BG39" s="412">
        <f t="shared" si="5"/>
        <v>0</v>
      </c>
      <c r="BH39" s="412">
        <f t="shared" si="5"/>
        <v>0</v>
      </c>
      <c r="BI39" s="412">
        <f t="shared" si="5"/>
        <v>0</v>
      </c>
      <c r="BJ39" s="412">
        <f t="shared" si="5"/>
        <v>0</v>
      </c>
      <c r="BK39" s="412">
        <f t="shared" si="5"/>
        <v>0</v>
      </c>
      <c r="BL39" s="412">
        <f t="shared" si="5"/>
        <v>0</v>
      </c>
    </row>
    <row r="40" spans="1:64" x14ac:dyDescent="0.15">
      <c r="E40" s="279"/>
      <c r="F40" s="279"/>
      <c r="G40" s="279"/>
      <c r="H40" s="279"/>
      <c r="I40" s="279"/>
      <c r="J40" s="279"/>
      <c r="K40" s="279"/>
      <c r="L40" s="279"/>
      <c r="M40" s="279"/>
      <c r="N40" s="279"/>
      <c r="O40" s="279"/>
      <c r="P40" s="279"/>
      <c r="Q40" s="279"/>
      <c r="R40" s="279"/>
      <c r="S40" s="279"/>
      <c r="T40" s="279"/>
      <c r="U40" s="279"/>
      <c r="V40" s="279"/>
      <c r="W40" s="279"/>
      <c r="X40" s="279"/>
      <c r="Y40" s="279"/>
      <c r="Z40" s="279"/>
      <c r="AA40" s="279"/>
      <c r="AB40" s="279"/>
      <c r="AC40" s="279"/>
      <c r="AD40" s="279"/>
      <c r="AE40" s="279"/>
      <c r="AF40" s="279"/>
      <c r="AG40" s="279"/>
      <c r="AH40" s="279"/>
      <c r="AI40" s="279"/>
      <c r="AJ40" s="279"/>
      <c r="AK40" s="279"/>
      <c r="AL40" s="279"/>
      <c r="AM40" s="279"/>
      <c r="AN40" s="279"/>
      <c r="AO40" s="279"/>
      <c r="AP40" s="279"/>
      <c r="AQ40" s="279"/>
      <c r="AR40" s="279"/>
      <c r="AS40" s="279"/>
      <c r="AT40" s="279"/>
      <c r="AU40" s="279"/>
      <c r="AV40" s="279"/>
      <c r="AW40" s="279"/>
      <c r="AX40" s="279"/>
      <c r="AY40" s="279"/>
      <c r="AZ40" s="279"/>
      <c r="BA40" s="279"/>
      <c r="BB40" s="279"/>
      <c r="BC40" s="279"/>
      <c r="BD40" s="335"/>
      <c r="BE40" s="335"/>
      <c r="BF40" s="335"/>
      <c r="BG40" s="335"/>
      <c r="BH40" s="335"/>
      <c r="BI40" s="335"/>
      <c r="BJ40" s="335"/>
      <c r="BK40" s="335"/>
      <c r="BL40" s="335"/>
    </row>
    <row r="41" spans="1:64" x14ac:dyDescent="0.15">
      <c r="B41" s="337" t="s">
        <v>295</v>
      </c>
      <c r="C41" s="394"/>
      <c r="E41" s="418"/>
      <c r="F41" s="418"/>
      <c r="G41" s="418"/>
      <c r="H41" s="418"/>
      <c r="I41" s="418"/>
      <c r="J41" s="418"/>
      <c r="K41" s="418"/>
      <c r="L41" s="418"/>
      <c r="M41" s="418"/>
      <c r="N41" s="418"/>
      <c r="O41" s="418"/>
      <c r="P41" s="418"/>
      <c r="Q41" s="418"/>
      <c r="R41" s="418"/>
      <c r="S41" s="418"/>
      <c r="T41" s="330"/>
      <c r="U41" s="330"/>
      <c r="V41" s="330"/>
      <c r="W41" s="330"/>
      <c r="X41" s="330"/>
      <c r="Y41" s="330"/>
      <c r="Z41" s="330"/>
      <c r="AA41" s="330"/>
      <c r="AB41" s="330"/>
    </row>
    <row r="42" spans="1:64" s="335" customFormat="1" x14ac:dyDescent="0.15">
      <c r="C42" s="337" t="s">
        <v>516</v>
      </c>
      <c r="D42" s="406">
        <f t="shared" ref="D42:BL42" si="6">SUM(D25:D39)</f>
        <v>3.5358328850990226</v>
      </c>
      <c r="E42" s="406">
        <f t="shared" si="6"/>
        <v>0.26165163349732767</v>
      </c>
      <c r="F42" s="406">
        <f t="shared" si="6"/>
        <v>0.20801304863037551</v>
      </c>
      <c r="G42" s="406">
        <f t="shared" si="6"/>
        <v>0.19787875335297817</v>
      </c>
      <c r="H42" s="406">
        <f t="shared" si="6"/>
        <v>0.1931738003985628</v>
      </c>
      <c r="I42" s="406">
        <f t="shared" si="6"/>
        <v>0.19113371034002682</v>
      </c>
      <c r="J42" s="406">
        <f t="shared" si="6"/>
        <v>0.18922237323662655</v>
      </c>
      <c r="K42" s="406">
        <f t="shared" si="6"/>
        <v>0.18770859425073352</v>
      </c>
      <c r="L42" s="406">
        <f t="shared" si="6"/>
        <v>0</v>
      </c>
      <c r="M42" s="406">
        <f t="shared" si="6"/>
        <v>0</v>
      </c>
      <c r="N42" s="406">
        <f t="shared" si="6"/>
        <v>0</v>
      </c>
      <c r="O42" s="406">
        <f t="shared" si="6"/>
        <v>0</v>
      </c>
      <c r="P42" s="406">
        <f t="shared" si="6"/>
        <v>0</v>
      </c>
      <c r="Q42" s="406">
        <f t="shared" si="6"/>
        <v>0</v>
      </c>
      <c r="R42" s="406">
        <f t="shared" si="6"/>
        <v>0</v>
      </c>
      <c r="S42" s="406">
        <f t="shared" si="6"/>
        <v>0</v>
      </c>
      <c r="T42" s="406">
        <f t="shared" si="6"/>
        <v>0</v>
      </c>
      <c r="U42" s="406">
        <f t="shared" si="6"/>
        <v>0</v>
      </c>
      <c r="V42" s="406">
        <f t="shared" si="6"/>
        <v>0</v>
      </c>
      <c r="W42" s="406">
        <f t="shared" si="6"/>
        <v>0</v>
      </c>
      <c r="X42" s="406">
        <f t="shared" si="6"/>
        <v>0</v>
      </c>
      <c r="Y42" s="406">
        <f>SUM(Y25:Y39)</f>
        <v>0</v>
      </c>
      <c r="Z42" s="406">
        <f t="shared" si="6"/>
        <v>0</v>
      </c>
      <c r="AA42" s="406">
        <f t="shared" si="6"/>
        <v>0</v>
      </c>
      <c r="AB42" s="406">
        <f t="shared" si="6"/>
        <v>0</v>
      </c>
      <c r="AC42" s="406">
        <f t="shared" si="6"/>
        <v>0</v>
      </c>
      <c r="AD42" s="406">
        <f t="shared" si="6"/>
        <v>0</v>
      </c>
      <c r="AE42" s="406">
        <f t="shared" si="6"/>
        <v>0</v>
      </c>
      <c r="AF42" s="406">
        <f t="shared" si="6"/>
        <v>0</v>
      </c>
      <c r="AG42" s="406">
        <f t="shared" si="6"/>
        <v>0</v>
      </c>
      <c r="AH42" s="406">
        <f t="shared" si="6"/>
        <v>0</v>
      </c>
      <c r="AI42" s="406">
        <f t="shared" si="6"/>
        <v>0</v>
      </c>
      <c r="AJ42" s="406">
        <f t="shared" si="6"/>
        <v>0</v>
      </c>
      <c r="AK42" s="406">
        <f t="shared" si="6"/>
        <v>0</v>
      </c>
      <c r="AL42" s="406">
        <f t="shared" si="6"/>
        <v>0</v>
      </c>
      <c r="AM42" s="406">
        <f t="shared" si="6"/>
        <v>0</v>
      </c>
      <c r="AN42" s="406">
        <f t="shared" si="6"/>
        <v>0</v>
      </c>
      <c r="AO42" s="406">
        <f t="shared" si="6"/>
        <v>0</v>
      </c>
      <c r="AP42" s="406">
        <f t="shared" si="6"/>
        <v>0</v>
      </c>
      <c r="AQ42" s="406">
        <f t="shared" si="6"/>
        <v>0</v>
      </c>
      <c r="AR42" s="406">
        <f t="shared" si="6"/>
        <v>0</v>
      </c>
      <c r="AS42" s="406">
        <f t="shared" si="6"/>
        <v>0</v>
      </c>
      <c r="AT42" s="406">
        <f t="shared" si="6"/>
        <v>0</v>
      </c>
      <c r="AU42" s="406">
        <f t="shared" si="6"/>
        <v>0</v>
      </c>
      <c r="AV42" s="406">
        <f t="shared" si="6"/>
        <v>0</v>
      </c>
      <c r="AW42" s="406">
        <f t="shared" si="6"/>
        <v>0</v>
      </c>
      <c r="AX42" s="406">
        <f t="shared" si="6"/>
        <v>0</v>
      </c>
      <c r="AY42" s="406">
        <f t="shared" si="6"/>
        <v>0</v>
      </c>
      <c r="AZ42" s="406">
        <f t="shared" si="6"/>
        <v>0</v>
      </c>
      <c r="BA42" s="406">
        <f t="shared" si="6"/>
        <v>0</v>
      </c>
      <c r="BB42" s="406">
        <f t="shared" si="6"/>
        <v>0</v>
      </c>
      <c r="BC42" s="406">
        <f t="shared" si="6"/>
        <v>0</v>
      </c>
      <c r="BD42" s="406">
        <f t="shared" si="6"/>
        <v>0</v>
      </c>
      <c r="BE42" s="406">
        <f t="shared" si="6"/>
        <v>0</v>
      </c>
      <c r="BF42" s="406">
        <f t="shared" si="6"/>
        <v>0</v>
      </c>
      <c r="BG42" s="406">
        <f t="shared" si="6"/>
        <v>0</v>
      </c>
      <c r="BH42" s="406">
        <f t="shared" si="6"/>
        <v>0</v>
      </c>
      <c r="BI42" s="406">
        <f t="shared" si="6"/>
        <v>0</v>
      </c>
      <c r="BJ42" s="406">
        <f t="shared" si="6"/>
        <v>0</v>
      </c>
      <c r="BK42" s="406">
        <f t="shared" si="6"/>
        <v>0</v>
      </c>
      <c r="BL42" s="406">
        <f t="shared" si="6"/>
        <v>0</v>
      </c>
    </row>
    <row r="43" spans="1:64" s="337" customFormat="1" x14ac:dyDescent="0.15">
      <c r="C43" s="407" t="s">
        <v>517</v>
      </c>
      <c r="D43" s="335" cm="1">
        <f t="array" ref="D43">IF(D5=$D$7,0,_xlfn.IFS(Leadsheet!$G$5="DPD360+",SUM(SAP_Speadsheet!D25:D38),Leadsheet!$G$5="DPD180+",SUM(SAP_Speadsheet!D25:D32)))</f>
        <v>3.5358328850990226</v>
      </c>
      <c r="E43" s="335" cm="1">
        <f t="array" ref="E43">IF(E5=$D$7,0,_xlfn.IFS(Leadsheet!$G$5="DPD360+",SUM(SAP_Speadsheet!E25:E38),Leadsheet!$G$5="DPD180+",SUM(SAP_Speadsheet!E25:E32)))</f>
        <v>0.26165163349732767</v>
      </c>
      <c r="F43" s="335" cm="1">
        <f t="array" ref="F43">IF(F5=$D$7,0,_xlfn.IFS(Leadsheet!$G$5="DPD360+",SUM(SAP_Speadsheet!F25:F38),Leadsheet!$G$5="DPD180+",SUM(SAP_Speadsheet!F25:F32)))</f>
        <v>0.20801304863037551</v>
      </c>
      <c r="G43" s="335" cm="1">
        <f t="array" ref="G43">IF(G5=$D$7,0,_xlfn.IFS(Leadsheet!$G$5="DPD360+",SUM(SAP_Speadsheet!G25:G38),Leadsheet!$G$5="DPD180+",SUM(SAP_Speadsheet!G25:G32)))</f>
        <v>0.19787875335297817</v>
      </c>
      <c r="H43" s="335" cm="1">
        <f t="array" ref="H43">IF(H5=$D$7,0,_xlfn.IFS(Leadsheet!$G$5="DPD360+",SUM(SAP_Speadsheet!H25:H38),Leadsheet!$G$5="DPD180+",SUM(SAP_Speadsheet!H25:H32)))</f>
        <v>0.1931738003985628</v>
      </c>
      <c r="I43" s="335" cm="1">
        <f t="array" ref="I43">IF(I5=$D$7,0,_xlfn.IFS(Leadsheet!$G$5="DPD360+",SUM(SAP_Speadsheet!I25:I38),Leadsheet!$G$5="DPD180+",SUM(SAP_Speadsheet!I25:I32)))</f>
        <v>0.19113371034002682</v>
      </c>
      <c r="J43" s="335" cm="1">
        <f t="array" ref="J43">IF(J5=$D$7,0,_xlfn.IFS(Leadsheet!$G$5="DPD360+",SUM(SAP_Speadsheet!J25:J38),Leadsheet!$G$5="DPD180+",SUM(SAP_Speadsheet!J25:J32)))</f>
        <v>0.18922237323662655</v>
      </c>
      <c r="K43" s="335" cm="1">
        <f t="array" ref="K43">IF(K5=$D$7,0,_xlfn.IFS(Leadsheet!$G$5="DPD360+",SUM(SAP_Speadsheet!K25:K38),Leadsheet!$G$5="DPD180+",SUM(SAP_Speadsheet!K25:K32)))</f>
        <v>0</v>
      </c>
      <c r="L43" s="335" cm="1">
        <f t="array" ref="L43">IF(L5=$D$7,0,_xlfn.IFS(Leadsheet!$G$5="DPD360+",SUM(SAP_Speadsheet!L25:L38),Leadsheet!$G$5="DPD180+",SUM(SAP_Speadsheet!L25:L32)))</f>
        <v>0</v>
      </c>
      <c r="M43" s="335" cm="1">
        <f t="array" ref="M43">IF(M5=$D$7,0,_xlfn.IFS(Leadsheet!$G$5="DPD360+",SUM(SAP_Speadsheet!M25:M38),Leadsheet!$G$5="DPD180+",SUM(SAP_Speadsheet!M25:M32)))</f>
        <v>0</v>
      </c>
      <c r="N43" s="335" cm="1">
        <f t="array" ref="N43">IF(N5=$D$7,0,_xlfn.IFS(Leadsheet!$G$5="DPD360+",SUM(SAP_Speadsheet!N25:N38),Leadsheet!$G$5="DPD180+",SUM(SAP_Speadsheet!N25:N32)))</f>
        <v>0</v>
      </c>
      <c r="O43" s="335" cm="1">
        <f t="array" ref="O43">IF(O5=$D$7,0,_xlfn.IFS(Leadsheet!$G$5="DPD360+",SUM(SAP_Speadsheet!O25:O38),Leadsheet!$G$5="DPD180+",SUM(SAP_Speadsheet!O25:O32)))</f>
        <v>0</v>
      </c>
      <c r="P43" s="335" cm="1">
        <f t="array" ref="P43">IF(P5=$D$7,0,_xlfn.IFS(Leadsheet!$G$5="DPD360+",SUM(SAP_Speadsheet!P25:P38),Leadsheet!$G$5="DPD180+",SUM(SAP_Speadsheet!P25:P32)))</f>
        <v>0</v>
      </c>
      <c r="Q43" s="335" cm="1">
        <f t="array" ref="Q43">IF(Q5=$D$7,0,_xlfn.IFS(Leadsheet!$G$5="DPD360+",SUM(SAP_Speadsheet!Q25:Q38),Leadsheet!$G$5="DPD180+",SUM(SAP_Speadsheet!Q25:Q32)))</f>
        <v>0</v>
      </c>
      <c r="R43" s="335" cm="1">
        <f t="array" ref="R43">IF(R5=$D$7,0,_xlfn.IFS(Leadsheet!$G$5="DPD360+",SUM(SAP_Speadsheet!R25:R38),Leadsheet!$G$5="DPD180+",SUM(SAP_Speadsheet!R25:R32)))</f>
        <v>0</v>
      </c>
      <c r="S43" s="335" cm="1">
        <f t="array" ref="S43">IF(S5=$D$7,0,_xlfn.IFS(Leadsheet!$G$5="DPD360+",SUM(SAP_Speadsheet!S25:S38),Leadsheet!$G$5="DPD180+",SUM(SAP_Speadsheet!S25:S32)))</f>
        <v>0</v>
      </c>
      <c r="T43" s="335" cm="1">
        <f t="array" ref="T43">IF(T5=$D$7,0,_xlfn.IFS(Leadsheet!$G$5="DPD360+",SUM(SAP_Speadsheet!T25:T38),Leadsheet!$G$5="DPD180+",SUM(SAP_Speadsheet!T25:T32)))</f>
        <v>0</v>
      </c>
      <c r="U43" s="335" cm="1">
        <f t="array" ref="U43">IF(U5=$D$7,0,_xlfn.IFS(Leadsheet!$G$5="DPD360+",SUM(SAP_Speadsheet!U25:U38),Leadsheet!$G$5="DPD180+",SUM(SAP_Speadsheet!U25:U32)))</f>
        <v>0</v>
      </c>
      <c r="V43" s="335" cm="1">
        <f t="array" ref="V43">IF(V5=$D$7,0,_xlfn.IFS(Leadsheet!$G$5="DPD360+",SUM(SAP_Speadsheet!V25:V38),Leadsheet!$G$5="DPD180+",SUM(SAP_Speadsheet!V25:V32)))</f>
        <v>0</v>
      </c>
      <c r="W43" s="335" cm="1">
        <f t="array" ref="W43">IF(W5=$D$7,0,_xlfn.IFS(Leadsheet!$G$5="DPD360+",SUM(SAP_Speadsheet!W25:W38),Leadsheet!$G$5="DPD180+",SUM(SAP_Speadsheet!W25:W32)))</f>
        <v>0</v>
      </c>
      <c r="X43" s="335" cm="1">
        <f t="array" ref="X43">IF(X5=$D$7,0,_xlfn.IFS(Leadsheet!$G$5="DPD360+",SUM(SAP_Speadsheet!X25:X38),Leadsheet!$G$5="DPD180+",SUM(SAP_Speadsheet!X25:X32)))</f>
        <v>0</v>
      </c>
      <c r="Y43" s="335" cm="1">
        <f t="array" ref="Y43">IF(Y5=$D$7,0,_xlfn.IFS(Leadsheet!$G$5="DPD360+",SUM(SAP_Speadsheet!Y25:Y38),Leadsheet!$G$5="DPD180+",SUM(SAP_Speadsheet!Y25:Y32)))</f>
        <v>0</v>
      </c>
      <c r="Z43" s="335" cm="1">
        <f t="array" ref="Z43">IF(Z5=$D$7,0,_xlfn.IFS(Leadsheet!$G$5="DPD360+",SUM(SAP_Speadsheet!Z25:Z38),Leadsheet!$G$5="DPD180+",SUM(SAP_Speadsheet!Z25:Z32)))</f>
        <v>0</v>
      </c>
      <c r="AA43" s="335" cm="1">
        <f t="array" ref="AA43">IF(AA5=$D$7,0,_xlfn.IFS(Leadsheet!$G$5="DPD360+",SUM(SAP_Speadsheet!AA25:AA38),Leadsheet!$G$5="DPD180+",SUM(SAP_Speadsheet!AA25:AA32)))</f>
        <v>0</v>
      </c>
      <c r="AB43" s="335" cm="1">
        <f t="array" ref="AB43">IF(AB5=$D$7,0,_xlfn.IFS(Leadsheet!$G$5="DPD360+",SUM(SAP_Speadsheet!AB25:AB38),Leadsheet!$G$5="DPD180+",SUM(SAP_Speadsheet!AB25:AB32)))</f>
        <v>0</v>
      </c>
      <c r="AC43" s="335" cm="1">
        <f t="array" ref="AC43">IF(AC5=$D$7,0,_xlfn.IFS(Leadsheet!$G$5="DPD360+",SUM(SAP_Speadsheet!AC25:AC38),Leadsheet!$G$5="DPD180+",SUM(SAP_Speadsheet!AC25:AC32)))</f>
        <v>0</v>
      </c>
      <c r="AD43" s="335" cm="1">
        <f t="array" ref="AD43">IF(AD5=$D$7,0,_xlfn.IFS(Leadsheet!$G$5="DPD360+",SUM(SAP_Speadsheet!AD25:AD38),Leadsheet!$G$5="DPD180+",SUM(SAP_Speadsheet!AD25:AD32)))</f>
        <v>0</v>
      </c>
      <c r="AE43" s="335" cm="1">
        <f t="array" ref="AE43">IF(AE5=$D$7,0,_xlfn.IFS(Leadsheet!$G$5="DPD360+",SUM(SAP_Speadsheet!AE25:AE38),Leadsheet!$G$5="DPD180+",SUM(SAP_Speadsheet!AE25:AE32)))</f>
        <v>0</v>
      </c>
      <c r="AF43" s="335" cm="1">
        <f t="array" ref="AF43">IF(AF5=$D$7,0,_xlfn.IFS(Leadsheet!$G$5="DPD360+",SUM(SAP_Speadsheet!AF25:AF38),Leadsheet!$G$5="DPD180+",SUM(SAP_Speadsheet!AF25:AF32)))</f>
        <v>0</v>
      </c>
      <c r="AG43" s="335" cm="1">
        <f t="array" ref="AG43">IF(AG5=$D$7,0,_xlfn.IFS(Leadsheet!$G$5="DPD360+",SUM(SAP_Speadsheet!AG25:AG38),Leadsheet!$G$5="DPD180+",SUM(SAP_Speadsheet!AG25:AG32)))</f>
        <v>0</v>
      </c>
      <c r="AH43" s="335" cm="1">
        <f t="array" ref="AH43">IF(AH5=$D$7,0,_xlfn.IFS(Leadsheet!$G$5="DPD360+",SUM(SAP_Speadsheet!AH25:AH38),Leadsheet!$G$5="DPD180+",SUM(SAP_Speadsheet!AH25:AH32)))</f>
        <v>0</v>
      </c>
      <c r="AI43" s="335" cm="1">
        <f t="array" ref="AI43">IF(AI5=$D$7,0,_xlfn.IFS(Leadsheet!$G$5="DPD360+",SUM(SAP_Speadsheet!AI25:AI38),Leadsheet!$G$5="DPD180+",SUM(SAP_Speadsheet!AI25:AI32)))</f>
        <v>0</v>
      </c>
      <c r="AJ43" s="335" cm="1">
        <f t="array" ref="AJ43">IF(AJ5=$D$7,0,_xlfn.IFS(Leadsheet!$G$5="DPD360+",SUM(SAP_Speadsheet!AJ25:AJ38),Leadsheet!$G$5="DPD180+",SUM(SAP_Speadsheet!AJ25:AJ32)))</f>
        <v>0</v>
      </c>
      <c r="AK43" s="335" cm="1">
        <f t="array" ref="AK43">IF(AK5=$D$7,0,_xlfn.IFS(Leadsheet!$G$5="DPD360+",SUM(SAP_Speadsheet!AK25:AK38),Leadsheet!$G$5="DPD180+",SUM(SAP_Speadsheet!AK25:AK32)))</f>
        <v>0</v>
      </c>
      <c r="AL43" s="335" cm="1">
        <f t="array" ref="AL43">IF(AL5=$D$7,0,_xlfn.IFS(Leadsheet!$G$5="DPD360+",SUM(SAP_Speadsheet!AL25:AL38),Leadsheet!$G$5="DPD180+",SUM(SAP_Speadsheet!AL25:AL32)))</f>
        <v>0</v>
      </c>
      <c r="AM43" s="335" cm="1">
        <f t="array" ref="AM43">IF(AM5=$D$7,0,_xlfn.IFS(Leadsheet!$G$5="DPD360+",SUM(SAP_Speadsheet!AM25:AM38),Leadsheet!$G$5="DPD180+",SUM(SAP_Speadsheet!AM25:AM32)))</f>
        <v>0</v>
      </c>
      <c r="AN43" s="335" cm="1">
        <f t="array" ref="AN43">IF(AN5=$D$7,0,_xlfn.IFS(Leadsheet!$G$5="DPD360+",SUM(SAP_Speadsheet!AN25:AN38),Leadsheet!$G$5="DPD180+",SUM(SAP_Speadsheet!AN25:AN32)))</f>
        <v>0</v>
      </c>
      <c r="AO43" s="335" cm="1">
        <f t="array" ref="AO43">IF(AO5=$D$7,0,_xlfn.IFS(Leadsheet!$G$5="DPD360+",SUM(SAP_Speadsheet!AO25:AO38),Leadsheet!$G$5="DPD180+",SUM(SAP_Speadsheet!AO25:AO32)))</f>
        <v>0</v>
      </c>
      <c r="AP43" s="335" cm="1">
        <f t="array" ref="AP43">IF(AP5=$D$7,0,_xlfn.IFS(Leadsheet!$G$5="DPD360+",SUM(SAP_Speadsheet!AP25:AP38),Leadsheet!$G$5="DPD180+",SUM(SAP_Speadsheet!AP25:AP32)))</f>
        <v>0</v>
      </c>
      <c r="AQ43" s="335" cm="1">
        <f t="array" ref="AQ43">IF(AQ5=$D$7,0,_xlfn.IFS(Leadsheet!$G$5="DPD360+",SUM(SAP_Speadsheet!AQ25:AQ38),Leadsheet!$G$5="DPD180+",SUM(SAP_Speadsheet!AQ25:AQ32)))</f>
        <v>0</v>
      </c>
      <c r="AR43" s="335" cm="1">
        <f t="array" ref="AR43">IF(AR5=$D$7,0,_xlfn.IFS(Leadsheet!$G$5="DPD360+",SUM(SAP_Speadsheet!AR25:AR38),Leadsheet!$G$5="DPD180+",SUM(SAP_Speadsheet!AR25:AR32)))</f>
        <v>0</v>
      </c>
      <c r="AS43" s="335" cm="1">
        <f t="array" ref="AS43">IF(AS5=$D$7,0,_xlfn.IFS(Leadsheet!$G$5="DPD360+",SUM(SAP_Speadsheet!AS25:AS38),Leadsheet!$G$5="DPD180+",SUM(SAP_Speadsheet!AS25:AS32)))</f>
        <v>0</v>
      </c>
      <c r="AT43" s="335" cm="1">
        <f t="array" ref="AT43">IF(AT5=$D$7,0,_xlfn.IFS(Leadsheet!$G$5="DPD360+",SUM(SAP_Speadsheet!AT25:AT38),Leadsheet!$G$5="DPD180+",SUM(SAP_Speadsheet!AT25:AT32)))</f>
        <v>0</v>
      </c>
      <c r="AU43" s="335" cm="1">
        <f t="array" ref="AU43">IF(AU5=$D$7,0,_xlfn.IFS(Leadsheet!$G$5="DPD360+",SUM(SAP_Speadsheet!AU25:AU38),Leadsheet!$G$5="DPD180+",SUM(SAP_Speadsheet!AU25:AU32)))</f>
        <v>0</v>
      </c>
      <c r="AV43" s="335" cm="1">
        <f t="array" ref="AV43">IF(AV5=$D$7,0,_xlfn.IFS(Leadsheet!$G$5="DPD360+",SUM(SAP_Speadsheet!AV25:AV38),Leadsheet!$G$5="DPD180+",SUM(SAP_Speadsheet!AV25:AV32)))</f>
        <v>0</v>
      </c>
      <c r="AW43" s="335" cm="1">
        <f t="array" ref="AW43">IF(AW5=$D$7,0,_xlfn.IFS(Leadsheet!$G$5="DPD360+",SUM(SAP_Speadsheet!AW25:AW38),Leadsheet!$G$5="DPD180+",SUM(SAP_Speadsheet!AW25:AW32)))</f>
        <v>0</v>
      </c>
      <c r="AX43" s="335" cm="1">
        <f t="array" ref="AX43">IF(AX5=$D$7,0,_xlfn.IFS(Leadsheet!$G$5="DPD360+",SUM(SAP_Speadsheet!AX25:AX38),Leadsheet!$G$5="DPD180+",SUM(SAP_Speadsheet!AX25:AX32)))</f>
        <v>0</v>
      </c>
      <c r="AY43" s="335" cm="1">
        <f t="array" ref="AY43">IF(AY5=$D$7,0,_xlfn.IFS(Leadsheet!$G$5="DPD360+",SUM(SAP_Speadsheet!AY25:AY38),Leadsheet!$G$5="DPD180+",SUM(SAP_Speadsheet!AY25:AY32)))</f>
        <v>0</v>
      </c>
      <c r="AZ43" s="335" cm="1">
        <f t="array" ref="AZ43">IF(AZ5=$D$7,0,_xlfn.IFS(Leadsheet!$G$5="DPD360+",SUM(SAP_Speadsheet!AZ25:AZ38),Leadsheet!$G$5="DPD180+",SUM(SAP_Speadsheet!AZ25:AZ32)))</f>
        <v>0</v>
      </c>
      <c r="BA43" s="335" cm="1">
        <f t="array" ref="BA43">IF(BA5=$D$7,0,_xlfn.IFS(Leadsheet!$G$5="DPD360+",SUM(SAP_Speadsheet!BA25:BA38),Leadsheet!$G$5="DPD180+",SUM(SAP_Speadsheet!BA25:BA32)))</f>
        <v>0</v>
      </c>
      <c r="BB43" s="335" cm="1">
        <f t="array" ref="BB43">IF(BB5=$D$7,0,_xlfn.IFS(Leadsheet!$G$5="DPD360+",SUM(SAP_Speadsheet!BB25:BB38),Leadsheet!$G$5="DPD180+",SUM(SAP_Speadsheet!BB25:BB32)))</f>
        <v>0</v>
      </c>
      <c r="BC43" s="335" cm="1">
        <f t="array" ref="BC43">IF(BC5=$D$7,0,_xlfn.IFS(Leadsheet!$G$5="DPD360+",SUM(SAP_Speadsheet!BC25:BC38),Leadsheet!$G$5="DPD180+",SUM(SAP_Speadsheet!BC25:BC32)))</f>
        <v>0</v>
      </c>
      <c r="BD43" s="335" cm="1">
        <f t="array" ref="BD43">IF(BD5=$D$7,0,_xlfn.IFS(Leadsheet!$G$5="DPD360+",SUM(SAP_Speadsheet!BD25:BD38),Leadsheet!$G$5="DPD180+",SUM(SAP_Speadsheet!BD25:BD32)))</f>
        <v>0</v>
      </c>
      <c r="BE43" s="335" cm="1">
        <f t="array" ref="BE43">IF(BE5=$D$7,0,_xlfn.IFS(Leadsheet!$G$5="DPD360+",SUM(SAP_Speadsheet!BE25:BE38),Leadsheet!$G$5="DPD180+",SUM(SAP_Speadsheet!BE25:BE32)))</f>
        <v>0</v>
      </c>
      <c r="BF43" s="335" cm="1">
        <f t="array" ref="BF43">IF(BF5=$D$7,0,_xlfn.IFS(Leadsheet!$G$5="DPD360+",SUM(SAP_Speadsheet!BF25:BF38),Leadsheet!$G$5="DPD180+",SUM(SAP_Speadsheet!BF25:BF32)))</f>
        <v>0</v>
      </c>
      <c r="BG43" s="335" cm="1">
        <f t="array" ref="BG43">IF(BG5=$D$7,0,_xlfn.IFS(Leadsheet!$G$5="DPD360+",SUM(SAP_Speadsheet!BG25:BG38),Leadsheet!$G$5="DPD180+",SUM(SAP_Speadsheet!BG25:BG32)))</f>
        <v>0</v>
      </c>
      <c r="BH43" s="335" cm="1">
        <f t="array" ref="BH43">IF(BH5=$D$7,0,_xlfn.IFS(Leadsheet!$G$5="DPD360+",SUM(SAP_Speadsheet!BH25:BH38),Leadsheet!$G$5="DPD180+",SUM(SAP_Speadsheet!BH25:BH32)))</f>
        <v>0</v>
      </c>
      <c r="BI43" s="335" cm="1">
        <f t="array" ref="BI43">IF(BI5=$D$7,0,_xlfn.IFS(Leadsheet!$G$5="DPD360+",SUM(SAP_Speadsheet!BI25:BI38),Leadsheet!$G$5="DPD180+",SUM(SAP_Speadsheet!BI25:BI32)))</f>
        <v>0</v>
      </c>
      <c r="BJ43" s="335" cm="1">
        <f t="array" ref="BJ43">IF(BJ5=$D$7,0,_xlfn.IFS(Leadsheet!$G$5="DPD360+",SUM(SAP_Speadsheet!BJ25:BJ38),Leadsheet!$G$5="DPD180+",SUM(SAP_Speadsheet!BJ25:BJ32)))</f>
        <v>0</v>
      </c>
      <c r="BK43" s="335" cm="1">
        <f t="array" ref="BK43">IF(BK5=$D$7,0,_xlfn.IFS(Leadsheet!$G$5="DPD360+",SUM(SAP_Speadsheet!BK25:BK38),Leadsheet!$G$5="DPD180+",SUM(SAP_Speadsheet!BK25:BK32)))</f>
        <v>0</v>
      </c>
      <c r="BL43" s="335" cm="1">
        <f t="array" ref="BL43">IF(BL5=$D$7,0,_xlfn.IFS(Leadsheet!$G$5="DPD360+",SUM(SAP_Speadsheet!BL25:BL38),Leadsheet!$G$5="DPD180+",SUM(SAP_Speadsheet!BL25:BL32)))</f>
        <v>0</v>
      </c>
    </row>
    <row r="44" spans="1:64" s="337" customFormat="1" x14ac:dyDescent="0.15">
      <c r="C44" s="407" t="s">
        <v>518</v>
      </c>
      <c r="D44" s="335">
        <f>D42-D43</f>
        <v>0</v>
      </c>
      <c r="E44" s="335">
        <f t="shared" ref="E44:BL44" si="7">E42-E43</f>
        <v>0</v>
      </c>
      <c r="F44" s="335">
        <f t="shared" si="7"/>
        <v>0</v>
      </c>
      <c r="G44" s="335">
        <f t="shared" si="7"/>
        <v>0</v>
      </c>
      <c r="H44" s="335">
        <f t="shared" si="7"/>
        <v>0</v>
      </c>
      <c r="I44" s="335">
        <f t="shared" si="7"/>
        <v>0</v>
      </c>
      <c r="J44" s="335">
        <f t="shared" si="7"/>
        <v>0</v>
      </c>
      <c r="K44" s="335">
        <f t="shared" si="7"/>
        <v>0.18770859425073352</v>
      </c>
      <c r="L44" s="335">
        <f t="shared" si="7"/>
        <v>0</v>
      </c>
      <c r="M44" s="335">
        <f t="shared" si="7"/>
        <v>0</v>
      </c>
      <c r="N44" s="335">
        <f t="shared" si="7"/>
        <v>0</v>
      </c>
      <c r="O44" s="335">
        <f t="shared" si="7"/>
        <v>0</v>
      </c>
      <c r="P44" s="335">
        <f t="shared" si="7"/>
        <v>0</v>
      </c>
      <c r="Q44" s="335">
        <f t="shared" si="7"/>
        <v>0</v>
      </c>
      <c r="R44" s="335">
        <f t="shared" si="7"/>
        <v>0</v>
      </c>
      <c r="S44" s="335">
        <f t="shared" si="7"/>
        <v>0</v>
      </c>
      <c r="T44" s="335">
        <f t="shared" si="7"/>
        <v>0</v>
      </c>
      <c r="U44" s="335">
        <f t="shared" si="7"/>
        <v>0</v>
      </c>
      <c r="V44" s="335">
        <f t="shared" si="7"/>
        <v>0</v>
      </c>
      <c r="W44" s="335">
        <f t="shared" si="7"/>
        <v>0</v>
      </c>
      <c r="X44" s="335">
        <f t="shared" si="7"/>
        <v>0</v>
      </c>
      <c r="Y44" s="335">
        <f>Y42-Y43</f>
        <v>0</v>
      </c>
      <c r="Z44" s="335">
        <f t="shared" si="7"/>
        <v>0</v>
      </c>
      <c r="AA44" s="335">
        <f t="shared" si="7"/>
        <v>0</v>
      </c>
      <c r="AB44" s="335">
        <f t="shared" si="7"/>
        <v>0</v>
      </c>
      <c r="AC44" s="335">
        <f t="shared" si="7"/>
        <v>0</v>
      </c>
      <c r="AD44" s="335">
        <f t="shared" si="7"/>
        <v>0</v>
      </c>
      <c r="AE44" s="335">
        <f t="shared" si="7"/>
        <v>0</v>
      </c>
      <c r="AF44" s="335">
        <f t="shared" si="7"/>
        <v>0</v>
      </c>
      <c r="AG44" s="335">
        <f t="shared" si="7"/>
        <v>0</v>
      </c>
      <c r="AH44" s="335">
        <f t="shared" si="7"/>
        <v>0</v>
      </c>
      <c r="AI44" s="335">
        <f t="shared" si="7"/>
        <v>0</v>
      </c>
      <c r="AJ44" s="335">
        <f t="shared" si="7"/>
        <v>0</v>
      </c>
      <c r="AK44" s="335">
        <f t="shared" si="7"/>
        <v>0</v>
      </c>
      <c r="AL44" s="335">
        <f t="shared" si="7"/>
        <v>0</v>
      </c>
      <c r="AM44" s="335">
        <f t="shared" si="7"/>
        <v>0</v>
      </c>
      <c r="AN44" s="335">
        <f t="shared" si="7"/>
        <v>0</v>
      </c>
      <c r="AO44" s="335">
        <f t="shared" si="7"/>
        <v>0</v>
      </c>
      <c r="AP44" s="335">
        <f t="shared" si="7"/>
        <v>0</v>
      </c>
      <c r="AQ44" s="335">
        <f t="shared" si="7"/>
        <v>0</v>
      </c>
      <c r="AR44" s="335">
        <f t="shared" si="7"/>
        <v>0</v>
      </c>
      <c r="AS44" s="335">
        <f t="shared" si="7"/>
        <v>0</v>
      </c>
      <c r="AT44" s="335">
        <f t="shared" si="7"/>
        <v>0</v>
      </c>
      <c r="AU44" s="335">
        <f t="shared" si="7"/>
        <v>0</v>
      </c>
      <c r="AV44" s="335">
        <f t="shared" si="7"/>
        <v>0</v>
      </c>
      <c r="AW44" s="335">
        <f t="shared" si="7"/>
        <v>0</v>
      </c>
      <c r="AX44" s="335">
        <f t="shared" si="7"/>
        <v>0</v>
      </c>
      <c r="AY44" s="335">
        <f t="shared" si="7"/>
        <v>0</v>
      </c>
      <c r="AZ44" s="335">
        <f t="shared" si="7"/>
        <v>0</v>
      </c>
      <c r="BA44" s="335">
        <f t="shared" si="7"/>
        <v>0</v>
      </c>
      <c r="BB44" s="335">
        <f t="shared" si="7"/>
        <v>0</v>
      </c>
      <c r="BC44" s="335">
        <f t="shared" si="7"/>
        <v>0</v>
      </c>
      <c r="BD44" s="335">
        <f t="shared" si="7"/>
        <v>0</v>
      </c>
      <c r="BE44" s="335">
        <f t="shared" si="7"/>
        <v>0</v>
      </c>
      <c r="BF44" s="335">
        <f t="shared" si="7"/>
        <v>0</v>
      </c>
      <c r="BG44" s="335">
        <f t="shared" si="7"/>
        <v>0</v>
      </c>
      <c r="BH44" s="335">
        <f t="shared" si="7"/>
        <v>0</v>
      </c>
      <c r="BI44" s="335">
        <f t="shared" si="7"/>
        <v>0</v>
      </c>
      <c r="BJ44" s="335">
        <f t="shared" si="7"/>
        <v>0</v>
      </c>
      <c r="BK44" s="335">
        <f t="shared" si="7"/>
        <v>0</v>
      </c>
      <c r="BL44" s="335">
        <f t="shared" si="7"/>
        <v>0</v>
      </c>
    </row>
    <row r="45" spans="1:64" s="337" customFormat="1" x14ac:dyDescent="0.15">
      <c r="C45" s="407" t="s">
        <v>519</v>
      </c>
      <c r="D45" s="419">
        <f>IFERROR(D43/D42,"")</f>
        <v>1</v>
      </c>
      <c r="E45" s="419">
        <f t="shared" ref="E45:BL45" si="8">IFERROR(E43/E42,"")</f>
        <v>1</v>
      </c>
      <c r="F45" s="419">
        <f t="shared" si="8"/>
        <v>1</v>
      </c>
      <c r="G45" s="419">
        <f t="shared" si="8"/>
        <v>1</v>
      </c>
      <c r="H45" s="419">
        <f t="shared" si="8"/>
        <v>1</v>
      </c>
      <c r="I45" s="419">
        <f t="shared" si="8"/>
        <v>1</v>
      </c>
      <c r="J45" s="419">
        <f t="shared" si="8"/>
        <v>1</v>
      </c>
      <c r="K45" s="419">
        <f t="shared" si="8"/>
        <v>0</v>
      </c>
      <c r="L45" s="419" t="str">
        <f t="shared" si="8"/>
        <v/>
      </c>
      <c r="M45" s="419" t="str">
        <f t="shared" si="8"/>
        <v/>
      </c>
      <c r="N45" s="419" t="str">
        <f t="shared" si="8"/>
        <v/>
      </c>
      <c r="O45" s="419" t="str">
        <f t="shared" si="8"/>
        <v/>
      </c>
      <c r="P45" s="419" t="str">
        <f t="shared" si="8"/>
        <v/>
      </c>
      <c r="Q45" s="419" t="str">
        <f t="shared" si="8"/>
        <v/>
      </c>
      <c r="R45" s="419" t="str">
        <f t="shared" si="8"/>
        <v/>
      </c>
      <c r="S45" s="419" t="str">
        <f t="shared" si="8"/>
        <v/>
      </c>
      <c r="T45" s="419" t="str">
        <f t="shared" si="8"/>
        <v/>
      </c>
      <c r="U45" s="419" t="str">
        <f t="shared" si="8"/>
        <v/>
      </c>
      <c r="V45" s="419" t="str">
        <f t="shared" si="8"/>
        <v/>
      </c>
      <c r="W45" s="419" t="str">
        <f t="shared" si="8"/>
        <v/>
      </c>
      <c r="X45" s="419" t="str">
        <f t="shared" si="8"/>
        <v/>
      </c>
      <c r="Y45" s="419" t="str">
        <f t="shared" si="8"/>
        <v/>
      </c>
      <c r="Z45" s="419" t="str">
        <f t="shared" si="8"/>
        <v/>
      </c>
      <c r="AA45" s="419" t="str">
        <f t="shared" si="8"/>
        <v/>
      </c>
      <c r="AB45" s="419" t="str">
        <f t="shared" si="8"/>
        <v/>
      </c>
      <c r="AC45" s="419" t="str">
        <f t="shared" si="8"/>
        <v/>
      </c>
      <c r="AD45" s="419" t="str">
        <f t="shared" si="8"/>
        <v/>
      </c>
      <c r="AE45" s="419" t="str">
        <f t="shared" si="8"/>
        <v/>
      </c>
      <c r="AF45" s="419" t="str">
        <f t="shared" si="8"/>
        <v/>
      </c>
      <c r="AG45" s="419" t="str">
        <f t="shared" si="8"/>
        <v/>
      </c>
      <c r="AH45" s="419" t="str">
        <f t="shared" si="8"/>
        <v/>
      </c>
      <c r="AI45" s="419" t="str">
        <f t="shared" si="8"/>
        <v/>
      </c>
      <c r="AJ45" s="419" t="str">
        <f t="shared" si="8"/>
        <v/>
      </c>
      <c r="AK45" s="419" t="str">
        <f t="shared" si="8"/>
        <v/>
      </c>
      <c r="AL45" s="419" t="str">
        <f t="shared" si="8"/>
        <v/>
      </c>
      <c r="AM45" s="419" t="str">
        <f t="shared" si="8"/>
        <v/>
      </c>
      <c r="AN45" s="419" t="str">
        <f t="shared" si="8"/>
        <v/>
      </c>
      <c r="AO45" s="419" t="str">
        <f t="shared" si="8"/>
        <v/>
      </c>
      <c r="AP45" s="419" t="str">
        <f t="shared" si="8"/>
        <v/>
      </c>
      <c r="AQ45" s="419" t="str">
        <f t="shared" si="8"/>
        <v/>
      </c>
      <c r="AR45" s="419" t="str">
        <f t="shared" si="8"/>
        <v/>
      </c>
      <c r="AS45" s="419" t="str">
        <f t="shared" si="8"/>
        <v/>
      </c>
      <c r="AT45" s="419" t="str">
        <f t="shared" si="8"/>
        <v/>
      </c>
      <c r="AU45" s="419" t="str">
        <f t="shared" si="8"/>
        <v/>
      </c>
      <c r="AV45" s="419" t="str">
        <f t="shared" si="8"/>
        <v/>
      </c>
      <c r="AW45" s="419" t="str">
        <f t="shared" si="8"/>
        <v/>
      </c>
      <c r="AX45" s="419" t="str">
        <f t="shared" si="8"/>
        <v/>
      </c>
      <c r="AY45" s="419" t="str">
        <f t="shared" si="8"/>
        <v/>
      </c>
      <c r="AZ45" s="419" t="str">
        <f t="shared" si="8"/>
        <v/>
      </c>
      <c r="BA45" s="419" t="str">
        <f t="shared" si="8"/>
        <v/>
      </c>
      <c r="BB45" s="419" t="str">
        <f t="shared" si="8"/>
        <v/>
      </c>
      <c r="BC45" s="419" t="str">
        <f t="shared" si="8"/>
        <v/>
      </c>
      <c r="BD45" s="419" t="str">
        <f t="shared" si="8"/>
        <v/>
      </c>
      <c r="BE45" s="419" t="str">
        <f t="shared" si="8"/>
        <v/>
      </c>
      <c r="BF45" s="419" t="str">
        <f t="shared" si="8"/>
        <v/>
      </c>
      <c r="BG45" s="419" t="str">
        <f t="shared" si="8"/>
        <v/>
      </c>
      <c r="BH45" s="419" t="str">
        <f t="shared" si="8"/>
        <v/>
      </c>
      <c r="BI45" s="419" t="str">
        <f t="shared" si="8"/>
        <v/>
      </c>
      <c r="BJ45" s="419" t="str">
        <f t="shared" si="8"/>
        <v/>
      </c>
      <c r="BK45" s="419" t="str">
        <f t="shared" si="8"/>
        <v/>
      </c>
      <c r="BL45" s="419" t="str">
        <f t="shared" si="8"/>
        <v/>
      </c>
    </row>
    <row r="46" spans="1:64" s="337" customFormat="1" x14ac:dyDescent="0.15">
      <c r="D46" s="406"/>
      <c r="E46" s="406"/>
      <c r="F46" s="406"/>
      <c r="G46" s="406"/>
      <c r="H46" s="406"/>
      <c r="I46" s="406"/>
      <c r="J46" s="406"/>
      <c r="K46" s="406"/>
      <c r="L46" s="406"/>
      <c r="M46" s="406"/>
      <c r="N46" s="406"/>
      <c r="O46" s="406"/>
      <c r="P46" s="406"/>
      <c r="Q46" s="406"/>
      <c r="R46" s="406"/>
      <c r="S46" s="406"/>
      <c r="T46" s="406"/>
      <c r="U46" s="406"/>
      <c r="V46" s="406"/>
      <c r="W46" s="406"/>
      <c r="X46" s="406"/>
      <c r="Y46" s="406"/>
      <c r="Z46" s="406"/>
      <c r="AA46" s="406"/>
      <c r="AB46" s="406"/>
      <c r="AC46" s="406"/>
      <c r="AD46" s="406"/>
      <c r="AE46" s="406"/>
      <c r="AF46" s="406"/>
      <c r="AG46" s="406"/>
      <c r="AH46" s="406"/>
      <c r="AI46" s="406"/>
      <c r="AJ46" s="406"/>
      <c r="AK46" s="406"/>
      <c r="AL46" s="406"/>
      <c r="AM46" s="406"/>
      <c r="AN46" s="406"/>
      <c r="AO46" s="406"/>
      <c r="AP46" s="406"/>
      <c r="AQ46" s="406"/>
      <c r="AR46" s="406"/>
      <c r="AS46" s="406"/>
      <c r="AT46" s="406"/>
      <c r="AU46" s="406"/>
      <c r="AV46" s="406"/>
      <c r="AW46" s="406"/>
      <c r="AX46" s="406"/>
      <c r="AY46" s="406"/>
      <c r="AZ46" s="406"/>
      <c r="BA46" s="406"/>
      <c r="BB46" s="406"/>
      <c r="BC46" s="406"/>
      <c r="BD46" s="406"/>
      <c r="BE46" s="406"/>
      <c r="BF46" s="406"/>
      <c r="BG46" s="406"/>
      <c r="BH46" s="406"/>
      <c r="BI46" s="406"/>
      <c r="BJ46" s="406"/>
      <c r="BK46" s="406"/>
      <c r="BL46" s="406"/>
    </row>
    <row r="47" spans="1:64" x14ac:dyDescent="0.15">
      <c r="B47" s="337" t="s">
        <v>407</v>
      </c>
      <c r="L47" s="403"/>
    </row>
    <row r="48" spans="1:64" x14ac:dyDescent="0.15">
      <c r="C48" s="257" t="s">
        <v>517</v>
      </c>
      <c r="D48" s="335"/>
      <c r="E48" s="406">
        <f>IF(E5&gt;$D$7,0,AVERAGE(D43:E43))</f>
        <v>1.8987422592981751</v>
      </c>
      <c r="F48" s="406">
        <f t="shared" ref="F48:BL48" si="9">IF(F5&gt;$D$7,0,AVERAGE(E43:F43))</f>
        <v>0.23483234106385159</v>
      </c>
      <c r="G48" s="406">
        <f t="shared" si="9"/>
        <v>0.20294590099167684</v>
      </c>
      <c r="H48" s="406">
        <f t="shared" si="9"/>
        <v>0.19552627687577048</v>
      </c>
      <c r="I48" s="406">
        <f t="shared" si="9"/>
        <v>0.1921537553692948</v>
      </c>
      <c r="J48" s="406">
        <f t="shared" si="9"/>
        <v>0.1901780417883267</v>
      </c>
      <c r="K48" s="406">
        <f t="shared" si="9"/>
        <v>9.4611186618313275E-2</v>
      </c>
      <c r="L48" s="406">
        <f t="shared" si="9"/>
        <v>0</v>
      </c>
      <c r="M48" s="406">
        <f t="shared" si="9"/>
        <v>0</v>
      </c>
      <c r="N48" s="406">
        <f t="shared" si="9"/>
        <v>0</v>
      </c>
      <c r="O48" s="406">
        <f t="shared" si="9"/>
        <v>0</v>
      </c>
      <c r="P48" s="406">
        <f t="shared" si="9"/>
        <v>0</v>
      </c>
      <c r="Q48" s="406">
        <f t="shared" si="9"/>
        <v>0</v>
      </c>
      <c r="R48" s="406">
        <f t="shared" si="9"/>
        <v>0</v>
      </c>
      <c r="S48" s="406">
        <f t="shared" si="9"/>
        <v>0</v>
      </c>
      <c r="T48" s="406">
        <f t="shared" si="9"/>
        <v>0</v>
      </c>
      <c r="U48" s="406">
        <f t="shared" si="9"/>
        <v>0</v>
      </c>
      <c r="V48" s="406">
        <f t="shared" si="9"/>
        <v>0</v>
      </c>
      <c r="W48" s="406">
        <f t="shared" si="9"/>
        <v>0</v>
      </c>
      <c r="X48" s="406">
        <f t="shared" si="9"/>
        <v>0</v>
      </c>
      <c r="Y48" s="406">
        <f t="shared" si="9"/>
        <v>0</v>
      </c>
      <c r="Z48" s="406">
        <f t="shared" si="9"/>
        <v>0</v>
      </c>
      <c r="AA48" s="406">
        <f t="shared" si="9"/>
        <v>0</v>
      </c>
      <c r="AB48" s="406">
        <f t="shared" si="9"/>
        <v>0</v>
      </c>
      <c r="AC48" s="406">
        <f t="shared" si="9"/>
        <v>0</v>
      </c>
      <c r="AD48" s="406">
        <f t="shared" si="9"/>
        <v>0</v>
      </c>
      <c r="AE48" s="406">
        <f t="shared" si="9"/>
        <v>0</v>
      </c>
      <c r="AF48" s="406">
        <f t="shared" si="9"/>
        <v>0</v>
      </c>
      <c r="AG48" s="406">
        <f t="shared" si="9"/>
        <v>0</v>
      </c>
      <c r="AH48" s="406">
        <f t="shared" si="9"/>
        <v>0</v>
      </c>
      <c r="AI48" s="406">
        <f t="shared" si="9"/>
        <v>0</v>
      </c>
      <c r="AJ48" s="406">
        <f t="shared" si="9"/>
        <v>0</v>
      </c>
      <c r="AK48" s="406">
        <f t="shared" si="9"/>
        <v>0</v>
      </c>
      <c r="AL48" s="406">
        <f t="shared" si="9"/>
        <v>0</v>
      </c>
      <c r="AM48" s="406">
        <f t="shared" si="9"/>
        <v>0</v>
      </c>
      <c r="AN48" s="406">
        <f t="shared" si="9"/>
        <v>0</v>
      </c>
      <c r="AO48" s="406">
        <f t="shared" si="9"/>
        <v>0</v>
      </c>
      <c r="AP48" s="406">
        <f t="shared" si="9"/>
        <v>0</v>
      </c>
      <c r="AQ48" s="406">
        <f t="shared" si="9"/>
        <v>0</v>
      </c>
      <c r="AR48" s="406">
        <f t="shared" si="9"/>
        <v>0</v>
      </c>
      <c r="AS48" s="406">
        <f t="shared" si="9"/>
        <v>0</v>
      </c>
      <c r="AT48" s="406">
        <f t="shared" si="9"/>
        <v>0</v>
      </c>
      <c r="AU48" s="406">
        <f t="shared" si="9"/>
        <v>0</v>
      </c>
      <c r="AV48" s="406">
        <f t="shared" si="9"/>
        <v>0</v>
      </c>
      <c r="AW48" s="406">
        <f t="shared" si="9"/>
        <v>0</v>
      </c>
      <c r="AX48" s="406">
        <f t="shared" si="9"/>
        <v>0</v>
      </c>
      <c r="AY48" s="406">
        <f t="shared" si="9"/>
        <v>0</v>
      </c>
      <c r="AZ48" s="406">
        <f t="shared" si="9"/>
        <v>0</v>
      </c>
      <c r="BA48" s="406">
        <f t="shared" si="9"/>
        <v>0</v>
      </c>
      <c r="BB48" s="406">
        <f t="shared" si="9"/>
        <v>0</v>
      </c>
      <c r="BC48" s="406">
        <f t="shared" si="9"/>
        <v>0</v>
      </c>
      <c r="BD48" s="406">
        <f t="shared" si="9"/>
        <v>0</v>
      </c>
      <c r="BE48" s="406">
        <f t="shared" si="9"/>
        <v>0</v>
      </c>
      <c r="BF48" s="406">
        <f t="shared" si="9"/>
        <v>0</v>
      </c>
      <c r="BG48" s="406">
        <f t="shared" si="9"/>
        <v>0</v>
      </c>
      <c r="BH48" s="406">
        <f t="shared" si="9"/>
        <v>0</v>
      </c>
      <c r="BI48" s="406">
        <f t="shared" si="9"/>
        <v>0</v>
      </c>
      <c r="BJ48" s="406">
        <f t="shared" si="9"/>
        <v>0</v>
      </c>
      <c r="BK48" s="406">
        <f t="shared" si="9"/>
        <v>0</v>
      </c>
      <c r="BL48" s="406">
        <f t="shared" si="9"/>
        <v>0</v>
      </c>
    </row>
    <row r="49" spans="1:64" x14ac:dyDescent="0.15">
      <c r="C49" s="257" t="s">
        <v>520</v>
      </c>
      <c r="D49" s="335"/>
      <c r="E49" s="335">
        <f>D25*(1-Leadsheet!$D$76)+D26*Leadsheet!$E$100</f>
        <v>3.274181251601695</v>
      </c>
      <c r="F49" s="335">
        <f>E25*(1-Leadsheet!$D$76)+E26*Leadsheet!$E$100</f>
        <v>5.3638584866952166E-2</v>
      </c>
      <c r="G49" s="335">
        <f>F25*(1-Leadsheet!$D$76)+F26*Leadsheet!$E$100</f>
        <v>0</v>
      </c>
      <c r="H49" s="335">
        <f>G25*(1-Leadsheet!$D$76)+G26*Leadsheet!$E$100</f>
        <v>0</v>
      </c>
      <c r="I49" s="335">
        <f>H25*(1-Leadsheet!$D$76)+H26*Leadsheet!$E$100</f>
        <v>0</v>
      </c>
      <c r="J49" s="335">
        <f>I25*(1-Leadsheet!$D$76)+I26*Leadsheet!$E$100</f>
        <v>0</v>
      </c>
      <c r="K49" s="335">
        <f>J25*(1-Leadsheet!$D$76)+J26*Leadsheet!$E$100</f>
        <v>0</v>
      </c>
      <c r="L49" s="335">
        <f>K25*(1-Leadsheet!$D$76)+K26*Leadsheet!$E$100</f>
        <v>0</v>
      </c>
      <c r="M49" s="335">
        <f>L25*(1-Leadsheet!$D$76)+L26*Leadsheet!$E$100</f>
        <v>0</v>
      </c>
      <c r="N49" s="335">
        <f>M25*(1-Leadsheet!$D$76)+M26*Leadsheet!$E$100</f>
        <v>0</v>
      </c>
      <c r="O49" s="335">
        <f>N25*(1-Leadsheet!$D$76)+N26*Leadsheet!$E$100</f>
        <v>0</v>
      </c>
      <c r="P49" s="335">
        <f>O25*(1-Leadsheet!$D$76)+O26*Leadsheet!$E$100</f>
        <v>0</v>
      </c>
      <c r="Q49" s="335">
        <f>P25*(1-Leadsheet!$D$76)+P26*Leadsheet!$E$100</f>
        <v>0</v>
      </c>
      <c r="R49" s="335">
        <f>Q25*(1-Leadsheet!$D$76)+Q26*Leadsheet!$E$100</f>
        <v>0</v>
      </c>
      <c r="S49" s="335">
        <f>R25*(1-Leadsheet!$D$76)+R26*Leadsheet!$E$100</f>
        <v>0</v>
      </c>
      <c r="T49" s="335">
        <f>S25*(1-Leadsheet!$D$76)+S26*Leadsheet!$E$100</f>
        <v>0</v>
      </c>
      <c r="U49" s="335">
        <f>T25*(1-Leadsheet!$D$76)+T26*Leadsheet!$E$100</f>
        <v>0</v>
      </c>
      <c r="V49" s="335">
        <f>U25*(1-Leadsheet!$D$76)+U26*Leadsheet!$E$100</f>
        <v>0</v>
      </c>
      <c r="W49" s="335">
        <f>V25*(1-Leadsheet!$D$76)+V26*Leadsheet!$E$100</f>
        <v>0</v>
      </c>
      <c r="X49" s="335">
        <f>W25*(1-Leadsheet!$D$76)+W26*Leadsheet!$E$100</f>
        <v>0</v>
      </c>
      <c r="Y49" s="335">
        <f>X25*(1-Leadsheet!$D$76)+X26*Leadsheet!$E$100</f>
        <v>0</v>
      </c>
      <c r="Z49" s="335">
        <f>Y25*(1-Leadsheet!$D$76)+Y26*Leadsheet!$E$100</f>
        <v>0</v>
      </c>
      <c r="AA49" s="335">
        <f>Z25*(1-Leadsheet!$D$76)+Z26*Leadsheet!$E$100</f>
        <v>0</v>
      </c>
      <c r="AB49" s="335">
        <f>AA25*(1-Leadsheet!$D$76)+AA26*Leadsheet!$E$100</f>
        <v>0</v>
      </c>
      <c r="AC49" s="335">
        <f>AB25*(1-Leadsheet!$D$76)+AB26*Leadsheet!$E$100</f>
        <v>0</v>
      </c>
      <c r="AD49" s="335">
        <f>AC25*(1-Leadsheet!$D$76)+AC26*Leadsheet!$E$100</f>
        <v>0</v>
      </c>
      <c r="AE49" s="335">
        <f>AD25*(1-Leadsheet!$D$76)+AD26*Leadsheet!$E$100</f>
        <v>0</v>
      </c>
      <c r="AF49" s="335">
        <f>AE25*(1-Leadsheet!$D$76)+AE26*Leadsheet!$E$100</f>
        <v>0</v>
      </c>
      <c r="AG49" s="335">
        <f>AF25*(1-Leadsheet!$D$76)+AF26*Leadsheet!$E$100</f>
        <v>0</v>
      </c>
      <c r="AH49" s="335">
        <f>AG25*(1-Leadsheet!$D$76)+AG26*Leadsheet!$E$100</f>
        <v>0</v>
      </c>
      <c r="AI49" s="335">
        <f>AH25*(1-Leadsheet!$D$76)+AH26*Leadsheet!$E$100</f>
        <v>0</v>
      </c>
      <c r="AJ49" s="335">
        <f>AI25*(1-Leadsheet!$D$76)+AI26*Leadsheet!$E$100</f>
        <v>0</v>
      </c>
      <c r="AK49" s="335">
        <f>AJ25*(1-Leadsheet!$D$76)+AJ26*Leadsheet!$E$100</f>
        <v>0</v>
      </c>
      <c r="AL49" s="335">
        <f>AK25*(1-Leadsheet!$D$76)+AK26*Leadsheet!$E$100</f>
        <v>0</v>
      </c>
      <c r="AM49" s="335">
        <f>AL25*(1-Leadsheet!$D$76)+AL26*Leadsheet!$E$100</f>
        <v>0</v>
      </c>
      <c r="AN49" s="335">
        <f>AM25*(1-Leadsheet!$D$76)+AM26*Leadsheet!$E$100</f>
        <v>0</v>
      </c>
      <c r="AO49" s="335">
        <f>AN25*(1-Leadsheet!$D$76)+AN26*Leadsheet!$E$100</f>
        <v>0</v>
      </c>
      <c r="AP49" s="335">
        <f>AO25*(1-Leadsheet!$D$76)+AO26*Leadsheet!$E$100</f>
        <v>0</v>
      </c>
      <c r="AQ49" s="335">
        <f>AP25*(1-Leadsheet!$D$76)+AP26*Leadsheet!$E$100</f>
        <v>0</v>
      </c>
      <c r="AR49" s="335">
        <f>AQ25*(1-Leadsheet!$D$76)+AQ26*Leadsheet!$E$100</f>
        <v>0</v>
      </c>
      <c r="AS49" s="335">
        <f>AR25*(1-Leadsheet!$D$76)+AR26*Leadsheet!$E$100</f>
        <v>0</v>
      </c>
      <c r="AT49" s="335">
        <f>AS25*(1-Leadsheet!$D$76)+AS26*Leadsheet!$E$100</f>
        <v>0</v>
      </c>
      <c r="AU49" s="335">
        <f>AT25*(1-Leadsheet!$D$76)+AT26*Leadsheet!$E$100</f>
        <v>0</v>
      </c>
      <c r="AV49" s="335">
        <f>AU25*(1-Leadsheet!$D$76)+AU26*Leadsheet!$E$100</f>
        <v>0</v>
      </c>
      <c r="AW49" s="335">
        <f>AV25*(1-Leadsheet!$D$76)+AV26*Leadsheet!$E$100</f>
        <v>0</v>
      </c>
      <c r="AX49" s="335">
        <f>AW25*(1-Leadsheet!$D$76)+AW26*Leadsheet!$E$100</f>
        <v>0</v>
      </c>
      <c r="AY49" s="335">
        <f>AX25*(1-Leadsheet!$D$76)+AX26*Leadsheet!$E$100</f>
        <v>0</v>
      </c>
      <c r="AZ49" s="335">
        <f>AY25*(1-Leadsheet!$D$76)+AY26*Leadsheet!$E$100</f>
        <v>0</v>
      </c>
      <c r="BA49" s="335">
        <f>AZ25*(1-Leadsheet!$D$76)+AZ26*Leadsheet!$E$100</f>
        <v>0</v>
      </c>
      <c r="BB49" s="335">
        <f>BA25*(1-Leadsheet!$D$76)+BA26*Leadsheet!$E$100</f>
        <v>0</v>
      </c>
      <c r="BC49" s="335">
        <f>BB25*(1-Leadsheet!$D$76)+BB26*Leadsheet!$E$100</f>
        <v>0</v>
      </c>
      <c r="BD49" s="335">
        <f>BC25*(1-Leadsheet!$D$76)+BC26*Leadsheet!$E$100</f>
        <v>0</v>
      </c>
      <c r="BE49" s="335">
        <f>BD25*(1-Leadsheet!$D$76)+BD26*Leadsheet!$E$100</f>
        <v>0</v>
      </c>
      <c r="BF49" s="335">
        <f>BE25*(1-Leadsheet!$D$76)+BE26*Leadsheet!$E$100</f>
        <v>0</v>
      </c>
      <c r="BG49" s="335">
        <f>BF25*(1-Leadsheet!$D$76)+BF26*Leadsheet!$E$100</f>
        <v>0</v>
      </c>
      <c r="BH49" s="335">
        <f>BG25*(1-Leadsheet!$D$76)+BG26*Leadsheet!$E$100</f>
        <v>0</v>
      </c>
      <c r="BI49" s="335">
        <f>BH25*(1-Leadsheet!$D$76)+BH26*Leadsheet!$E$100</f>
        <v>0</v>
      </c>
      <c r="BJ49" s="335">
        <f>BI25*(1-Leadsheet!$D$76)+BI26*Leadsheet!$E$100</f>
        <v>0</v>
      </c>
      <c r="BK49" s="335">
        <f>BJ25*(1-Leadsheet!$D$76)+BJ26*Leadsheet!$E$100</f>
        <v>0</v>
      </c>
      <c r="BL49" s="335">
        <f>BK25*(1-Leadsheet!$D$76)+BK26*Leadsheet!$E$100</f>
        <v>0</v>
      </c>
    </row>
    <row r="50" spans="1:64" x14ac:dyDescent="0.15">
      <c r="BC50" s="335"/>
      <c r="BD50" s="335"/>
      <c r="BE50" s="335"/>
      <c r="BF50" s="392"/>
      <c r="BG50" s="392"/>
      <c r="BH50" s="392"/>
      <c r="BI50" s="392"/>
      <c r="BJ50" s="392"/>
      <c r="BK50" s="392"/>
      <c r="BL50" s="392"/>
    </row>
    <row r="51" spans="1:64" ht="13" thickBot="1" x14ac:dyDescent="0.2">
      <c r="A51" s="337"/>
      <c r="B51" s="399" t="s">
        <v>521</v>
      </c>
      <c r="C51" s="400"/>
      <c r="D51" s="401"/>
      <c r="E51" s="402"/>
      <c r="F51" s="401"/>
      <c r="G51" s="401"/>
      <c r="H51" s="401"/>
      <c r="I51" s="401"/>
      <c r="J51" s="401"/>
      <c r="K51" s="401"/>
      <c r="L51" s="401"/>
      <c r="M51" s="401"/>
      <c r="N51" s="401"/>
      <c r="O51" s="401"/>
      <c r="P51" s="401"/>
      <c r="Q51" s="401"/>
      <c r="R51" s="401"/>
      <c r="S51" s="401"/>
      <c r="T51" s="401"/>
      <c r="U51" s="401"/>
      <c r="V51" s="401"/>
      <c r="W51" s="401"/>
      <c r="X51" s="401"/>
      <c r="Y51" s="401"/>
      <c r="Z51" s="401"/>
      <c r="AA51" s="401"/>
      <c r="AB51" s="401"/>
      <c r="AC51" s="401"/>
      <c r="AD51" s="401"/>
      <c r="AE51" s="401"/>
      <c r="AF51" s="401"/>
      <c r="AG51" s="401"/>
      <c r="AH51" s="401"/>
      <c r="AI51" s="401"/>
      <c r="AJ51" s="401"/>
      <c r="AK51" s="401"/>
      <c r="AL51" s="401"/>
      <c r="AM51" s="401"/>
      <c r="AN51" s="401"/>
      <c r="AO51" s="401"/>
      <c r="AP51" s="401"/>
      <c r="AQ51" s="401"/>
      <c r="AR51" s="401"/>
      <c r="AS51" s="401"/>
      <c r="AT51" s="401"/>
      <c r="AU51" s="401"/>
      <c r="AV51" s="401"/>
      <c r="AW51" s="401"/>
      <c r="AX51" s="401"/>
      <c r="AY51" s="401"/>
      <c r="AZ51" s="401"/>
      <c r="BA51" s="401"/>
      <c r="BB51" s="401"/>
      <c r="BC51" s="401"/>
      <c r="BD51" s="401"/>
      <c r="BE51" s="401"/>
      <c r="BF51" s="401"/>
      <c r="BG51" s="401"/>
      <c r="BH51" s="401"/>
      <c r="BI51" s="401"/>
      <c r="BJ51" s="401"/>
      <c r="BK51" s="401"/>
      <c r="BL51" s="401"/>
    </row>
    <row r="52" spans="1:64" ht="13" thickTop="1" x14ac:dyDescent="0.15">
      <c r="A52" s="337"/>
      <c r="B52" s="420"/>
      <c r="C52" s="337"/>
      <c r="E52" s="421"/>
    </row>
    <row r="53" spans="1:64" x14ac:dyDescent="0.15">
      <c r="B53" s="337" t="s">
        <v>260</v>
      </c>
      <c r="E53" s="422">
        <f t="shared" ref="E53:BL53" si="10">E55+E59+E63</f>
        <v>0.36976011520910135</v>
      </c>
      <c r="F53" s="422">
        <f>F55+F59+F63</f>
        <v>1.3671959450212478E-3</v>
      </c>
      <c r="G53" s="422">
        <f t="shared" si="10"/>
        <v>-1.0135594093167546E-3</v>
      </c>
      <c r="H53" s="422">
        <f t="shared" si="10"/>
        <v>-9.7650406698402727E-4</v>
      </c>
      <c r="I53" s="422">
        <f t="shared" si="10"/>
        <v>-9.5966090390801255E-4</v>
      </c>
      <c r="J53" s="422">
        <f t="shared" si="10"/>
        <v>-9.4979372708739159E-4</v>
      </c>
      <c r="K53" s="422">
        <f t="shared" si="10"/>
        <v>-4.7251044714397868E-4</v>
      </c>
      <c r="L53" s="422">
        <f t="shared" si="10"/>
        <v>0</v>
      </c>
      <c r="M53" s="422">
        <f t="shared" si="10"/>
        <v>0</v>
      </c>
      <c r="N53" s="422">
        <f t="shared" si="10"/>
        <v>0</v>
      </c>
      <c r="O53" s="422">
        <f t="shared" si="10"/>
        <v>0</v>
      </c>
      <c r="P53" s="422">
        <f t="shared" si="10"/>
        <v>0</v>
      </c>
      <c r="Q53" s="422">
        <f t="shared" si="10"/>
        <v>0</v>
      </c>
      <c r="R53" s="422">
        <f t="shared" si="10"/>
        <v>0</v>
      </c>
      <c r="S53" s="422">
        <f t="shared" si="10"/>
        <v>0</v>
      </c>
      <c r="T53" s="422">
        <f t="shared" si="10"/>
        <v>0</v>
      </c>
      <c r="U53" s="422">
        <f t="shared" si="10"/>
        <v>0</v>
      </c>
      <c r="V53" s="422">
        <f t="shared" si="10"/>
        <v>0</v>
      </c>
      <c r="W53" s="422">
        <f t="shared" si="10"/>
        <v>0</v>
      </c>
      <c r="X53" s="422">
        <f t="shared" si="10"/>
        <v>0</v>
      </c>
      <c r="Y53" s="422">
        <f t="shared" si="10"/>
        <v>0</v>
      </c>
      <c r="Z53" s="422">
        <f t="shared" si="10"/>
        <v>0</v>
      </c>
      <c r="AA53" s="422">
        <f t="shared" si="10"/>
        <v>0</v>
      </c>
      <c r="AB53" s="422">
        <f t="shared" si="10"/>
        <v>0</v>
      </c>
      <c r="AC53" s="422">
        <f t="shared" si="10"/>
        <v>0</v>
      </c>
      <c r="AD53" s="422">
        <f t="shared" si="10"/>
        <v>0</v>
      </c>
      <c r="AE53" s="422">
        <f t="shared" si="10"/>
        <v>0</v>
      </c>
      <c r="AF53" s="422">
        <f t="shared" si="10"/>
        <v>0</v>
      </c>
      <c r="AG53" s="422">
        <f t="shared" si="10"/>
        <v>0</v>
      </c>
      <c r="AH53" s="422">
        <f t="shared" si="10"/>
        <v>0</v>
      </c>
      <c r="AI53" s="422">
        <f t="shared" si="10"/>
        <v>0</v>
      </c>
      <c r="AJ53" s="422">
        <f t="shared" si="10"/>
        <v>0</v>
      </c>
      <c r="AK53" s="422">
        <f t="shared" si="10"/>
        <v>0</v>
      </c>
      <c r="AL53" s="422">
        <f t="shared" si="10"/>
        <v>0</v>
      </c>
      <c r="AM53" s="422">
        <f t="shared" si="10"/>
        <v>0</v>
      </c>
      <c r="AN53" s="422">
        <f t="shared" si="10"/>
        <v>0</v>
      </c>
      <c r="AO53" s="422">
        <f t="shared" si="10"/>
        <v>0</v>
      </c>
      <c r="AP53" s="422">
        <f t="shared" si="10"/>
        <v>0</v>
      </c>
      <c r="AQ53" s="422">
        <f t="shared" si="10"/>
        <v>0</v>
      </c>
      <c r="AR53" s="422">
        <f t="shared" si="10"/>
        <v>0</v>
      </c>
      <c r="AS53" s="422">
        <f t="shared" si="10"/>
        <v>0</v>
      </c>
      <c r="AT53" s="422">
        <f t="shared" si="10"/>
        <v>0</v>
      </c>
      <c r="AU53" s="422">
        <f t="shared" si="10"/>
        <v>0</v>
      </c>
      <c r="AV53" s="422">
        <f t="shared" si="10"/>
        <v>0</v>
      </c>
      <c r="AW53" s="422">
        <f t="shared" si="10"/>
        <v>0</v>
      </c>
      <c r="AX53" s="422">
        <f t="shared" si="10"/>
        <v>0</v>
      </c>
      <c r="AY53" s="422">
        <f t="shared" si="10"/>
        <v>0</v>
      </c>
      <c r="AZ53" s="422">
        <f t="shared" si="10"/>
        <v>0</v>
      </c>
      <c r="BA53" s="422">
        <f t="shared" si="10"/>
        <v>0</v>
      </c>
      <c r="BB53" s="422">
        <f t="shared" si="10"/>
        <v>0</v>
      </c>
      <c r="BC53" s="422">
        <f t="shared" si="10"/>
        <v>0</v>
      </c>
      <c r="BD53" s="422">
        <f t="shared" si="10"/>
        <v>0</v>
      </c>
      <c r="BE53" s="422">
        <f t="shared" si="10"/>
        <v>0</v>
      </c>
      <c r="BF53" s="422">
        <f t="shared" si="10"/>
        <v>0</v>
      </c>
      <c r="BG53" s="422">
        <f t="shared" si="10"/>
        <v>0</v>
      </c>
      <c r="BH53" s="422">
        <f t="shared" si="10"/>
        <v>0</v>
      </c>
      <c r="BI53" s="422">
        <f t="shared" si="10"/>
        <v>0</v>
      </c>
      <c r="BJ53" s="422">
        <f t="shared" si="10"/>
        <v>0</v>
      </c>
      <c r="BK53" s="422">
        <f t="shared" si="10"/>
        <v>0</v>
      </c>
      <c r="BL53" s="422">
        <f t="shared" si="10"/>
        <v>0</v>
      </c>
    </row>
    <row r="54" spans="1:64" x14ac:dyDescent="0.15">
      <c r="E54" s="330"/>
      <c r="F54" s="330"/>
      <c r="G54" s="330"/>
      <c r="H54" s="330"/>
      <c r="I54" s="330"/>
      <c r="J54" s="330"/>
      <c r="K54" s="330"/>
      <c r="L54" s="330"/>
      <c r="M54" s="330"/>
      <c r="N54" s="330"/>
      <c r="O54" s="330"/>
      <c r="P54" s="330"/>
      <c r="Q54" s="330"/>
      <c r="R54" s="330"/>
      <c r="S54" s="330"/>
      <c r="T54" s="330"/>
      <c r="U54" s="330"/>
      <c r="V54" s="330"/>
      <c r="W54" s="330"/>
      <c r="X54" s="330"/>
      <c r="Y54" s="330"/>
      <c r="Z54" s="330"/>
      <c r="AA54" s="330"/>
      <c r="AB54" s="330"/>
      <c r="AC54" s="330"/>
      <c r="AD54" s="330"/>
      <c r="AE54" s="330"/>
      <c r="AF54" s="330"/>
      <c r="AG54" s="330"/>
      <c r="AH54" s="330"/>
      <c r="AI54" s="330"/>
      <c r="AJ54" s="330"/>
      <c r="AK54" s="330"/>
      <c r="AL54" s="330"/>
      <c r="AM54" s="330"/>
      <c r="AN54" s="330"/>
      <c r="AO54" s="330"/>
      <c r="AP54" s="330"/>
      <c r="AQ54" s="330"/>
      <c r="AR54" s="330"/>
      <c r="AS54" s="330"/>
      <c r="AT54" s="330"/>
      <c r="AU54" s="330"/>
      <c r="AV54" s="330"/>
      <c r="AW54" s="330"/>
      <c r="AX54" s="330"/>
      <c r="AY54" s="330"/>
      <c r="AZ54" s="330"/>
      <c r="BA54" s="330"/>
      <c r="BB54" s="330"/>
      <c r="BC54" s="330"/>
      <c r="BD54" s="330"/>
      <c r="BE54" s="330"/>
      <c r="BF54" s="330"/>
      <c r="BG54" s="330"/>
      <c r="BH54" s="330"/>
      <c r="BI54" s="330"/>
      <c r="BJ54" s="330"/>
      <c r="BK54" s="330"/>
      <c r="BL54" s="330"/>
    </row>
    <row r="55" spans="1:64" x14ac:dyDescent="0.15">
      <c r="B55" s="337"/>
      <c r="C55" s="337" t="s">
        <v>261</v>
      </c>
      <c r="E55" s="422">
        <f t="shared" ref="E55:BL55" si="11">E56+E57</f>
        <v>0.14556294708167294</v>
      </c>
      <c r="F55" s="422">
        <f t="shared" si="11"/>
        <v>1.3671959450212478E-3</v>
      </c>
      <c r="G55" s="422">
        <f t="shared" si="11"/>
        <v>-1.0135594093167546E-3</v>
      </c>
      <c r="H55" s="422">
        <f t="shared" si="11"/>
        <v>-9.7650406698402727E-4</v>
      </c>
      <c r="I55" s="422">
        <f t="shared" si="11"/>
        <v>-9.5966090390801255E-4</v>
      </c>
      <c r="J55" s="422">
        <f t="shared" si="11"/>
        <v>-9.4979372708739159E-4</v>
      </c>
      <c r="K55" s="422">
        <f t="shared" si="11"/>
        <v>-4.7251044714397868E-4</v>
      </c>
      <c r="L55" s="422">
        <f t="shared" si="11"/>
        <v>0</v>
      </c>
      <c r="M55" s="422">
        <f t="shared" si="11"/>
        <v>0</v>
      </c>
      <c r="N55" s="422">
        <f t="shared" si="11"/>
        <v>0</v>
      </c>
      <c r="O55" s="422">
        <f t="shared" si="11"/>
        <v>0</v>
      </c>
      <c r="P55" s="422">
        <f t="shared" si="11"/>
        <v>0</v>
      </c>
      <c r="Q55" s="422">
        <f t="shared" si="11"/>
        <v>0</v>
      </c>
      <c r="R55" s="422">
        <f t="shared" si="11"/>
        <v>0</v>
      </c>
      <c r="S55" s="422">
        <f t="shared" si="11"/>
        <v>0</v>
      </c>
      <c r="T55" s="422">
        <f t="shared" si="11"/>
        <v>0</v>
      </c>
      <c r="U55" s="422">
        <f t="shared" si="11"/>
        <v>0</v>
      </c>
      <c r="V55" s="422">
        <f t="shared" si="11"/>
        <v>0</v>
      </c>
      <c r="W55" s="422">
        <f t="shared" si="11"/>
        <v>0</v>
      </c>
      <c r="X55" s="422">
        <f t="shared" si="11"/>
        <v>0</v>
      </c>
      <c r="Y55" s="422">
        <f t="shared" si="11"/>
        <v>0</v>
      </c>
      <c r="Z55" s="422">
        <f t="shared" si="11"/>
        <v>0</v>
      </c>
      <c r="AA55" s="422">
        <f t="shared" si="11"/>
        <v>0</v>
      </c>
      <c r="AB55" s="422">
        <f t="shared" si="11"/>
        <v>0</v>
      </c>
      <c r="AC55" s="422">
        <f t="shared" si="11"/>
        <v>0</v>
      </c>
      <c r="AD55" s="422">
        <f t="shared" si="11"/>
        <v>0</v>
      </c>
      <c r="AE55" s="422">
        <f t="shared" si="11"/>
        <v>0</v>
      </c>
      <c r="AF55" s="422">
        <f t="shared" si="11"/>
        <v>0</v>
      </c>
      <c r="AG55" s="422">
        <f t="shared" si="11"/>
        <v>0</v>
      </c>
      <c r="AH55" s="422">
        <f t="shared" si="11"/>
        <v>0</v>
      </c>
      <c r="AI55" s="422">
        <f t="shared" si="11"/>
        <v>0</v>
      </c>
      <c r="AJ55" s="422">
        <f t="shared" si="11"/>
        <v>0</v>
      </c>
      <c r="AK55" s="422">
        <f t="shared" si="11"/>
        <v>0</v>
      </c>
      <c r="AL55" s="422">
        <f t="shared" si="11"/>
        <v>0</v>
      </c>
      <c r="AM55" s="422">
        <f t="shared" si="11"/>
        <v>0</v>
      </c>
      <c r="AN55" s="422">
        <f t="shared" si="11"/>
        <v>0</v>
      </c>
      <c r="AO55" s="422">
        <f t="shared" si="11"/>
        <v>0</v>
      </c>
      <c r="AP55" s="422">
        <f t="shared" si="11"/>
        <v>0</v>
      </c>
      <c r="AQ55" s="422">
        <f t="shared" si="11"/>
        <v>0</v>
      </c>
      <c r="AR55" s="422">
        <f t="shared" si="11"/>
        <v>0</v>
      </c>
      <c r="AS55" s="422">
        <f t="shared" si="11"/>
        <v>0</v>
      </c>
      <c r="AT55" s="422">
        <f t="shared" si="11"/>
        <v>0</v>
      </c>
      <c r="AU55" s="422">
        <f t="shared" si="11"/>
        <v>0</v>
      </c>
      <c r="AV55" s="422">
        <f t="shared" si="11"/>
        <v>0</v>
      </c>
      <c r="AW55" s="422">
        <f t="shared" si="11"/>
        <v>0</v>
      </c>
      <c r="AX55" s="422">
        <f t="shared" si="11"/>
        <v>0</v>
      </c>
      <c r="AY55" s="422">
        <f t="shared" si="11"/>
        <v>0</v>
      </c>
      <c r="AZ55" s="422">
        <f t="shared" si="11"/>
        <v>0</v>
      </c>
      <c r="BA55" s="422">
        <f t="shared" si="11"/>
        <v>0</v>
      </c>
      <c r="BB55" s="422">
        <f t="shared" si="11"/>
        <v>0</v>
      </c>
      <c r="BC55" s="422">
        <f t="shared" si="11"/>
        <v>0</v>
      </c>
      <c r="BD55" s="422">
        <f t="shared" si="11"/>
        <v>0</v>
      </c>
      <c r="BE55" s="422">
        <f t="shared" si="11"/>
        <v>0</v>
      </c>
      <c r="BF55" s="422">
        <f t="shared" si="11"/>
        <v>0</v>
      </c>
      <c r="BG55" s="422">
        <f t="shared" si="11"/>
        <v>0</v>
      </c>
      <c r="BH55" s="422">
        <f t="shared" si="11"/>
        <v>0</v>
      </c>
      <c r="BI55" s="422">
        <f t="shared" si="11"/>
        <v>0</v>
      </c>
      <c r="BJ55" s="422">
        <f t="shared" si="11"/>
        <v>0</v>
      </c>
      <c r="BK55" s="422">
        <f t="shared" si="11"/>
        <v>0</v>
      </c>
      <c r="BL55" s="422">
        <f t="shared" si="11"/>
        <v>0</v>
      </c>
    </row>
    <row r="56" spans="1:64" s="337" customFormat="1" x14ac:dyDescent="0.15">
      <c r="C56" s="257" t="s">
        <v>424</v>
      </c>
      <c r="D56" s="422"/>
      <c r="E56" s="335">
        <f t="shared" ref="E56:BL56" si="12">IFERROR(E$49*D$11/12,0)</f>
        <v>0.15504571107629014</v>
      </c>
      <c r="F56" s="335">
        <f t="shared" si="12"/>
        <v>2.5400037116925715E-3</v>
      </c>
      <c r="G56" s="335">
        <f t="shared" si="12"/>
        <v>0</v>
      </c>
      <c r="H56" s="335">
        <f t="shared" si="12"/>
        <v>0</v>
      </c>
      <c r="I56" s="335">
        <f t="shared" si="12"/>
        <v>0</v>
      </c>
      <c r="J56" s="335">
        <f t="shared" si="12"/>
        <v>0</v>
      </c>
      <c r="K56" s="335">
        <f t="shared" si="12"/>
        <v>0</v>
      </c>
      <c r="L56" s="335">
        <f t="shared" si="12"/>
        <v>0</v>
      </c>
      <c r="M56" s="335">
        <f t="shared" si="12"/>
        <v>0</v>
      </c>
      <c r="N56" s="335">
        <f t="shared" si="12"/>
        <v>0</v>
      </c>
      <c r="O56" s="335">
        <f t="shared" si="12"/>
        <v>0</v>
      </c>
      <c r="P56" s="335">
        <f t="shared" si="12"/>
        <v>0</v>
      </c>
      <c r="Q56" s="335">
        <f t="shared" si="12"/>
        <v>0</v>
      </c>
      <c r="R56" s="335">
        <f t="shared" si="12"/>
        <v>0</v>
      </c>
      <c r="S56" s="335">
        <f t="shared" si="12"/>
        <v>0</v>
      </c>
      <c r="T56" s="335">
        <f t="shared" si="12"/>
        <v>0</v>
      </c>
      <c r="U56" s="335">
        <f t="shared" si="12"/>
        <v>0</v>
      </c>
      <c r="V56" s="335">
        <f t="shared" si="12"/>
        <v>0</v>
      </c>
      <c r="W56" s="335">
        <f t="shared" si="12"/>
        <v>0</v>
      </c>
      <c r="X56" s="335">
        <f t="shared" si="12"/>
        <v>0</v>
      </c>
      <c r="Y56" s="335">
        <f t="shared" si="12"/>
        <v>0</v>
      </c>
      <c r="Z56" s="335">
        <f t="shared" si="12"/>
        <v>0</v>
      </c>
      <c r="AA56" s="335">
        <f t="shared" si="12"/>
        <v>0</v>
      </c>
      <c r="AB56" s="335">
        <f t="shared" si="12"/>
        <v>0</v>
      </c>
      <c r="AC56" s="335">
        <f t="shared" si="12"/>
        <v>0</v>
      </c>
      <c r="AD56" s="335">
        <f t="shared" si="12"/>
        <v>0</v>
      </c>
      <c r="AE56" s="335">
        <f t="shared" si="12"/>
        <v>0</v>
      </c>
      <c r="AF56" s="335">
        <f t="shared" si="12"/>
        <v>0</v>
      </c>
      <c r="AG56" s="335">
        <f t="shared" si="12"/>
        <v>0</v>
      </c>
      <c r="AH56" s="335">
        <f t="shared" si="12"/>
        <v>0</v>
      </c>
      <c r="AI56" s="335">
        <f t="shared" si="12"/>
        <v>0</v>
      </c>
      <c r="AJ56" s="335">
        <f t="shared" si="12"/>
        <v>0</v>
      </c>
      <c r="AK56" s="335">
        <f t="shared" si="12"/>
        <v>0</v>
      </c>
      <c r="AL56" s="335">
        <f t="shared" si="12"/>
        <v>0</v>
      </c>
      <c r="AM56" s="335">
        <f t="shared" si="12"/>
        <v>0</v>
      </c>
      <c r="AN56" s="335">
        <f t="shared" si="12"/>
        <v>0</v>
      </c>
      <c r="AO56" s="335">
        <f t="shared" si="12"/>
        <v>0</v>
      </c>
      <c r="AP56" s="335">
        <f t="shared" si="12"/>
        <v>0</v>
      </c>
      <c r="AQ56" s="335">
        <f t="shared" si="12"/>
        <v>0</v>
      </c>
      <c r="AR56" s="335">
        <f t="shared" si="12"/>
        <v>0</v>
      </c>
      <c r="AS56" s="335">
        <f t="shared" si="12"/>
        <v>0</v>
      </c>
      <c r="AT56" s="335">
        <f t="shared" si="12"/>
        <v>0</v>
      </c>
      <c r="AU56" s="335">
        <f t="shared" si="12"/>
        <v>0</v>
      </c>
      <c r="AV56" s="335">
        <f t="shared" si="12"/>
        <v>0</v>
      </c>
      <c r="AW56" s="335">
        <f t="shared" si="12"/>
        <v>0</v>
      </c>
      <c r="AX56" s="335">
        <f t="shared" si="12"/>
        <v>0</v>
      </c>
      <c r="AY56" s="335">
        <f t="shared" si="12"/>
        <v>0</v>
      </c>
      <c r="AZ56" s="335">
        <f t="shared" si="12"/>
        <v>0</v>
      </c>
      <c r="BA56" s="335">
        <f t="shared" si="12"/>
        <v>0</v>
      </c>
      <c r="BB56" s="335">
        <f t="shared" si="12"/>
        <v>0</v>
      </c>
      <c r="BC56" s="335">
        <f t="shared" si="12"/>
        <v>0</v>
      </c>
      <c r="BD56" s="335">
        <f t="shared" si="12"/>
        <v>0</v>
      </c>
      <c r="BE56" s="335">
        <f t="shared" si="12"/>
        <v>0</v>
      </c>
      <c r="BF56" s="335">
        <f t="shared" si="12"/>
        <v>0</v>
      </c>
      <c r="BG56" s="335">
        <f t="shared" si="12"/>
        <v>0</v>
      </c>
      <c r="BH56" s="335">
        <f t="shared" si="12"/>
        <v>0</v>
      </c>
      <c r="BI56" s="335">
        <f t="shared" si="12"/>
        <v>0</v>
      </c>
      <c r="BJ56" s="335">
        <f t="shared" si="12"/>
        <v>0</v>
      </c>
      <c r="BK56" s="335">
        <f t="shared" si="12"/>
        <v>0</v>
      </c>
      <c r="BL56" s="335">
        <f t="shared" si="12"/>
        <v>0</v>
      </c>
    </row>
    <row r="57" spans="1:64" s="337" customFormat="1" x14ac:dyDescent="0.15">
      <c r="C57" s="343" t="s">
        <v>425</v>
      </c>
      <c r="E57" s="335">
        <f t="shared" ref="E57:BL57" si="13">-IFERROR(E48*D12/12,0)</f>
        <v>-9.4827639946171924E-3</v>
      </c>
      <c r="F57" s="335">
        <f t="shared" si="13"/>
        <v>-1.1728077666713238E-3</v>
      </c>
      <c r="G57" s="335">
        <f t="shared" si="13"/>
        <v>-1.0135594093167546E-3</v>
      </c>
      <c r="H57" s="335">
        <f t="shared" si="13"/>
        <v>-9.7650406698402727E-4</v>
      </c>
      <c r="I57" s="335">
        <f t="shared" si="13"/>
        <v>-9.5966090390801255E-4</v>
      </c>
      <c r="J57" s="335">
        <f t="shared" si="13"/>
        <v>-9.4979372708739159E-4</v>
      </c>
      <c r="K57" s="335">
        <f t="shared" si="13"/>
        <v>-4.7251044714397868E-4</v>
      </c>
      <c r="L57" s="335">
        <f t="shared" si="13"/>
        <v>0</v>
      </c>
      <c r="M57" s="335">
        <f t="shared" si="13"/>
        <v>0</v>
      </c>
      <c r="N57" s="335">
        <f t="shared" si="13"/>
        <v>0</v>
      </c>
      <c r="O57" s="335">
        <f t="shared" si="13"/>
        <v>0</v>
      </c>
      <c r="P57" s="335">
        <f t="shared" si="13"/>
        <v>0</v>
      </c>
      <c r="Q57" s="335">
        <f t="shared" si="13"/>
        <v>0</v>
      </c>
      <c r="R57" s="335">
        <f t="shared" si="13"/>
        <v>0</v>
      </c>
      <c r="S57" s="335">
        <f t="shared" si="13"/>
        <v>0</v>
      </c>
      <c r="T57" s="335">
        <f t="shared" si="13"/>
        <v>0</v>
      </c>
      <c r="U57" s="335">
        <f t="shared" si="13"/>
        <v>0</v>
      </c>
      <c r="V57" s="335">
        <f t="shared" si="13"/>
        <v>0</v>
      </c>
      <c r="W57" s="335">
        <f t="shared" si="13"/>
        <v>0</v>
      </c>
      <c r="X57" s="335">
        <f t="shared" si="13"/>
        <v>0</v>
      </c>
      <c r="Y57" s="335">
        <f t="shared" si="13"/>
        <v>0</v>
      </c>
      <c r="Z57" s="335">
        <f t="shared" si="13"/>
        <v>0</v>
      </c>
      <c r="AA57" s="335">
        <f t="shared" si="13"/>
        <v>0</v>
      </c>
      <c r="AB57" s="335">
        <f t="shared" si="13"/>
        <v>0</v>
      </c>
      <c r="AC57" s="335">
        <f t="shared" si="13"/>
        <v>0</v>
      </c>
      <c r="AD57" s="335">
        <f t="shared" si="13"/>
        <v>0</v>
      </c>
      <c r="AE57" s="335">
        <f t="shared" si="13"/>
        <v>0</v>
      </c>
      <c r="AF57" s="335">
        <f t="shared" si="13"/>
        <v>0</v>
      </c>
      <c r="AG57" s="335">
        <f t="shared" si="13"/>
        <v>0</v>
      </c>
      <c r="AH57" s="335">
        <f t="shared" si="13"/>
        <v>0</v>
      </c>
      <c r="AI57" s="335">
        <f t="shared" si="13"/>
        <v>0</v>
      </c>
      <c r="AJ57" s="335">
        <f t="shared" si="13"/>
        <v>0</v>
      </c>
      <c r="AK57" s="335">
        <f t="shared" si="13"/>
        <v>0</v>
      </c>
      <c r="AL57" s="335">
        <f t="shared" si="13"/>
        <v>0</v>
      </c>
      <c r="AM57" s="335">
        <f t="shared" si="13"/>
        <v>0</v>
      </c>
      <c r="AN57" s="335">
        <f t="shared" si="13"/>
        <v>0</v>
      </c>
      <c r="AO57" s="335">
        <f t="shared" si="13"/>
        <v>0</v>
      </c>
      <c r="AP57" s="335">
        <f t="shared" si="13"/>
        <v>0</v>
      </c>
      <c r="AQ57" s="335">
        <f t="shared" si="13"/>
        <v>0</v>
      </c>
      <c r="AR57" s="335">
        <f t="shared" si="13"/>
        <v>0</v>
      </c>
      <c r="AS57" s="335">
        <f t="shared" si="13"/>
        <v>0</v>
      </c>
      <c r="AT57" s="335">
        <f t="shared" si="13"/>
        <v>0</v>
      </c>
      <c r="AU57" s="335">
        <f t="shared" si="13"/>
        <v>0</v>
      </c>
      <c r="AV57" s="335">
        <f t="shared" si="13"/>
        <v>0</v>
      </c>
      <c r="AW57" s="335">
        <f t="shared" si="13"/>
        <v>0</v>
      </c>
      <c r="AX57" s="335">
        <f t="shared" si="13"/>
        <v>0</v>
      </c>
      <c r="AY57" s="335">
        <f t="shared" si="13"/>
        <v>0</v>
      </c>
      <c r="AZ57" s="335">
        <f t="shared" si="13"/>
        <v>0</v>
      </c>
      <c r="BA57" s="335">
        <f t="shared" si="13"/>
        <v>0</v>
      </c>
      <c r="BB57" s="335">
        <f t="shared" si="13"/>
        <v>0</v>
      </c>
      <c r="BC57" s="335">
        <f t="shared" si="13"/>
        <v>0</v>
      </c>
      <c r="BD57" s="335">
        <f t="shared" si="13"/>
        <v>0</v>
      </c>
      <c r="BE57" s="335">
        <f t="shared" si="13"/>
        <v>0</v>
      </c>
      <c r="BF57" s="335">
        <f t="shared" si="13"/>
        <v>0</v>
      </c>
      <c r="BG57" s="335">
        <f t="shared" si="13"/>
        <v>0</v>
      </c>
      <c r="BH57" s="335">
        <f t="shared" si="13"/>
        <v>0</v>
      </c>
      <c r="BI57" s="335">
        <f t="shared" si="13"/>
        <v>0</v>
      </c>
      <c r="BJ57" s="335">
        <f t="shared" si="13"/>
        <v>0</v>
      </c>
      <c r="BK57" s="335">
        <f t="shared" si="13"/>
        <v>0</v>
      </c>
      <c r="BL57" s="335">
        <f t="shared" si="13"/>
        <v>0</v>
      </c>
    </row>
    <row r="59" spans="1:64" x14ac:dyDescent="0.15">
      <c r="B59" s="337"/>
      <c r="C59" s="337" t="s">
        <v>265</v>
      </c>
      <c r="E59" s="422">
        <f>SUM(E60:E61)</f>
        <v>0.2241971681274284</v>
      </c>
      <c r="F59" s="422">
        <f t="shared" ref="F59:BL59" si="14">SUM(F60:F62)</f>
        <v>0</v>
      </c>
      <c r="G59" s="422">
        <f t="shared" si="14"/>
        <v>0</v>
      </c>
      <c r="H59" s="422">
        <f t="shared" si="14"/>
        <v>0</v>
      </c>
      <c r="I59" s="422">
        <f t="shared" si="14"/>
        <v>0</v>
      </c>
      <c r="J59" s="422">
        <f t="shared" si="14"/>
        <v>0</v>
      </c>
      <c r="K59" s="422">
        <f t="shared" si="14"/>
        <v>0</v>
      </c>
      <c r="L59" s="422">
        <f t="shared" si="14"/>
        <v>0</v>
      </c>
      <c r="M59" s="422">
        <f t="shared" si="14"/>
        <v>0</v>
      </c>
      <c r="N59" s="422">
        <f t="shared" si="14"/>
        <v>0</v>
      </c>
      <c r="O59" s="422">
        <f t="shared" si="14"/>
        <v>0</v>
      </c>
      <c r="P59" s="422">
        <f t="shared" si="14"/>
        <v>0</v>
      </c>
      <c r="Q59" s="422">
        <f t="shared" si="14"/>
        <v>0</v>
      </c>
      <c r="R59" s="422">
        <f t="shared" si="14"/>
        <v>0</v>
      </c>
      <c r="S59" s="422">
        <f t="shared" si="14"/>
        <v>0</v>
      </c>
      <c r="T59" s="422">
        <f t="shared" si="14"/>
        <v>0</v>
      </c>
      <c r="U59" s="422">
        <f t="shared" si="14"/>
        <v>0</v>
      </c>
      <c r="V59" s="422">
        <f t="shared" si="14"/>
        <v>0</v>
      </c>
      <c r="W59" s="422">
        <f t="shared" si="14"/>
        <v>0</v>
      </c>
      <c r="X59" s="422">
        <f t="shared" si="14"/>
        <v>0</v>
      </c>
      <c r="Y59" s="422">
        <f t="shared" si="14"/>
        <v>0</v>
      </c>
      <c r="Z59" s="422">
        <f t="shared" si="14"/>
        <v>0</v>
      </c>
      <c r="AA59" s="422">
        <f t="shared" si="14"/>
        <v>0</v>
      </c>
      <c r="AB59" s="422">
        <f t="shared" si="14"/>
        <v>0</v>
      </c>
      <c r="AC59" s="422">
        <f t="shared" si="14"/>
        <v>0</v>
      </c>
      <c r="AD59" s="422">
        <f t="shared" si="14"/>
        <v>0</v>
      </c>
      <c r="AE59" s="422">
        <f t="shared" si="14"/>
        <v>0</v>
      </c>
      <c r="AF59" s="422">
        <f t="shared" si="14"/>
        <v>0</v>
      </c>
      <c r="AG59" s="422">
        <f t="shared" si="14"/>
        <v>0</v>
      </c>
      <c r="AH59" s="422">
        <f t="shared" si="14"/>
        <v>0</v>
      </c>
      <c r="AI59" s="422">
        <f t="shared" si="14"/>
        <v>0</v>
      </c>
      <c r="AJ59" s="422">
        <f t="shared" si="14"/>
        <v>0</v>
      </c>
      <c r="AK59" s="422">
        <f t="shared" si="14"/>
        <v>0</v>
      </c>
      <c r="AL59" s="422">
        <f t="shared" si="14"/>
        <v>0</v>
      </c>
      <c r="AM59" s="422">
        <f t="shared" si="14"/>
        <v>0</v>
      </c>
      <c r="AN59" s="422">
        <f t="shared" si="14"/>
        <v>0</v>
      </c>
      <c r="AO59" s="422">
        <f t="shared" si="14"/>
        <v>0</v>
      </c>
      <c r="AP59" s="422">
        <f t="shared" si="14"/>
        <v>0</v>
      </c>
      <c r="AQ59" s="422">
        <f t="shared" si="14"/>
        <v>0</v>
      </c>
      <c r="AR59" s="422">
        <f t="shared" si="14"/>
        <v>0</v>
      </c>
      <c r="AS59" s="422">
        <f t="shared" si="14"/>
        <v>0</v>
      </c>
      <c r="AT59" s="422">
        <f t="shared" si="14"/>
        <v>0</v>
      </c>
      <c r="AU59" s="422">
        <f t="shared" si="14"/>
        <v>0</v>
      </c>
      <c r="AV59" s="422">
        <f t="shared" si="14"/>
        <v>0</v>
      </c>
      <c r="AW59" s="422">
        <f t="shared" si="14"/>
        <v>0</v>
      </c>
      <c r="AX59" s="422">
        <f t="shared" si="14"/>
        <v>0</v>
      </c>
      <c r="AY59" s="422">
        <f t="shared" si="14"/>
        <v>0</v>
      </c>
      <c r="AZ59" s="422">
        <f t="shared" si="14"/>
        <v>0</v>
      </c>
      <c r="BA59" s="422">
        <f t="shared" si="14"/>
        <v>0</v>
      </c>
      <c r="BB59" s="422">
        <f t="shared" si="14"/>
        <v>0</v>
      </c>
      <c r="BC59" s="422">
        <f t="shared" si="14"/>
        <v>0</v>
      </c>
      <c r="BD59" s="422">
        <f t="shared" si="14"/>
        <v>0</v>
      </c>
      <c r="BE59" s="422">
        <f t="shared" si="14"/>
        <v>0</v>
      </c>
      <c r="BF59" s="422">
        <f t="shared" si="14"/>
        <v>0</v>
      </c>
      <c r="BG59" s="422">
        <f t="shared" si="14"/>
        <v>0</v>
      </c>
      <c r="BH59" s="422">
        <f t="shared" si="14"/>
        <v>0</v>
      </c>
      <c r="BI59" s="422">
        <f t="shared" si="14"/>
        <v>0</v>
      </c>
      <c r="BJ59" s="422">
        <f t="shared" si="14"/>
        <v>0</v>
      </c>
      <c r="BK59" s="422">
        <f t="shared" si="14"/>
        <v>0</v>
      </c>
      <c r="BL59" s="422">
        <f t="shared" si="14"/>
        <v>0</v>
      </c>
    </row>
    <row r="60" spans="1:64" x14ac:dyDescent="0.15">
      <c r="A60" s="337"/>
      <c r="C60" s="343" t="s">
        <v>522</v>
      </c>
      <c r="E60" s="335">
        <f>Leadsheet!E10*Leadsheet!E21*Leadsheet!E23*Leadsheet!E24+Leadsheet!E10/(1+Leadsheet!E22*Leadsheet!E23)*Leadsheet!E22*Leadsheet!E23*Leadsheet!E24</f>
        <v>0.2241971681274284</v>
      </c>
    </row>
    <row r="61" spans="1:64" x14ac:dyDescent="0.15">
      <c r="C61" s="257" t="s">
        <v>86</v>
      </c>
      <c r="E61" s="335">
        <f>Leadsheet!E10*Leadsheet!E27+Leadsheet!E26</f>
        <v>0</v>
      </c>
      <c r="F61" s="335"/>
      <c r="G61" s="335"/>
      <c r="H61" s="335"/>
      <c r="I61" s="335"/>
      <c r="J61" s="335"/>
      <c r="K61" s="335"/>
      <c r="L61" s="335"/>
      <c r="M61" s="335"/>
      <c r="N61" s="335"/>
      <c r="O61" s="335"/>
      <c r="P61" s="335"/>
      <c r="Q61" s="335"/>
      <c r="R61" s="335"/>
      <c r="S61" s="335"/>
      <c r="T61" s="335"/>
      <c r="U61" s="335"/>
      <c r="V61" s="335"/>
      <c r="W61" s="335"/>
      <c r="X61" s="335"/>
      <c r="Y61" s="335"/>
      <c r="Z61" s="335"/>
      <c r="AA61" s="335"/>
      <c r="AB61" s="335"/>
      <c r="AC61" s="335"/>
      <c r="AD61" s="335"/>
      <c r="AE61" s="335"/>
      <c r="AF61" s="335"/>
      <c r="AG61" s="335"/>
      <c r="AH61" s="335"/>
      <c r="AI61" s="335"/>
      <c r="AJ61" s="335"/>
      <c r="AK61" s="335"/>
      <c r="AL61" s="335"/>
      <c r="AM61" s="335"/>
      <c r="AN61" s="335"/>
      <c r="AO61" s="335"/>
      <c r="AP61" s="335"/>
      <c r="AQ61" s="335"/>
      <c r="AR61" s="335"/>
      <c r="AS61" s="335"/>
      <c r="AT61" s="335"/>
      <c r="AU61" s="335"/>
      <c r="AV61" s="335"/>
      <c r="AW61" s="335"/>
      <c r="AX61" s="335"/>
      <c r="AY61" s="335"/>
      <c r="AZ61" s="335"/>
      <c r="BA61" s="335"/>
      <c r="BB61" s="335"/>
      <c r="BC61" s="335"/>
      <c r="BD61" s="335"/>
      <c r="BE61" s="335"/>
      <c r="BF61" s="335"/>
      <c r="BG61" s="335"/>
      <c r="BH61" s="335"/>
      <c r="BI61" s="335"/>
      <c r="BJ61" s="335"/>
      <c r="BK61" s="335"/>
      <c r="BL61" s="335"/>
    </row>
    <row r="62" spans="1:64" x14ac:dyDescent="0.15">
      <c r="C62" s="359"/>
      <c r="E62" s="335"/>
      <c r="F62" s="423"/>
      <c r="G62" s="423"/>
      <c r="H62" s="423"/>
      <c r="I62" s="423"/>
      <c r="J62" s="423"/>
      <c r="K62" s="423"/>
      <c r="L62" s="423"/>
      <c r="M62" s="423"/>
      <c r="N62" s="423"/>
      <c r="O62" s="423"/>
      <c r="P62" s="423"/>
      <c r="Q62" s="423"/>
      <c r="R62" s="423"/>
      <c r="S62" s="423"/>
      <c r="T62" s="423"/>
      <c r="U62" s="423"/>
      <c r="V62" s="423"/>
      <c r="W62" s="423"/>
      <c r="X62" s="423"/>
      <c r="Y62" s="423"/>
      <c r="Z62" s="423"/>
      <c r="AA62" s="423"/>
      <c r="AB62" s="423"/>
      <c r="AC62" s="423"/>
      <c r="AD62" s="423"/>
      <c r="AE62" s="423"/>
      <c r="AF62" s="423"/>
      <c r="AG62" s="423"/>
      <c r="AH62" s="423"/>
      <c r="AI62" s="423"/>
      <c r="AJ62" s="423"/>
      <c r="AK62" s="423"/>
      <c r="AL62" s="423"/>
      <c r="AM62" s="423"/>
      <c r="AN62" s="423"/>
      <c r="AO62" s="423"/>
      <c r="AP62" s="423"/>
      <c r="AQ62" s="423"/>
      <c r="AR62" s="423"/>
      <c r="AS62" s="423"/>
      <c r="AT62" s="423"/>
      <c r="AU62" s="423"/>
      <c r="AV62" s="423"/>
      <c r="AW62" s="423"/>
      <c r="AX62" s="423"/>
      <c r="AY62" s="423"/>
      <c r="AZ62" s="423"/>
      <c r="BA62" s="423"/>
      <c r="BB62" s="423"/>
      <c r="BC62" s="423"/>
      <c r="BD62" s="423"/>
      <c r="BE62" s="423"/>
      <c r="BF62" s="423"/>
      <c r="BG62" s="423"/>
      <c r="BH62" s="423"/>
      <c r="BI62" s="423"/>
      <c r="BJ62" s="423"/>
      <c r="BK62" s="423"/>
      <c r="BL62" s="423"/>
    </row>
    <row r="63" spans="1:64" x14ac:dyDescent="0.15">
      <c r="B63" s="337" t="s">
        <v>523</v>
      </c>
      <c r="E63" s="335" cm="1">
        <f t="array" ref="E63">IF(E5=$D$7,_xlfn.IFS(Leadsheet!$G$4="IFRS",0,Leadsheet!$G$5="DPD180+",(E172-E137)*(1+Leadsheet!$E$102),Leadsheet!$G$5="DPD360+",(E157-E137)*(1+Leadsheet!$E$102)),0)</f>
        <v>0</v>
      </c>
      <c r="F63" s="335" cm="1">
        <f t="array" ref="F63">IF(F5=$D$7,_xlfn.IFS(Leadsheet!$G$4="IFRS",0,Leadsheet!$G$5="DPD180+",(F172-F137)*(1+Leadsheet!$E$102),Leadsheet!$G$5="DPD360+",(F157-F137)*(1+Leadsheet!$E$102)),0)</f>
        <v>0</v>
      </c>
      <c r="G63" s="335" cm="1">
        <f t="array" ref="G63">IF(G5=$D$7,_xlfn.IFS(Leadsheet!$G$4="IFRS",0,Leadsheet!$G$5="DPD180+",(G172-G137)*(1+Leadsheet!$E$102),Leadsheet!$G$5="DPD360+",(G157-G137)*(1+Leadsheet!$E$102)),0)</f>
        <v>0</v>
      </c>
      <c r="H63" s="335" cm="1">
        <f t="array" ref="H63">IF(H5=$D$7,_xlfn.IFS(Leadsheet!$G$4="IFRS",0,Leadsheet!$G$5="DPD180+",(H172-H137)*(1+Leadsheet!$E$102),Leadsheet!$G$5="DPD360+",(H157-H137)*(1+Leadsheet!$E$102)),0)</f>
        <v>0</v>
      </c>
      <c r="I63" s="335" cm="1">
        <f t="array" ref="I63">IF(I5=$D$7,_xlfn.IFS(Leadsheet!$G$4="IFRS",0,Leadsheet!$G$5="DPD180+",(I172-I137)*(1+Leadsheet!$E$102),Leadsheet!$G$5="DPD360+",(I157-I137)*(1+Leadsheet!$E$102)),0)</f>
        <v>0</v>
      </c>
      <c r="J63" s="335" cm="1">
        <f t="array" ref="J63">IF(J5=$D$7,_xlfn.IFS(Leadsheet!$G$4="IFRS",0,Leadsheet!$G$5="DPD180+",(J172-J137)*(1+Leadsheet!$E$102),Leadsheet!$G$5="DPD360+",(J157-J137)*(1+Leadsheet!$E$102)),0)</f>
        <v>0</v>
      </c>
      <c r="K63" s="335" cm="1">
        <f t="array" ref="K63">IF(K5=$D$7,_xlfn.IFS(Leadsheet!$G$4="IFRS",0,Leadsheet!$G$5="DPD180+",(K172-K137)*(1+Leadsheet!$E$102),Leadsheet!$G$5="DPD360+",(K157-K137)*(1+Leadsheet!$E$102)),0)</f>
        <v>0</v>
      </c>
      <c r="L63" s="335" cm="1">
        <f t="array" ref="L63">IF(L5=$D$7,_xlfn.IFS(Leadsheet!$G$4="IFRS",0,Leadsheet!$G$5="DPD180+",(L172-L137)*(1+Leadsheet!$E$102),Leadsheet!$G$5="DPD360+",(L157-L137)*(1+Leadsheet!$E$102)),0)</f>
        <v>0</v>
      </c>
      <c r="M63" s="335" cm="1">
        <f t="array" ref="M63">IF(M5=$D$7,_xlfn.IFS(Leadsheet!$G$4="IFRS",0,Leadsheet!$G$5="DPD180+",(M172-M137)*(1+Leadsheet!$E$102),Leadsheet!$G$5="DPD360+",(M157-M137)*(1+Leadsheet!$E$102)),0)</f>
        <v>0</v>
      </c>
      <c r="N63" s="335" cm="1">
        <f t="array" ref="N63">IF(N5=$D$7,_xlfn.IFS(Leadsheet!$G$4="IFRS",0,Leadsheet!$G$5="DPD180+",(N172-N137)*(1+Leadsheet!$E$102),Leadsheet!$G$5="DPD360+",(N157-N137)*(1+Leadsheet!$E$102)),0)</f>
        <v>0</v>
      </c>
      <c r="O63" s="335" cm="1">
        <f t="array" ref="O63">IF(O5=$D$7,_xlfn.IFS(Leadsheet!$G$4="IFRS",0,Leadsheet!$G$5="DPD180+",(O172-O137)*(1+Leadsheet!$E$102),Leadsheet!$G$5="DPD360+",(O157-O137)*(1+Leadsheet!$E$102)),0)</f>
        <v>0</v>
      </c>
      <c r="P63" s="335" cm="1">
        <f t="array" ref="P63">IF(P5=$D$7,_xlfn.IFS(Leadsheet!$G$4="IFRS",0,Leadsheet!$G$5="DPD180+",(P172-P137)*(1+Leadsheet!$E$102),Leadsheet!$G$5="DPD360+",(P157-P137)*(1+Leadsheet!$E$102)),0)</f>
        <v>0</v>
      </c>
      <c r="Q63" s="335" cm="1">
        <f t="array" ref="Q63">IF(Q5=$D$7,_xlfn.IFS(Leadsheet!$G$4="IFRS",0,Leadsheet!$G$5="DPD180+",(Q172-Q137)*(1+Leadsheet!$E$102),Leadsheet!$G$5="DPD360+",(Q157-Q137)*(1+Leadsheet!$E$102)),0)</f>
        <v>0</v>
      </c>
      <c r="R63" s="335" cm="1">
        <f t="array" ref="R63">IF(R5=$D$7,_xlfn.IFS(Leadsheet!$G$4="IFRS",0,Leadsheet!$G$5="DPD180+",(R172-R137)*(1+Leadsheet!$E$102),Leadsheet!$G$5="DPD360+",(R157-R137)*(1+Leadsheet!$E$102)),0)</f>
        <v>0</v>
      </c>
      <c r="S63" s="335" cm="1">
        <f t="array" ref="S63">IF(S5=$D$7,_xlfn.IFS(Leadsheet!$G$4="IFRS",0,Leadsheet!$G$5="DPD180+",(S172-S137)*(1+Leadsheet!$E$102),Leadsheet!$G$5="DPD360+",(S157-S137)*(1+Leadsheet!$E$102)),0)</f>
        <v>0</v>
      </c>
      <c r="T63" s="335" cm="1">
        <f t="array" ref="T63">IF(T5=$D$7,_xlfn.IFS(Leadsheet!$G$4="IFRS",0,Leadsheet!$G$5="DPD180+",(T172-T137)*(1+Leadsheet!$E$102),Leadsheet!$G$5="DPD360+",(T157-T137)*(1+Leadsheet!$E$102)),0)</f>
        <v>0</v>
      </c>
      <c r="U63" s="335" cm="1">
        <f t="array" ref="U63">IF(U5=$D$7,_xlfn.IFS(Leadsheet!$G$4="IFRS",0,Leadsheet!$G$5="DPD180+",(U172-U137)*(1+Leadsheet!$E$102),Leadsheet!$G$5="DPD360+",(U157-U137)*(1+Leadsheet!$E$102)),0)</f>
        <v>0</v>
      </c>
      <c r="V63" s="335" cm="1">
        <f t="array" ref="V63">IF(V5=$D$7,_xlfn.IFS(Leadsheet!$G$4="IFRS",0,Leadsheet!$G$5="DPD180+",(V172-V137)*(1+Leadsheet!$E$102),Leadsheet!$G$5="DPD360+",(V157-V137)*(1+Leadsheet!$E$102)),0)</f>
        <v>0</v>
      </c>
      <c r="W63" s="335" cm="1">
        <f t="array" ref="W63">IF(W5=$D$7,_xlfn.IFS(Leadsheet!$G$4="IFRS",0,Leadsheet!$G$5="DPD180+",(W172-W137)*(1+Leadsheet!$E$102),Leadsheet!$G$5="DPD360+",(W157-W137)*(1+Leadsheet!$E$102)),0)</f>
        <v>0</v>
      </c>
      <c r="X63" s="335" cm="1">
        <f t="array" ref="X63">IF(X5=$D$7,_xlfn.IFS(Leadsheet!$G$4="IFRS",0,Leadsheet!$G$5="DPD180+",(X172-X137)*(1+Leadsheet!$E$102),Leadsheet!$G$5="DPD360+",(X157-X137)*(1+Leadsheet!$E$102)),0)</f>
        <v>0</v>
      </c>
      <c r="Y63" s="335" cm="1">
        <f t="array" ref="Y63">IF(Y5=$D$7,_xlfn.IFS(Leadsheet!$G$4="IFRS",0,Leadsheet!$G$5="DPD180+",(Y172-Y137)*(1+Leadsheet!$E$102),Leadsheet!$G$5="DPD360+",(Y157-Y137)*(1+Leadsheet!$E$102)),0)</f>
        <v>0</v>
      </c>
      <c r="Z63" s="335" cm="1">
        <f t="array" ref="Z63">IF(Z5=$D$7,_xlfn.IFS(Leadsheet!$G$4="IFRS",0,Leadsheet!$G$5="DPD180+",(Z172-Z137)*(1+Leadsheet!$E$102),Leadsheet!$G$5="DPD360+",(Z157-Z137)*(1+Leadsheet!$E$102)),0)</f>
        <v>0</v>
      </c>
      <c r="AA63" s="335" cm="1">
        <f t="array" ref="AA63">IF(AA5=$D$7,_xlfn.IFS(Leadsheet!$G$4="IFRS",0,Leadsheet!$G$5="DPD180+",(AA172-AA137)*(1+Leadsheet!$E$102),Leadsheet!$G$5="DPD360+",(AA157-AA137)*(1+Leadsheet!$E$102)),0)</f>
        <v>0</v>
      </c>
      <c r="AB63" s="335" cm="1">
        <f t="array" ref="AB63">IF(AB5=$D$7,_xlfn.IFS(Leadsheet!$G$4="IFRS",0,Leadsheet!$G$5="DPD180+",(AB172-AB137)*(1+Leadsheet!$E$102),Leadsheet!$G$5="DPD360+",(AB157-AB137)*(1+Leadsheet!$E$102)),0)</f>
        <v>0</v>
      </c>
      <c r="AC63" s="335">
        <f>IF(AC5&gt;$D$7,0,IF(Leadsheet!$G$5="DPD180+",SUM(SAP_Speadsheet!AB33:AB37)-SUM(SAP_Speadsheet!AC34:AC38),0))</f>
        <v>0</v>
      </c>
      <c r="AD63" s="335">
        <f>IF(AD5&gt;$D$7,0,IF(Leadsheet!$G$5="DPD180+",SUM(SAP_Speadsheet!AC33:AC37)-SUM(SAP_Speadsheet!AD34:AD38),0))</f>
        <v>0</v>
      </c>
      <c r="AE63" s="335">
        <f>IF(AE5&gt;$D$7,0,IF(Leadsheet!$G$5="DPD180+",SUM(SAP_Speadsheet!AD33:AD37)-SUM(SAP_Speadsheet!AE34:AE38),0))</f>
        <v>0</v>
      </c>
      <c r="AF63" s="335">
        <f>IF(AF5&gt;$D$7,0,IF(Leadsheet!$G$5="DPD180+",SUM(SAP_Speadsheet!AE33:AE37)-SUM(SAP_Speadsheet!AF34:AF38),0))</f>
        <v>0</v>
      </c>
      <c r="AG63" s="335">
        <f>IF(AG5&gt;$D$7,0,IF(Leadsheet!$G$5="DPD180+",SUM(SAP_Speadsheet!AF33:AF37)-SUM(SAP_Speadsheet!AG34:AG38),0))</f>
        <v>0</v>
      </c>
      <c r="AH63" s="335">
        <f>IF(AH5&gt;$D$7,0,IF(Leadsheet!$G$5="DPD180+",SUM(SAP_Speadsheet!AG33:AG37)-SUM(SAP_Speadsheet!AH34:AH38),0))</f>
        <v>0</v>
      </c>
      <c r="AI63" s="335">
        <f>IF(AI5&gt;$D$7,0,IF(Leadsheet!$G$5="DPD180+",SUM(SAP_Speadsheet!AH33:AH37)-SUM(SAP_Speadsheet!AI34:AI38),0))</f>
        <v>0</v>
      </c>
      <c r="AJ63" s="335">
        <f>IF(AJ5&gt;$D$7,0,IF(Leadsheet!$G$5="DPD180+",SUM(SAP_Speadsheet!AI33:AI37)-SUM(SAP_Speadsheet!AJ34:AJ38),0))</f>
        <v>0</v>
      </c>
      <c r="AK63" s="335">
        <f>IF(AK5&gt;$D$7,0,IF(Leadsheet!$G$5="DPD180+",SUM(SAP_Speadsheet!AJ33:AJ37)-SUM(SAP_Speadsheet!AK34:AK38),0))</f>
        <v>0</v>
      </c>
      <c r="AL63" s="335">
        <f>IF(AL5&gt;$D$7,0,IF(Leadsheet!$G$5="DPD180+",SUM(SAP_Speadsheet!AK33:AK37)-SUM(SAP_Speadsheet!AL34:AL38),0))</f>
        <v>0</v>
      </c>
      <c r="AM63" s="335">
        <f>IF(AM5&gt;$D$7,0,IF(Leadsheet!$G$5="DPD180+",SUM(SAP_Speadsheet!AL33:AL37)-SUM(SAP_Speadsheet!AM34:AM38),0))</f>
        <v>0</v>
      </c>
      <c r="AN63" s="335">
        <f>IF(AN5&gt;$D$7,0,IF(Leadsheet!$G$5="DPD180+",SUM(SAP_Speadsheet!AM33:AM37)-SUM(SAP_Speadsheet!AN34:AN38),0))</f>
        <v>0</v>
      </c>
      <c r="AO63" s="335">
        <f>IF(AO5&gt;$D$7,0,IF(Leadsheet!$G$5="DPD180+",SUM(SAP_Speadsheet!AN33:AN37)-SUM(SAP_Speadsheet!AO34:AO38),0))</f>
        <v>0</v>
      </c>
      <c r="AP63" s="335">
        <f>IF(AP5&gt;$D$7,0,IF(Leadsheet!$G$5="DPD180+",SUM(SAP_Speadsheet!AO33:AO37)-SUM(SAP_Speadsheet!AP34:AP38),0))</f>
        <v>0</v>
      </c>
      <c r="AQ63" s="335">
        <f>IF(AQ5&gt;$D$7,0,IF(Leadsheet!$G$5="DPD180+",SUM(SAP_Speadsheet!AP33:AP37)-SUM(SAP_Speadsheet!AQ34:AQ38),0))</f>
        <v>0</v>
      </c>
      <c r="AR63" s="335">
        <f>IF(AR5&gt;$D$7,0,IF(Leadsheet!$G$5="DPD180+",SUM(SAP_Speadsheet!AQ33:AQ37)-SUM(SAP_Speadsheet!AR34:AR38),0))</f>
        <v>0</v>
      </c>
      <c r="AS63" s="335">
        <f>IF(AS5&gt;$D$7,0,IF(Leadsheet!$G$5="DPD180+",SUM(SAP_Speadsheet!AR33:AR37)-SUM(SAP_Speadsheet!AS34:AS38),0))</f>
        <v>0</v>
      </c>
      <c r="AT63" s="335">
        <f>IF(AT5&gt;$D$7,0,IF(Leadsheet!$G$5="DPD180+",SUM(SAP_Speadsheet!AS33:AS37)-SUM(SAP_Speadsheet!AT34:AT38),0))</f>
        <v>0</v>
      </c>
      <c r="AU63" s="335">
        <f>IF(AU5&gt;$D$7,0,IF(Leadsheet!$G$5="DPD180+",SUM(SAP_Speadsheet!AT33:AT37)-SUM(SAP_Speadsheet!AU34:AU38),0))</f>
        <v>0</v>
      </c>
      <c r="AV63" s="335">
        <f>IF(AV5&gt;$D$7,0,IF(Leadsheet!$G$5="DPD180+",SUM(SAP_Speadsheet!AU33:AU37)-SUM(SAP_Speadsheet!AV34:AV38),0))</f>
        <v>0</v>
      </c>
      <c r="AW63" s="335">
        <f>IF(AW5&gt;$D$7,0,IF(Leadsheet!$G$5="DPD180+",SUM(SAP_Speadsheet!AV33:AV37)-SUM(SAP_Speadsheet!AW34:AW38),0))</f>
        <v>0</v>
      </c>
      <c r="AX63" s="335">
        <f>IF(AX5&gt;$D$7,0,IF(Leadsheet!$G$5="DPD180+",SUM(SAP_Speadsheet!AW33:AW37)-SUM(SAP_Speadsheet!AX34:AX38),0))</f>
        <v>0</v>
      </c>
      <c r="AY63" s="335">
        <f>IF(AY5&gt;$D$7,0,IF(Leadsheet!$G$5="DPD180+",SUM(SAP_Speadsheet!AX33:AX37)-SUM(SAP_Speadsheet!AY34:AY38),0))</f>
        <v>0</v>
      </c>
      <c r="AZ63" s="335">
        <f>IF(AZ5&gt;$D$7,0,IF(Leadsheet!$G$5="DPD180+",SUM(SAP_Speadsheet!AY33:AY37)-SUM(SAP_Speadsheet!AZ34:AZ38),0))</f>
        <v>0</v>
      </c>
      <c r="BA63" s="335">
        <f>IF(BA5&gt;$D$7,0,IF(Leadsheet!$G$5="DPD180+",SUM(SAP_Speadsheet!AZ33:AZ37)-SUM(SAP_Speadsheet!BA34:BA38),0))</f>
        <v>0</v>
      </c>
      <c r="BB63" s="335">
        <f>IF(BB5&gt;$D$7,0,IF(Leadsheet!$G$5="DPD180+",SUM(SAP_Speadsheet!BA33:BA37)-SUM(SAP_Speadsheet!BB34:BB38),0))</f>
        <v>0</v>
      </c>
      <c r="BC63" s="335">
        <f>IF(BC5&gt;$D$7,0,IF(Leadsheet!$G$5="DPD180+",SUM(SAP_Speadsheet!BB33:BB37)-SUM(SAP_Speadsheet!BC34:BC38),0))</f>
        <v>0</v>
      </c>
      <c r="BD63" s="335">
        <f>IF(BD5&gt;$D$7,0,IF(Leadsheet!$G$5="DPD180+",SUM(SAP_Speadsheet!BC33:BC37)-SUM(SAP_Speadsheet!BD34:BD38),0))</f>
        <v>0</v>
      </c>
      <c r="BE63" s="335">
        <f>IF(BE5&gt;$D$7,0,IF(Leadsheet!$G$5="DPD180+",SUM(SAP_Speadsheet!BD33:BD37)-SUM(SAP_Speadsheet!BE34:BE38),0))</f>
        <v>0</v>
      </c>
      <c r="BF63" s="335">
        <f>IF(BF5&gt;$D$7,0,IF(Leadsheet!$G$5="DPD180+",SUM(SAP_Speadsheet!BE33:BE37)-SUM(SAP_Speadsheet!BF34:BF38),0))</f>
        <v>0</v>
      </c>
      <c r="BG63" s="335">
        <f>IF(BG5&gt;$D$7,0,IF(Leadsheet!$G$5="DPD180+",SUM(SAP_Speadsheet!BF33:BF37)-SUM(SAP_Speadsheet!BG34:BG38),0))</f>
        <v>0</v>
      </c>
      <c r="BH63" s="335">
        <f>IF(BH5&gt;$D$7,0,IF(Leadsheet!$G$5="DPD180+",SUM(SAP_Speadsheet!BG33:BG37)-SUM(SAP_Speadsheet!BH34:BH38),0))</f>
        <v>0</v>
      </c>
      <c r="BI63" s="335">
        <f>IF(BI5&gt;$D$7,0,IF(Leadsheet!$G$5="DPD180+",SUM(SAP_Speadsheet!BH33:BH37)-SUM(SAP_Speadsheet!BI34:BI38),0))</f>
        <v>0</v>
      </c>
      <c r="BJ63" s="335">
        <f>IF(BJ5&gt;$D$7,0,IF(Leadsheet!$G$5="DPD180+",SUM(SAP_Speadsheet!BI33:BI37)-SUM(SAP_Speadsheet!BJ34:BJ38),0))</f>
        <v>0</v>
      </c>
      <c r="BK63" s="335">
        <f>IF(BK5&gt;$D$7,0,IF(Leadsheet!$G$5="DPD180+",SUM(SAP_Speadsheet!BJ33:BJ37)-SUM(SAP_Speadsheet!BK34:BK38),0))</f>
        <v>0</v>
      </c>
      <c r="BL63" s="335">
        <f>IF(BL5&gt;$D$7,0,IF(Leadsheet!$G$5="DPD180+",SUM(SAP_Speadsheet!BK33:BK37)-SUM(SAP_Speadsheet!BL34:BL38),0))</f>
        <v>0</v>
      </c>
    </row>
    <row r="64" spans="1:64" x14ac:dyDescent="0.15">
      <c r="E64" s="335"/>
      <c r="F64" s="335"/>
      <c r="G64" s="335"/>
      <c r="H64" s="335"/>
      <c r="I64" s="335"/>
      <c r="J64" s="335"/>
      <c r="K64" s="335"/>
      <c r="L64" s="335"/>
      <c r="M64" s="335"/>
      <c r="N64" s="335"/>
      <c r="O64" s="335"/>
      <c r="P64" s="335"/>
      <c r="Q64" s="335"/>
      <c r="R64" s="335"/>
      <c r="S64" s="335"/>
      <c r="T64" s="335"/>
      <c r="U64" s="335"/>
      <c r="V64" s="335"/>
      <c r="W64" s="335"/>
      <c r="X64" s="335"/>
      <c r="Y64" s="335"/>
      <c r="Z64" s="335"/>
      <c r="AA64" s="335"/>
      <c r="AB64" s="335"/>
      <c r="AC64" s="335"/>
      <c r="AD64" s="335"/>
      <c r="AE64" s="335"/>
      <c r="AF64" s="335"/>
      <c r="AG64" s="335"/>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c r="BD64" s="335"/>
      <c r="BE64" s="335"/>
      <c r="BF64" s="335"/>
      <c r="BG64" s="335"/>
      <c r="BH64" s="335"/>
      <c r="BI64" s="335"/>
      <c r="BJ64" s="335"/>
      <c r="BK64" s="335"/>
      <c r="BL64" s="335"/>
    </row>
    <row r="66" spans="2:64" x14ac:dyDescent="0.15">
      <c r="B66" s="337" t="s">
        <v>524</v>
      </c>
      <c r="E66" s="422">
        <f t="shared" ref="E66:BL66" si="15">E67+E77+E80+E87+E91</f>
        <v>-0.10735063682940646</v>
      </c>
      <c r="F66" s="422">
        <f t="shared" si="15"/>
        <v>-6.3594898625531191E-4</v>
      </c>
      <c r="G66" s="422">
        <f t="shared" si="15"/>
        <v>-2.6429301719202534E-5</v>
      </c>
      <c r="H66" s="422">
        <f t="shared" si="15"/>
        <v>4.8264410207991187E-2</v>
      </c>
      <c r="I66" s="422">
        <f t="shared" si="15"/>
        <v>-5.4038831798040496E-4</v>
      </c>
      <c r="J66" s="422">
        <f t="shared" si="15"/>
        <v>-5.0796406310839781E-4</v>
      </c>
      <c r="K66" s="422">
        <f t="shared" si="15"/>
        <v>-5.2575472796520095E-4</v>
      </c>
      <c r="L66" s="422">
        <f t="shared" si="15"/>
        <v>0</v>
      </c>
      <c r="M66" s="422">
        <f t="shared" si="15"/>
        <v>0</v>
      </c>
      <c r="N66" s="422">
        <f t="shared" si="15"/>
        <v>0</v>
      </c>
      <c r="O66" s="422">
        <f t="shared" si="15"/>
        <v>0</v>
      </c>
      <c r="P66" s="422">
        <f t="shared" si="15"/>
        <v>0</v>
      </c>
      <c r="Q66" s="422">
        <f t="shared" si="15"/>
        <v>0</v>
      </c>
      <c r="R66" s="422">
        <f t="shared" si="15"/>
        <v>0</v>
      </c>
      <c r="S66" s="422">
        <f t="shared" si="15"/>
        <v>0</v>
      </c>
      <c r="T66" s="422">
        <f t="shared" si="15"/>
        <v>0</v>
      </c>
      <c r="U66" s="422">
        <f t="shared" si="15"/>
        <v>0</v>
      </c>
      <c r="V66" s="422">
        <f t="shared" si="15"/>
        <v>0</v>
      </c>
      <c r="W66" s="422">
        <f t="shared" si="15"/>
        <v>0</v>
      </c>
      <c r="X66" s="422">
        <f t="shared" si="15"/>
        <v>0</v>
      </c>
      <c r="Y66" s="422">
        <f t="shared" si="15"/>
        <v>0</v>
      </c>
      <c r="Z66" s="422">
        <f t="shared" si="15"/>
        <v>0</v>
      </c>
      <c r="AA66" s="422">
        <f t="shared" si="15"/>
        <v>0</v>
      </c>
      <c r="AB66" s="422">
        <f t="shared" si="15"/>
        <v>0</v>
      </c>
      <c r="AC66" s="422">
        <f t="shared" si="15"/>
        <v>0</v>
      </c>
      <c r="AD66" s="422">
        <f t="shared" si="15"/>
        <v>0</v>
      </c>
      <c r="AE66" s="422">
        <f t="shared" si="15"/>
        <v>0</v>
      </c>
      <c r="AF66" s="422">
        <f t="shared" si="15"/>
        <v>0</v>
      </c>
      <c r="AG66" s="422">
        <f t="shared" si="15"/>
        <v>0</v>
      </c>
      <c r="AH66" s="422">
        <f t="shared" si="15"/>
        <v>0</v>
      </c>
      <c r="AI66" s="422">
        <f t="shared" si="15"/>
        <v>0</v>
      </c>
      <c r="AJ66" s="422">
        <f t="shared" si="15"/>
        <v>0</v>
      </c>
      <c r="AK66" s="422">
        <f t="shared" si="15"/>
        <v>0</v>
      </c>
      <c r="AL66" s="422">
        <f t="shared" si="15"/>
        <v>0</v>
      </c>
      <c r="AM66" s="422">
        <f t="shared" si="15"/>
        <v>0</v>
      </c>
      <c r="AN66" s="422">
        <f t="shared" si="15"/>
        <v>0</v>
      </c>
      <c r="AO66" s="422">
        <f t="shared" si="15"/>
        <v>0</v>
      </c>
      <c r="AP66" s="422">
        <f t="shared" si="15"/>
        <v>0</v>
      </c>
      <c r="AQ66" s="422">
        <f t="shared" si="15"/>
        <v>0</v>
      </c>
      <c r="AR66" s="422">
        <f t="shared" si="15"/>
        <v>0</v>
      </c>
      <c r="AS66" s="422">
        <f t="shared" si="15"/>
        <v>0</v>
      </c>
      <c r="AT66" s="422">
        <f t="shared" si="15"/>
        <v>0</v>
      </c>
      <c r="AU66" s="422">
        <f t="shared" si="15"/>
        <v>0</v>
      </c>
      <c r="AV66" s="422">
        <f t="shared" si="15"/>
        <v>0</v>
      </c>
      <c r="AW66" s="422">
        <f t="shared" si="15"/>
        <v>0</v>
      </c>
      <c r="AX66" s="422">
        <f t="shared" si="15"/>
        <v>0</v>
      </c>
      <c r="AY66" s="422">
        <f t="shared" si="15"/>
        <v>0</v>
      </c>
      <c r="AZ66" s="422">
        <f t="shared" si="15"/>
        <v>0</v>
      </c>
      <c r="BA66" s="422">
        <f t="shared" si="15"/>
        <v>0</v>
      </c>
      <c r="BB66" s="422">
        <f t="shared" si="15"/>
        <v>0</v>
      </c>
      <c r="BC66" s="422">
        <f t="shared" si="15"/>
        <v>0</v>
      </c>
      <c r="BD66" s="422">
        <f t="shared" si="15"/>
        <v>0</v>
      </c>
      <c r="BE66" s="422">
        <f t="shared" si="15"/>
        <v>0</v>
      </c>
      <c r="BF66" s="422">
        <f t="shared" si="15"/>
        <v>0</v>
      </c>
      <c r="BG66" s="422">
        <f t="shared" si="15"/>
        <v>0</v>
      </c>
      <c r="BH66" s="422">
        <f t="shared" si="15"/>
        <v>0</v>
      </c>
      <c r="BI66" s="422">
        <f t="shared" si="15"/>
        <v>0</v>
      </c>
      <c r="BJ66" s="422">
        <f t="shared" si="15"/>
        <v>0</v>
      </c>
      <c r="BK66" s="422">
        <f t="shared" si="15"/>
        <v>0</v>
      </c>
      <c r="BL66" s="422">
        <f t="shared" si="15"/>
        <v>0</v>
      </c>
    </row>
    <row r="67" spans="2:64" x14ac:dyDescent="0.15">
      <c r="B67" s="337" t="s">
        <v>94</v>
      </c>
      <c r="C67" s="337"/>
      <c r="D67" s="337"/>
      <c r="E67" s="406">
        <f>E68+E69</f>
        <v>-9.2440028802275337E-2</v>
      </c>
      <c r="F67" s="406">
        <f t="shared" ref="F67:BL67" si="16">F68+F69</f>
        <v>-3.4179898625531194E-4</v>
      </c>
      <c r="G67" s="406">
        <f t="shared" si="16"/>
        <v>2.5338985232918864E-4</v>
      </c>
      <c r="H67" s="406">
        <f t="shared" si="16"/>
        <v>4.8537576116386705E-2</v>
      </c>
      <c r="I67" s="406">
        <f t="shared" si="16"/>
        <v>-2.7010728865699274E-4</v>
      </c>
      <c r="J67" s="406">
        <f t="shared" si="16"/>
        <v>-2.4038584407821972E-4</v>
      </c>
      <c r="K67" s="406">
        <f t="shared" si="16"/>
        <v>-2.6031713468726431E-4</v>
      </c>
      <c r="L67" s="406">
        <f t="shared" si="16"/>
        <v>0</v>
      </c>
      <c r="M67" s="406">
        <f t="shared" si="16"/>
        <v>0</v>
      </c>
      <c r="N67" s="406">
        <f t="shared" si="16"/>
        <v>0</v>
      </c>
      <c r="O67" s="406">
        <f t="shared" si="16"/>
        <v>0</v>
      </c>
      <c r="P67" s="406">
        <f t="shared" si="16"/>
        <v>0</v>
      </c>
      <c r="Q67" s="406">
        <f t="shared" si="16"/>
        <v>0</v>
      </c>
      <c r="R67" s="406">
        <f t="shared" si="16"/>
        <v>0</v>
      </c>
      <c r="S67" s="406">
        <f t="shared" si="16"/>
        <v>0</v>
      </c>
      <c r="T67" s="406">
        <f t="shared" si="16"/>
        <v>0</v>
      </c>
      <c r="U67" s="406">
        <f t="shared" si="16"/>
        <v>0</v>
      </c>
      <c r="V67" s="406">
        <f t="shared" si="16"/>
        <v>0</v>
      </c>
      <c r="W67" s="406">
        <f t="shared" si="16"/>
        <v>0</v>
      </c>
      <c r="X67" s="406">
        <f t="shared" si="16"/>
        <v>0</v>
      </c>
      <c r="Y67" s="406">
        <f t="shared" si="16"/>
        <v>0</v>
      </c>
      <c r="Z67" s="406">
        <f t="shared" si="16"/>
        <v>0</v>
      </c>
      <c r="AA67" s="406">
        <f t="shared" si="16"/>
        <v>0</v>
      </c>
      <c r="AB67" s="406">
        <f t="shared" si="16"/>
        <v>0</v>
      </c>
      <c r="AC67" s="406">
        <f t="shared" si="16"/>
        <v>0</v>
      </c>
      <c r="AD67" s="406">
        <f t="shared" si="16"/>
        <v>0</v>
      </c>
      <c r="AE67" s="406">
        <f t="shared" si="16"/>
        <v>0</v>
      </c>
      <c r="AF67" s="406">
        <f t="shared" si="16"/>
        <v>0</v>
      </c>
      <c r="AG67" s="406">
        <f t="shared" si="16"/>
        <v>0</v>
      </c>
      <c r="AH67" s="406">
        <f t="shared" si="16"/>
        <v>0</v>
      </c>
      <c r="AI67" s="406">
        <f t="shared" si="16"/>
        <v>0</v>
      </c>
      <c r="AJ67" s="406">
        <f t="shared" si="16"/>
        <v>0</v>
      </c>
      <c r="AK67" s="406">
        <f t="shared" si="16"/>
        <v>0</v>
      </c>
      <c r="AL67" s="406">
        <f t="shared" si="16"/>
        <v>0</v>
      </c>
      <c r="AM67" s="406">
        <f t="shared" si="16"/>
        <v>0</v>
      </c>
      <c r="AN67" s="406">
        <f t="shared" si="16"/>
        <v>0</v>
      </c>
      <c r="AO67" s="406">
        <f t="shared" si="16"/>
        <v>0</v>
      </c>
      <c r="AP67" s="406">
        <f t="shared" si="16"/>
        <v>0</v>
      </c>
      <c r="AQ67" s="406">
        <f t="shared" si="16"/>
        <v>0</v>
      </c>
      <c r="AR67" s="406">
        <f t="shared" si="16"/>
        <v>0</v>
      </c>
      <c r="AS67" s="406">
        <f t="shared" si="16"/>
        <v>0</v>
      </c>
      <c r="AT67" s="406">
        <f t="shared" si="16"/>
        <v>0</v>
      </c>
      <c r="AU67" s="406">
        <f t="shared" si="16"/>
        <v>0</v>
      </c>
      <c r="AV67" s="406">
        <f t="shared" si="16"/>
        <v>0</v>
      </c>
      <c r="AW67" s="406">
        <f t="shared" si="16"/>
        <v>0</v>
      </c>
      <c r="AX67" s="406">
        <f t="shared" si="16"/>
        <v>0</v>
      </c>
      <c r="AY67" s="406">
        <f t="shared" si="16"/>
        <v>0</v>
      </c>
      <c r="AZ67" s="406">
        <f t="shared" si="16"/>
        <v>0</v>
      </c>
      <c r="BA67" s="406">
        <f t="shared" si="16"/>
        <v>0</v>
      </c>
      <c r="BB67" s="406">
        <f t="shared" si="16"/>
        <v>0</v>
      </c>
      <c r="BC67" s="406">
        <f t="shared" si="16"/>
        <v>0</v>
      </c>
      <c r="BD67" s="406">
        <f t="shared" si="16"/>
        <v>0</v>
      </c>
      <c r="BE67" s="406">
        <f t="shared" si="16"/>
        <v>0</v>
      </c>
      <c r="BF67" s="406">
        <f t="shared" si="16"/>
        <v>0</v>
      </c>
      <c r="BG67" s="406">
        <f t="shared" si="16"/>
        <v>0</v>
      </c>
      <c r="BH67" s="406">
        <f t="shared" si="16"/>
        <v>0</v>
      </c>
      <c r="BI67" s="406">
        <f t="shared" si="16"/>
        <v>0</v>
      </c>
      <c r="BJ67" s="406">
        <f t="shared" si="16"/>
        <v>0</v>
      </c>
      <c r="BK67" s="406">
        <f t="shared" si="16"/>
        <v>0</v>
      </c>
      <c r="BL67" s="406">
        <f t="shared" si="16"/>
        <v>0</v>
      </c>
    </row>
    <row r="68" spans="2:64" s="355" customFormat="1" x14ac:dyDescent="0.15">
      <c r="C68" s="257" t="s">
        <v>525</v>
      </c>
      <c r="E68" s="335">
        <f>-Leadsheet!E44-Leadsheet!E45*Leadsheet!E10</f>
        <v>0</v>
      </c>
    </row>
    <row r="69" spans="2:64" x14ac:dyDescent="0.15">
      <c r="C69" s="337" t="s">
        <v>526</v>
      </c>
      <c r="E69" s="406">
        <f>SUM(E70:E76)</f>
        <v>-9.2440028802275337E-2</v>
      </c>
      <c r="F69" s="406">
        <f>SUM(F70:F76)</f>
        <v>-3.4179898625531194E-4</v>
      </c>
      <c r="G69" s="406">
        <f t="shared" ref="G69:BL69" si="17">SUM(G70:G76)</f>
        <v>2.5338985232918864E-4</v>
      </c>
      <c r="H69" s="406">
        <f t="shared" si="17"/>
        <v>4.8537576116386705E-2</v>
      </c>
      <c r="I69" s="406">
        <f t="shared" si="17"/>
        <v>-2.7010728865699274E-4</v>
      </c>
      <c r="J69" s="406">
        <f t="shared" si="17"/>
        <v>-2.4038584407821972E-4</v>
      </c>
      <c r="K69" s="406">
        <f t="shared" si="17"/>
        <v>-2.6031713468726431E-4</v>
      </c>
      <c r="L69" s="406">
        <f t="shared" si="17"/>
        <v>0</v>
      </c>
      <c r="M69" s="406">
        <f t="shared" si="17"/>
        <v>0</v>
      </c>
      <c r="N69" s="406">
        <f t="shared" si="17"/>
        <v>0</v>
      </c>
      <c r="O69" s="406">
        <f t="shared" si="17"/>
        <v>0</v>
      </c>
      <c r="P69" s="406">
        <f t="shared" si="17"/>
        <v>0</v>
      </c>
      <c r="Q69" s="406">
        <f t="shared" si="17"/>
        <v>0</v>
      </c>
      <c r="R69" s="406">
        <f t="shared" si="17"/>
        <v>0</v>
      </c>
      <c r="S69" s="406">
        <f t="shared" si="17"/>
        <v>0</v>
      </c>
      <c r="T69" s="406">
        <f t="shared" si="17"/>
        <v>0</v>
      </c>
      <c r="U69" s="406">
        <f t="shared" si="17"/>
        <v>0</v>
      </c>
      <c r="V69" s="406">
        <f t="shared" si="17"/>
        <v>0</v>
      </c>
      <c r="W69" s="406">
        <f t="shared" si="17"/>
        <v>0</v>
      </c>
      <c r="X69" s="406">
        <f t="shared" si="17"/>
        <v>0</v>
      </c>
      <c r="Y69" s="406">
        <f t="shared" si="17"/>
        <v>0</v>
      </c>
      <c r="Z69" s="406">
        <f t="shared" si="17"/>
        <v>0</v>
      </c>
      <c r="AA69" s="406">
        <f t="shared" si="17"/>
        <v>0</v>
      </c>
      <c r="AB69" s="406">
        <f t="shared" si="17"/>
        <v>0</v>
      </c>
      <c r="AC69" s="406">
        <f t="shared" si="17"/>
        <v>0</v>
      </c>
      <c r="AD69" s="406">
        <f t="shared" si="17"/>
        <v>0</v>
      </c>
      <c r="AE69" s="406">
        <f t="shared" si="17"/>
        <v>0</v>
      </c>
      <c r="AF69" s="406">
        <f t="shared" si="17"/>
        <v>0</v>
      </c>
      <c r="AG69" s="406">
        <f t="shared" si="17"/>
        <v>0</v>
      </c>
      <c r="AH69" s="406">
        <f t="shared" si="17"/>
        <v>0</v>
      </c>
      <c r="AI69" s="406">
        <f t="shared" si="17"/>
        <v>0</v>
      </c>
      <c r="AJ69" s="406">
        <f t="shared" si="17"/>
        <v>0</v>
      </c>
      <c r="AK69" s="406">
        <f t="shared" si="17"/>
        <v>0</v>
      </c>
      <c r="AL69" s="406">
        <f t="shared" si="17"/>
        <v>0</v>
      </c>
      <c r="AM69" s="406">
        <f t="shared" si="17"/>
        <v>0</v>
      </c>
      <c r="AN69" s="406">
        <f t="shared" si="17"/>
        <v>0</v>
      </c>
      <c r="AO69" s="406">
        <f t="shared" si="17"/>
        <v>0</v>
      </c>
      <c r="AP69" s="406">
        <f t="shared" si="17"/>
        <v>0</v>
      </c>
      <c r="AQ69" s="406">
        <f t="shared" si="17"/>
        <v>0</v>
      </c>
      <c r="AR69" s="406">
        <f t="shared" si="17"/>
        <v>0</v>
      </c>
      <c r="AS69" s="406">
        <f t="shared" si="17"/>
        <v>0</v>
      </c>
      <c r="AT69" s="406">
        <f t="shared" si="17"/>
        <v>0</v>
      </c>
      <c r="AU69" s="406">
        <f t="shared" si="17"/>
        <v>0</v>
      </c>
      <c r="AV69" s="406">
        <f t="shared" si="17"/>
        <v>0</v>
      </c>
      <c r="AW69" s="406">
        <f t="shared" si="17"/>
        <v>0</v>
      </c>
      <c r="AX69" s="406">
        <f t="shared" si="17"/>
        <v>0</v>
      </c>
      <c r="AY69" s="406">
        <f t="shared" si="17"/>
        <v>0</v>
      </c>
      <c r="AZ69" s="406">
        <f t="shared" si="17"/>
        <v>0</v>
      </c>
      <c r="BA69" s="406">
        <f t="shared" si="17"/>
        <v>0</v>
      </c>
      <c r="BB69" s="406">
        <f t="shared" si="17"/>
        <v>0</v>
      </c>
      <c r="BC69" s="406">
        <f t="shared" si="17"/>
        <v>0</v>
      </c>
      <c r="BD69" s="406">
        <f t="shared" si="17"/>
        <v>0</v>
      </c>
      <c r="BE69" s="406">
        <f t="shared" si="17"/>
        <v>0</v>
      </c>
      <c r="BF69" s="406">
        <f t="shared" si="17"/>
        <v>0</v>
      </c>
      <c r="BG69" s="406">
        <f t="shared" si="17"/>
        <v>0</v>
      </c>
      <c r="BH69" s="406">
        <f t="shared" si="17"/>
        <v>0</v>
      </c>
      <c r="BI69" s="406">
        <f t="shared" si="17"/>
        <v>0</v>
      </c>
      <c r="BJ69" s="406">
        <f t="shared" si="17"/>
        <v>0</v>
      </c>
      <c r="BK69" s="406">
        <f t="shared" si="17"/>
        <v>0</v>
      </c>
      <c r="BL69" s="406">
        <f t="shared" si="17"/>
        <v>0</v>
      </c>
    </row>
    <row r="70" spans="2:64" x14ac:dyDescent="0.15">
      <c r="C70" s="345" t="s">
        <v>101</v>
      </c>
      <c r="E70" s="335">
        <f>-SUM(E56:E56)*Leadsheet!$E$38</f>
        <v>0</v>
      </c>
      <c r="F70" s="335">
        <f>-SUM(F56:F56)*Leadsheet!$E$38</f>
        <v>0</v>
      </c>
      <c r="G70" s="335">
        <f>-SUM(G56:G56)*Leadsheet!$E$38</f>
        <v>0</v>
      </c>
      <c r="H70" s="335">
        <f>-SUM(H56:H56)*Leadsheet!$E$38</f>
        <v>0</v>
      </c>
      <c r="I70" s="335">
        <f>-SUM(I56:I56)*Leadsheet!$E$38</f>
        <v>0</v>
      </c>
      <c r="J70" s="335">
        <f>-SUM(J56:J56)*Leadsheet!$E$38</f>
        <v>0</v>
      </c>
      <c r="K70" s="335">
        <f>-SUM(K56:K56)*Leadsheet!$E$38</f>
        <v>0</v>
      </c>
      <c r="L70" s="335">
        <f>-SUM(L56:L56)*Leadsheet!$E$38</f>
        <v>0</v>
      </c>
      <c r="M70" s="335">
        <f>-SUM(M56:M56)*Leadsheet!$E$38</f>
        <v>0</v>
      </c>
      <c r="N70" s="335">
        <f>-SUM(N56:N56)*Leadsheet!$E$38</f>
        <v>0</v>
      </c>
      <c r="O70" s="335">
        <f>-SUM(O56:O56)*Leadsheet!$E$38</f>
        <v>0</v>
      </c>
      <c r="P70" s="335">
        <f>-SUM(P56:P56)*Leadsheet!$E$38</f>
        <v>0</v>
      </c>
      <c r="Q70" s="335">
        <f>-SUM(Q56:Q56)*Leadsheet!$E$38</f>
        <v>0</v>
      </c>
      <c r="R70" s="335">
        <f>-SUM(R56:R56)*Leadsheet!$E$38</f>
        <v>0</v>
      </c>
      <c r="S70" s="335">
        <f>-SUM(S56:S56)*Leadsheet!$E$38</f>
        <v>0</v>
      </c>
      <c r="T70" s="335">
        <f>-SUM(T56:T56)*Leadsheet!$E$38</f>
        <v>0</v>
      </c>
      <c r="U70" s="335">
        <f>-SUM(U56:U56)*Leadsheet!$E$38</f>
        <v>0</v>
      </c>
      <c r="V70" s="335">
        <f>-SUM(V56:V56)*Leadsheet!$E$38</f>
        <v>0</v>
      </c>
      <c r="W70" s="335">
        <f>-SUM(W56:W56)*Leadsheet!$E$38</f>
        <v>0</v>
      </c>
      <c r="X70" s="335">
        <f>-SUM(X56:X56)*Leadsheet!$E$38</f>
        <v>0</v>
      </c>
      <c r="Y70" s="335">
        <f>-SUM(Y56:Y56)*Leadsheet!$E$38</f>
        <v>0</v>
      </c>
      <c r="Z70" s="335">
        <f>-SUM(Z56:Z56)*Leadsheet!$E$38</f>
        <v>0</v>
      </c>
      <c r="AA70" s="335">
        <f>-SUM(AA56:AA56)*Leadsheet!$E$38</f>
        <v>0</v>
      </c>
      <c r="AB70" s="335">
        <f>-SUM(AB56:AB56)*Leadsheet!$E$38</f>
        <v>0</v>
      </c>
      <c r="AC70" s="335">
        <f>-SUM(AC56:AC56)*Leadsheet!$E$38</f>
        <v>0</v>
      </c>
      <c r="AD70" s="335">
        <f>-SUM(AD56:AD56)*Leadsheet!$E$38</f>
        <v>0</v>
      </c>
      <c r="AE70" s="335">
        <f>-SUM(AE56:AE56)*Leadsheet!$E$38</f>
        <v>0</v>
      </c>
      <c r="AF70" s="335">
        <f>-SUM(AF56:AF56)*Leadsheet!$E$38</f>
        <v>0</v>
      </c>
      <c r="AG70" s="335">
        <f>-SUM(AG56:AG56)*Leadsheet!$E$38</f>
        <v>0</v>
      </c>
      <c r="AH70" s="335">
        <f>-SUM(AH56:AH56)*Leadsheet!$E$38</f>
        <v>0</v>
      </c>
      <c r="AI70" s="335">
        <f>-SUM(AI56:AI56)*Leadsheet!$E$38</f>
        <v>0</v>
      </c>
      <c r="AJ70" s="335">
        <f>-SUM(AJ56:AJ56)*Leadsheet!$E$38</f>
        <v>0</v>
      </c>
      <c r="AK70" s="335">
        <f>-SUM(AK56:AK56)*Leadsheet!$E$38</f>
        <v>0</v>
      </c>
      <c r="AL70" s="335">
        <f>-SUM(AL56:AL56)*Leadsheet!$E$38</f>
        <v>0</v>
      </c>
      <c r="AM70" s="335">
        <f>-SUM(AM56:AM56)*Leadsheet!$E$38</f>
        <v>0</v>
      </c>
      <c r="AN70" s="335">
        <f>-SUM(AN56:AN56)*Leadsheet!$E$38</f>
        <v>0</v>
      </c>
      <c r="AO70" s="335">
        <f>-SUM(AO56:AO56)*Leadsheet!$E$38</f>
        <v>0</v>
      </c>
      <c r="AP70" s="335">
        <f>-SUM(AP56:AP56)*Leadsheet!$E$38</f>
        <v>0</v>
      </c>
      <c r="AQ70" s="335">
        <f>-SUM(AQ56:AQ56)*Leadsheet!$E$38</f>
        <v>0</v>
      </c>
      <c r="AR70" s="335">
        <f>-SUM(AR56:AR56)*Leadsheet!$E$38</f>
        <v>0</v>
      </c>
      <c r="AS70" s="335">
        <f>-SUM(AS56:AS56)*Leadsheet!$E$38</f>
        <v>0</v>
      </c>
      <c r="AT70" s="335">
        <f>-SUM(AT56:AT56)*Leadsheet!$E$38</f>
        <v>0</v>
      </c>
      <c r="AU70" s="335">
        <f>-SUM(AU56:AU56)*Leadsheet!$E$38</f>
        <v>0</v>
      </c>
      <c r="AV70" s="335">
        <f>-SUM(AV56:AV56)*Leadsheet!$E$38</f>
        <v>0</v>
      </c>
      <c r="AW70" s="335">
        <f>-SUM(AW56:AW56)*Leadsheet!$E$38</f>
        <v>0</v>
      </c>
      <c r="AX70" s="335">
        <f>-SUM(AX56:AX56)*Leadsheet!$E$38</f>
        <v>0</v>
      </c>
      <c r="AY70" s="335">
        <f>-SUM(AY56:AY56)*Leadsheet!$E$38</f>
        <v>0</v>
      </c>
      <c r="AZ70" s="335">
        <f>-SUM(AZ56:AZ56)*Leadsheet!$E$38</f>
        <v>0</v>
      </c>
      <c r="BA70" s="335">
        <f>-SUM(BA56:BA56)*Leadsheet!$E$38</f>
        <v>0</v>
      </c>
      <c r="BB70" s="335">
        <f>-SUM(BB56:BB56)*Leadsheet!$E$38</f>
        <v>0</v>
      </c>
      <c r="BC70" s="335">
        <f>-SUM(BC56:BC56)*Leadsheet!$E$38</f>
        <v>0</v>
      </c>
      <c r="BD70" s="335">
        <f>-SUM(BD56:BD56)*Leadsheet!$E$38</f>
        <v>0</v>
      </c>
      <c r="BE70" s="335">
        <f>-SUM(BE56:BE56)*Leadsheet!$E$38</f>
        <v>0</v>
      </c>
      <c r="BF70" s="335">
        <f>-SUM(BF56:BF56)*Leadsheet!$E$38</f>
        <v>0</v>
      </c>
      <c r="BG70" s="335">
        <f>-SUM(BG56:BG56)*Leadsheet!$E$38</f>
        <v>0</v>
      </c>
      <c r="BH70" s="335">
        <f>-SUM(BH56:BH56)*Leadsheet!$E$38</f>
        <v>0</v>
      </c>
      <c r="BI70" s="335">
        <f>-SUM(BI56:BI56)*Leadsheet!$E$38</f>
        <v>0</v>
      </c>
      <c r="BJ70" s="335">
        <f>-SUM(BJ56:BJ56)*Leadsheet!$E$38</f>
        <v>0</v>
      </c>
      <c r="BK70" s="335">
        <f>-SUM(BK56:BK56)*Leadsheet!$E$38</f>
        <v>0</v>
      </c>
      <c r="BL70" s="335">
        <f>-SUM(BL56:BL56)*Leadsheet!$E$38</f>
        <v>0</v>
      </c>
    </row>
    <row r="71" spans="2:64" x14ac:dyDescent="0.15">
      <c r="C71" s="345" t="s">
        <v>103</v>
      </c>
      <c r="E71" s="335">
        <f>-E57*Leadsheet!$E$39</f>
        <v>0</v>
      </c>
      <c r="F71" s="335">
        <f>-F57*Leadsheet!$E$39</f>
        <v>0</v>
      </c>
      <c r="G71" s="335">
        <f>-G57*Leadsheet!$E$39</f>
        <v>0</v>
      </c>
      <c r="H71" s="335">
        <f>-H57*Leadsheet!$E$39</f>
        <v>0</v>
      </c>
      <c r="I71" s="335">
        <f>-I57*Leadsheet!$E$39</f>
        <v>0</v>
      </c>
      <c r="J71" s="335">
        <f>-J57*Leadsheet!$E$39</f>
        <v>0</v>
      </c>
      <c r="K71" s="335">
        <f>-K57*Leadsheet!$E$39</f>
        <v>0</v>
      </c>
      <c r="L71" s="335">
        <f>-L57*Leadsheet!$E$39</f>
        <v>0</v>
      </c>
      <c r="M71" s="335">
        <f>-M57*Leadsheet!$E$39</f>
        <v>0</v>
      </c>
      <c r="N71" s="335">
        <f>-N57*Leadsheet!$E$39</f>
        <v>0</v>
      </c>
      <c r="O71" s="335">
        <f>-O57*Leadsheet!$E$39</f>
        <v>0</v>
      </c>
      <c r="P71" s="335">
        <f>-P57*Leadsheet!$E$39</f>
        <v>0</v>
      </c>
      <c r="Q71" s="335">
        <f>-Q57*Leadsheet!$E$39</f>
        <v>0</v>
      </c>
      <c r="R71" s="335">
        <f>-R57*Leadsheet!$E$39</f>
        <v>0</v>
      </c>
      <c r="S71" s="335">
        <f>-S57*Leadsheet!$E$39</f>
        <v>0</v>
      </c>
      <c r="T71" s="335">
        <f>-T57*Leadsheet!$E$39</f>
        <v>0</v>
      </c>
      <c r="U71" s="335">
        <f>-U57*Leadsheet!$E$39</f>
        <v>0</v>
      </c>
      <c r="V71" s="335">
        <f>-V57*Leadsheet!$E$39</f>
        <v>0</v>
      </c>
      <c r="W71" s="335">
        <f>-W57*Leadsheet!$E$39</f>
        <v>0</v>
      </c>
      <c r="X71" s="335">
        <f>-X57*Leadsheet!$E$39</f>
        <v>0</v>
      </c>
      <c r="Y71" s="335">
        <f>-Y57*Leadsheet!$E$39</f>
        <v>0</v>
      </c>
      <c r="Z71" s="335">
        <f>-Z57*Leadsheet!$E$39</f>
        <v>0</v>
      </c>
      <c r="AA71" s="335">
        <f>-AA57*Leadsheet!$E$39</f>
        <v>0</v>
      </c>
      <c r="AB71" s="335">
        <f>-AB57*Leadsheet!$E$39</f>
        <v>0</v>
      </c>
      <c r="AC71" s="335">
        <f>-AC57*Leadsheet!$E$39</f>
        <v>0</v>
      </c>
      <c r="AD71" s="335">
        <f>-AD57*Leadsheet!$E$39</f>
        <v>0</v>
      </c>
      <c r="AE71" s="335">
        <f>-AE57*Leadsheet!$E$39</f>
        <v>0</v>
      </c>
      <c r="AF71" s="335">
        <f>-AF57*Leadsheet!$E$39</f>
        <v>0</v>
      </c>
      <c r="AG71" s="335">
        <f>-AG57*Leadsheet!$E$39</f>
        <v>0</v>
      </c>
      <c r="AH71" s="335">
        <f>-AH57*Leadsheet!$E$39</f>
        <v>0</v>
      </c>
      <c r="AI71" s="335">
        <f>-AI57*Leadsheet!$E$39</f>
        <v>0</v>
      </c>
      <c r="AJ71" s="335">
        <f>-AJ57*Leadsheet!$E$39</f>
        <v>0</v>
      </c>
      <c r="AK71" s="335">
        <f>-AK57*Leadsheet!$E$39</f>
        <v>0</v>
      </c>
      <c r="AL71" s="335">
        <f>-AL57*Leadsheet!$E$39</f>
        <v>0</v>
      </c>
      <c r="AM71" s="335">
        <f>-AM57*Leadsheet!$E$39</f>
        <v>0</v>
      </c>
      <c r="AN71" s="335">
        <f>-AN57*Leadsheet!$E$39</f>
        <v>0</v>
      </c>
      <c r="AO71" s="335">
        <f>-AO57*Leadsheet!$E$39</f>
        <v>0</v>
      </c>
      <c r="AP71" s="335">
        <f>-AP57*Leadsheet!$E$39</f>
        <v>0</v>
      </c>
      <c r="AQ71" s="335">
        <f>-AQ57*Leadsheet!$E$39</f>
        <v>0</v>
      </c>
      <c r="AR71" s="335">
        <f>-AR57*Leadsheet!$E$39</f>
        <v>0</v>
      </c>
      <c r="AS71" s="335">
        <f>-AS57*Leadsheet!$E$39</f>
        <v>0</v>
      </c>
      <c r="AT71" s="335">
        <f>-AT57*Leadsheet!$E$39</f>
        <v>0</v>
      </c>
      <c r="AU71" s="335">
        <f>-AU57*Leadsheet!$E$39</f>
        <v>0</v>
      </c>
      <c r="AV71" s="335">
        <f>-AV57*Leadsheet!$E$39</f>
        <v>0</v>
      </c>
      <c r="AW71" s="335">
        <f>-AW57*Leadsheet!$E$39</f>
        <v>0</v>
      </c>
      <c r="AX71" s="335">
        <f>-AX57*Leadsheet!$E$39</f>
        <v>0</v>
      </c>
      <c r="AY71" s="335">
        <f>-AY57*Leadsheet!$E$39</f>
        <v>0</v>
      </c>
      <c r="AZ71" s="335">
        <f>-AZ57*Leadsheet!$E$39</f>
        <v>0</v>
      </c>
      <c r="BA71" s="335">
        <f>-BA57*Leadsheet!$E$39</f>
        <v>0</v>
      </c>
      <c r="BB71" s="335">
        <f>-BB57*Leadsheet!$E$39</f>
        <v>0</v>
      </c>
      <c r="BC71" s="335">
        <f>-BC57*Leadsheet!$E$39</f>
        <v>0</v>
      </c>
      <c r="BD71" s="335">
        <f>-BD57*Leadsheet!$E$39</f>
        <v>0</v>
      </c>
      <c r="BE71" s="335">
        <f>-BE57*Leadsheet!$E$39</f>
        <v>0</v>
      </c>
      <c r="BF71" s="335">
        <f>-BF57*Leadsheet!$E$39</f>
        <v>0</v>
      </c>
      <c r="BG71" s="335">
        <f>-BG57*Leadsheet!$E$39</f>
        <v>0</v>
      </c>
      <c r="BH71" s="335">
        <f>-BH57*Leadsheet!$E$39</f>
        <v>0</v>
      </c>
      <c r="BI71" s="335">
        <f>-BI57*Leadsheet!$E$39</f>
        <v>0</v>
      </c>
      <c r="BJ71" s="335">
        <f>-BJ57*Leadsheet!$E$39</f>
        <v>0</v>
      </c>
      <c r="BK71" s="335">
        <f>-BK57*Leadsheet!$E$39</f>
        <v>0</v>
      </c>
      <c r="BL71" s="335">
        <f>-BL57*Leadsheet!$E$39</f>
        <v>0</v>
      </c>
    </row>
    <row r="72" spans="2:64" x14ac:dyDescent="0.15">
      <c r="C72" s="345" t="s">
        <v>105</v>
      </c>
      <c r="E72" s="335">
        <f>-E59*Leadsheet!$E$40</f>
        <v>0</v>
      </c>
      <c r="F72" s="335">
        <f>-F59*Leadsheet!$E$40</f>
        <v>0</v>
      </c>
      <c r="G72" s="335">
        <f>-G59*Leadsheet!$E$40</f>
        <v>0</v>
      </c>
      <c r="H72" s="335">
        <f>-H59*Leadsheet!$E$40</f>
        <v>0</v>
      </c>
      <c r="I72" s="335">
        <f>-I59*Leadsheet!$E$40</f>
        <v>0</v>
      </c>
      <c r="J72" s="335">
        <f>-J59*Leadsheet!$E$40</f>
        <v>0</v>
      </c>
      <c r="K72" s="335">
        <f>-K59*Leadsheet!$E$40</f>
        <v>0</v>
      </c>
      <c r="L72" s="335">
        <f>-L59*Leadsheet!$E$40</f>
        <v>0</v>
      </c>
      <c r="M72" s="335">
        <f>-M59*Leadsheet!$E$40</f>
        <v>0</v>
      </c>
      <c r="N72" s="335">
        <f>-N59*Leadsheet!$E$40</f>
        <v>0</v>
      </c>
      <c r="O72" s="335">
        <f>-O59*Leadsheet!$E$40</f>
        <v>0</v>
      </c>
      <c r="P72" s="335">
        <f>-P59*Leadsheet!$E$40</f>
        <v>0</v>
      </c>
      <c r="Q72" s="335">
        <f>-Q59*Leadsheet!$E$40</f>
        <v>0</v>
      </c>
      <c r="R72" s="335">
        <f>-R59*Leadsheet!$E$40</f>
        <v>0</v>
      </c>
      <c r="S72" s="335">
        <f>-S59*Leadsheet!$E$40</f>
        <v>0</v>
      </c>
      <c r="T72" s="335">
        <f>-T59*Leadsheet!$E$40</f>
        <v>0</v>
      </c>
      <c r="U72" s="335">
        <f>-U59*Leadsheet!$E$40</f>
        <v>0</v>
      </c>
      <c r="V72" s="335">
        <f>-V59*Leadsheet!$E$40</f>
        <v>0</v>
      </c>
      <c r="W72" s="335">
        <f>-W59*Leadsheet!$E$40</f>
        <v>0</v>
      </c>
      <c r="X72" s="335">
        <f>-X59*Leadsheet!$E$40</f>
        <v>0</v>
      </c>
      <c r="Y72" s="335">
        <f>-Y59*Leadsheet!$E$40</f>
        <v>0</v>
      </c>
      <c r="Z72" s="335">
        <f>-Z59*Leadsheet!$E$40</f>
        <v>0</v>
      </c>
      <c r="AA72" s="335">
        <f>-AA59*Leadsheet!$E$40</f>
        <v>0</v>
      </c>
      <c r="AB72" s="335">
        <f>-AB59*Leadsheet!$E$40</f>
        <v>0</v>
      </c>
      <c r="AC72" s="335">
        <f>-AC59*Leadsheet!$E$40</f>
        <v>0</v>
      </c>
      <c r="AD72" s="335">
        <f>-AD59*Leadsheet!$E$40</f>
        <v>0</v>
      </c>
      <c r="AE72" s="335">
        <f>-AE59*Leadsheet!$E$40</f>
        <v>0</v>
      </c>
      <c r="AF72" s="335">
        <f>-AF59*Leadsheet!$E$40</f>
        <v>0</v>
      </c>
      <c r="AG72" s="335">
        <f>-AG59*Leadsheet!$E$40</f>
        <v>0</v>
      </c>
      <c r="AH72" s="335">
        <f>-AH59*Leadsheet!$E$40</f>
        <v>0</v>
      </c>
      <c r="AI72" s="335">
        <f>-AI59*Leadsheet!$E$40</f>
        <v>0</v>
      </c>
      <c r="AJ72" s="335">
        <f>-AJ59*Leadsheet!$E$40</f>
        <v>0</v>
      </c>
      <c r="AK72" s="335">
        <f>-AK59*Leadsheet!$E$40</f>
        <v>0</v>
      </c>
      <c r="AL72" s="335">
        <f>-AL59*Leadsheet!$E$40</f>
        <v>0</v>
      </c>
      <c r="AM72" s="335">
        <f>-AM59*Leadsheet!$E$40</f>
        <v>0</v>
      </c>
      <c r="AN72" s="335">
        <f>-AN59*Leadsheet!$E$40</f>
        <v>0</v>
      </c>
      <c r="AO72" s="335">
        <f>-AO59*Leadsheet!$E$40</f>
        <v>0</v>
      </c>
      <c r="AP72" s="335">
        <f>-AP59*Leadsheet!$E$40</f>
        <v>0</v>
      </c>
      <c r="AQ72" s="335">
        <f>-AQ59*Leadsheet!$E$40</f>
        <v>0</v>
      </c>
      <c r="AR72" s="335">
        <f>-AR59*Leadsheet!$E$40</f>
        <v>0</v>
      </c>
      <c r="AS72" s="335">
        <f>-AS59*Leadsheet!$E$40</f>
        <v>0</v>
      </c>
      <c r="AT72" s="335">
        <f>-AT59*Leadsheet!$E$40</f>
        <v>0</v>
      </c>
      <c r="AU72" s="335">
        <f>-AU59*Leadsheet!$E$40</f>
        <v>0</v>
      </c>
      <c r="AV72" s="335">
        <f>-AV59*Leadsheet!$E$40</f>
        <v>0</v>
      </c>
      <c r="AW72" s="335">
        <f>-AW59*Leadsheet!$E$40</f>
        <v>0</v>
      </c>
      <c r="AX72" s="335">
        <f>-AX59*Leadsheet!$E$40</f>
        <v>0</v>
      </c>
      <c r="AY72" s="335">
        <f>-AY59*Leadsheet!$E$40</f>
        <v>0</v>
      </c>
      <c r="AZ72" s="335">
        <f>-AZ59*Leadsheet!$E$40</f>
        <v>0</v>
      </c>
      <c r="BA72" s="335">
        <f>-BA59*Leadsheet!$E$40</f>
        <v>0</v>
      </c>
      <c r="BB72" s="335">
        <f>-BB59*Leadsheet!$E$40</f>
        <v>0</v>
      </c>
      <c r="BC72" s="335">
        <f>-BC59*Leadsheet!$E$40</f>
        <v>0</v>
      </c>
      <c r="BD72" s="335">
        <f>-BD59*Leadsheet!$E$40</f>
        <v>0</v>
      </c>
      <c r="BE72" s="335">
        <f>-BE59*Leadsheet!$E$40</f>
        <v>0</v>
      </c>
      <c r="BF72" s="335">
        <f>-BF59*Leadsheet!$E$40</f>
        <v>0</v>
      </c>
      <c r="BG72" s="335">
        <f>-BG59*Leadsheet!$E$40</f>
        <v>0</v>
      </c>
      <c r="BH72" s="335">
        <f>-BH59*Leadsheet!$E$40</f>
        <v>0</v>
      </c>
      <c r="BI72" s="335">
        <f>-BI59*Leadsheet!$E$40</f>
        <v>0</v>
      </c>
      <c r="BJ72" s="335">
        <f>-BJ59*Leadsheet!$E$40</f>
        <v>0</v>
      </c>
      <c r="BK72" s="335">
        <f>-BK59*Leadsheet!$E$40</f>
        <v>0</v>
      </c>
      <c r="BL72" s="335">
        <f>-BL59*Leadsheet!$E$40</f>
        <v>0</v>
      </c>
    </row>
    <row r="73" spans="2:64" x14ac:dyDescent="0.15">
      <c r="C73" s="345" t="s">
        <v>107</v>
      </c>
      <c r="E73" s="335">
        <f>IF(E5&gt;$D$7,0,Leadsheet!$E$41*(E29-SUM(D29:D37)+SUM(E30:E38)))</f>
        <v>0</v>
      </c>
      <c r="F73" s="335">
        <f>IF(F5&gt;$D$7,0,Leadsheet!$E$41*(F29-SUM(E29:E37)+SUM(F30:F38)))</f>
        <v>0</v>
      </c>
      <c r="G73" s="335">
        <f>IF(G5&gt;$D$7,0,Leadsheet!$E$41*(G29-SUM(F29:F37)+SUM(G30:G38)))</f>
        <v>0</v>
      </c>
      <c r="H73" s="335">
        <f>IF(H5&gt;$D$7,0,Leadsheet!$E$41*(H29-SUM(G29:G37)+SUM(H30:H38)))</f>
        <v>0</v>
      </c>
      <c r="I73" s="335">
        <f>IF(I5&gt;$D$7,0,Leadsheet!$E$41*(I29-SUM(H29:H37)+SUM(I30:I38)))</f>
        <v>0</v>
      </c>
      <c r="J73" s="335">
        <f>IF(J5&gt;$D$7,0,Leadsheet!$E$41*(J29-SUM(I29:I37)+SUM(J30:J38)))</f>
        <v>0</v>
      </c>
      <c r="K73" s="335">
        <f>IF(K5&gt;$D$7,0,Leadsheet!$E$41*(K29-SUM(J29:J37)+SUM(K30:K38)))</f>
        <v>0</v>
      </c>
      <c r="L73" s="335">
        <f>IF(L5&gt;$D$7,0,Leadsheet!$E$41*(L29-SUM(K29:K37)+SUM(L30:L38)))</f>
        <v>0</v>
      </c>
      <c r="M73" s="335">
        <f>IF(M5&gt;$D$7,0,Leadsheet!$E$41*(M29-SUM(L29:L37)+SUM(M30:M38)))</f>
        <v>0</v>
      </c>
      <c r="N73" s="335">
        <f>IF(N5&gt;$D$7,0,Leadsheet!$E$41*(N29-SUM(M29:M37)+SUM(N30:N38)))</f>
        <v>0</v>
      </c>
      <c r="O73" s="335">
        <f>IF(O5&gt;$D$7,0,Leadsheet!$E$41*(O29-SUM(N29:N37)+SUM(O30:O38)))</f>
        <v>0</v>
      </c>
      <c r="P73" s="335">
        <f>IF(P5&gt;$D$7,0,Leadsheet!$E$41*(P29-SUM(O29:O37)+SUM(P30:P38)))</f>
        <v>0</v>
      </c>
      <c r="Q73" s="335">
        <f>IF(Q5&gt;$D$7,0,Leadsheet!$E$41*(Q29-SUM(P29:P37)+SUM(Q30:Q38)))</f>
        <v>0</v>
      </c>
      <c r="R73" s="335">
        <f>IF(R5&gt;$D$7,0,Leadsheet!$E$41*(R29-SUM(Q29:Q37)+SUM(R30:R38)))</f>
        <v>0</v>
      </c>
      <c r="S73" s="335">
        <f>IF(S5&gt;$D$7,0,Leadsheet!$E$41*(S29-SUM(R29:R37)+SUM(S30:S38)))</f>
        <v>0</v>
      </c>
      <c r="T73" s="335">
        <f>IF(T5&gt;$D$7,0,Leadsheet!$E$41*(T29-SUM(S29:S37)+SUM(T30:T38)))</f>
        <v>0</v>
      </c>
      <c r="U73" s="335">
        <f>IF(U5&gt;$D$7,0,Leadsheet!$E$41*(U29-SUM(T29:T37)+SUM(U30:U38)))</f>
        <v>0</v>
      </c>
      <c r="V73" s="335">
        <f>IF(V5&gt;$D$7,0,Leadsheet!$E$41*(V29-SUM(U29:U37)+SUM(V30:V38)))</f>
        <v>0</v>
      </c>
      <c r="W73" s="335">
        <f>IF(W5&gt;$D$7,0,Leadsheet!$E$41*(W29-SUM(V29:V37)+SUM(W30:W38)))</f>
        <v>0</v>
      </c>
      <c r="X73" s="335">
        <f>IF(X5&gt;$D$7,0,Leadsheet!$E$41*(X29-SUM(W29:W37)+SUM(X30:X38)))</f>
        <v>0</v>
      </c>
      <c r="Y73" s="335">
        <f>IF(Y5&gt;$D$7,0,Leadsheet!$E$41*(Y29-SUM(X29:X37)+SUM(Y30:Y38)))</f>
        <v>0</v>
      </c>
      <c r="Z73" s="335">
        <f>IF(Z5&gt;$D$7,0,Leadsheet!$E$41*(Z29-SUM(Y29:Y37)+SUM(Z30:Z38)))</f>
        <v>0</v>
      </c>
      <c r="AA73" s="335">
        <f>IF(AA5&gt;$D$7,0,Leadsheet!$E$41*(AA29-SUM(Z29:Z37)+SUM(AA30:AA38)))</f>
        <v>0</v>
      </c>
      <c r="AB73" s="335">
        <f>IF(AB5&gt;$D$7,0,Leadsheet!$E$41*(AB29-SUM(AA29:AA37)+SUM(AB30:AB38)))</f>
        <v>0</v>
      </c>
      <c r="AC73" s="335">
        <f>IF(AC5&gt;$D$7,0,Leadsheet!$E$41*(AC29-SUM(AB29:AB37)+SUM(AC30:AC38)))</f>
        <v>0</v>
      </c>
      <c r="AD73" s="335">
        <f>IF(AD5&gt;$D$7,0,Leadsheet!$E$41*(AD29-SUM(AC29:AC37)+SUM(AD30:AD38)))</f>
        <v>0</v>
      </c>
      <c r="AE73" s="335">
        <f>IF(AE5&gt;$D$7,0,Leadsheet!$E$41*(AE29-SUM(AD29:AD37)+SUM(AE30:AE38)))</f>
        <v>0</v>
      </c>
      <c r="AF73" s="335">
        <f>IF(AF5&gt;$D$7,0,Leadsheet!$E$41*(AF29-SUM(AE29:AE37)+SUM(AF30:AF38)))</f>
        <v>0</v>
      </c>
      <c r="AG73" s="335">
        <f>IF(AG5&gt;$D$7,0,Leadsheet!$E$41*(AG29-SUM(AF29:AF37)+SUM(AG30:AG38)))</f>
        <v>0</v>
      </c>
      <c r="AH73" s="335">
        <f>IF(AH5&gt;$D$7,0,Leadsheet!$E$41*(AH29-SUM(AG29:AG37)+SUM(AH30:AH38)))</f>
        <v>0</v>
      </c>
      <c r="AI73" s="335">
        <f>IF(AI5&gt;$D$7,0,Leadsheet!$E$41*(AI29-SUM(AH29:AH37)+SUM(AI30:AI38)))</f>
        <v>0</v>
      </c>
      <c r="AJ73" s="335">
        <f>IF(AJ5&gt;$D$7,0,Leadsheet!$E$41*(AJ29-SUM(AI29:AI37)+SUM(AJ30:AJ38)))</f>
        <v>0</v>
      </c>
      <c r="AK73" s="335">
        <f>IF(AK5&gt;$D$7,0,Leadsheet!$E$41*(AK29-SUM(AJ29:AJ37)+SUM(AK30:AK38)))</f>
        <v>0</v>
      </c>
      <c r="AL73" s="335">
        <f>IF(AL5&gt;$D$7,0,Leadsheet!$E$41*(AL29-SUM(AK29:AK37)+SUM(AL30:AL38)))</f>
        <v>0</v>
      </c>
      <c r="AM73" s="335">
        <f>IF(AM5&gt;$D$7,0,Leadsheet!$E$41*(AM29-SUM(AL29:AL37)+SUM(AM30:AM38)))</f>
        <v>0</v>
      </c>
      <c r="AN73" s="335">
        <f>IF(AN5&gt;$D$7,0,Leadsheet!$E$41*(AN29-SUM(AM29:AM37)+SUM(AN30:AN38)))</f>
        <v>0</v>
      </c>
      <c r="AO73" s="335">
        <f>IF(AO5&gt;$D$7,0,Leadsheet!$E$41*(AO29-SUM(AN29:AN37)+SUM(AO30:AO38)))</f>
        <v>0</v>
      </c>
      <c r="AP73" s="335">
        <f>IF(AP5&gt;$D$7,0,Leadsheet!$E$41*(AP29-SUM(AO29:AO37)+SUM(AP30:AP38)))</f>
        <v>0</v>
      </c>
      <c r="AQ73" s="335">
        <f>IF(AQ5&gt;$D$7,0,Leadsheet!$E$41*(AQ29-SUM(AP29:AP37)+SUM(AQ30:AQ38)))</f>
        <v>0</v>
      </c>
      <c r="AR73" s="335">
        <f>IF(AR5&gt;$D$7,0,Leadsheet!$E$41*(AR29-SUM(AQ29:AQ37)+SUM(AR30:AR38)))</f>
        <v>0</v>
      </c>
      <c r="AS73" s="335">
        <f>IF(AS5&gt;$D$7,0,Leadsheet!$E$41*(AS29-SUM(AR29:AR37)+SUM(AS30:AS38)))</f>
        <v>0</v>
      </c>
      <c r="AT73" s="335">
        <f>IF(AT5&gt;$D$7,0,Leadsheet!$E$41*(AT29-SUM(AS29:AS37)+SUM(AT30:AT38)))</f>
        <v>0</v>
      </c>
      <c r="AU73" s="335">
        <f>IF(AU5&gt;$D$7,0,Leadsheet!$E$41*(AU29-SUM(AT29:AT37)+SUM(AU30:AU38)))</f>
        <v>0</v>
      </c>
      <c r="AV73" s="335">
        <f>IF(AV5&gt;$D$7,0,Leadsheet!$E$41*(AV29-SUM(AU29:AU37)+SUM(AV30:AV38)))</f>
        <v>0</v>
      </c>
      <c r="AW73" s="335">
        <f>IF(AW5&gt;$D$7,0,Leadsheet!$E$41*(AW29-SUM(AV29:AV37)+SUM(AW30:AW38)))</f>
        <v>0</v>
      </c>
      <c r="AX73" s="335">
        <f>IF(AX5&gt;$D$7,0,Leadsheet!$E$41*(AX29-SUM(AW29:AW37)+SUM(AX30:AX38)))</f>
        <v>0</v>
      </c>
      <c r="AY73" s="335">
        <f>IF(AY5&gt;$D$7,0,Leadsheet!$E$41*(AY29-SUM(AX29:AX37)+SUM(AY30:AY38)))</f>
        <v>0</v>
      </c>
      <c r="AZ73" s="335">
        <f>IF(AZ5&gt;$D$7,0,Leadsheet!$E$41*(AZ29-SUM(AY29:AY37)+SUM(AZ30:AZ38)))</f>
        <v>0</v>
      </c>
      <c r="BA73" s="335">
        <f>IF(BA5&gt;$D$7,0,Leadsheet!$E$41*(BA29-SUM(AZ29:AZ37)+SUM(BA30:BA38)))</f>
        <v>0</v>
      </c>
      <c r="BB73" s="335">
        <f>IF(BB5&gt;$D$7,0,Leadsheet!$E$41*(BB29-SUM(BA29:BA37)+SUM(BB30:BB38)))</f>
        <v>0</v>
      </c>
      <c r="BC73" s="335">
        <f>IF(BC5&gt;$D$7,0,Leadsheet!$E$41*(BC29-SUM(BB29:BB37)+SUM(BC30:BC38)))</f>
        <v>0</v>
      </c>
      <c r="BD73" s="335">
        <f>IF(BD5&gt;$D$7,0,Leadsheet!$E$41*(BD29-SUM(BC29:BC37)+SUM(BD30:BD38)))</f>
        <v>0</v>
      </c>
      <c r="BE73" s="335">
        <f>IF(BE5&gt;$D$7,0,Leadsheet!$E$41*(BE29-SUM(BD29:BD37)+SUM(BE30:BE38)))</f>
        <v>0</v>
      </c>
      <c r="BF73" s="335">
        <f>IF(BF5&gt;$D$7,0,Leadsheet!$E$41*(BF29-SUM(BE29:BE37)+SUM(BF30:BF38)))</f>
        <v>0</v>
      </c>
      <c r="BG73" s="335">
        <f>IF(BG5&gt;$D$7,0,Leadsheet!$E$41*(BG29-SUM(BF29:BF37)+SUM(BG30:BG38)))</f>
        <v>0</v>
      </c>
      <c r="BH73" s="335">
        <f>IF(BH5&gt;$D$7,0,Leadsheet!$E$41*(BH29-SUM(BG29:BG37)+SUM(BH30:BH38)))</f>
        <v>0</v>
      </c>
      <c r="BI73" s="335">
        <f>IF(BI5&gt;$D$7,0,Leadsheet!$E$41*(BI29-SUM(BH29:BH37)+SUM(BI30:BI38)))</f>
        <v>0</v>
      </c>
      <c r="BJ73" s="335">
        <f>IF(BJ5&gt;$D$7,0,Leadsheet!$E$41*(BJ29-SUM(BI29:BI37)+SUM(BJ30:BJ38)))</f>
        <v>0</v>
      </c>
      <c r="BK73" s="335">
        <f>IF(BK5&gt;$D$7,0,Leadsheet!$E$41*(BK29-SUM(BJ29:BJ37)+SUM(BK30:BK38)))</f>
        <v>0</v>
      </c>
      <c r="BL73" s="335">
        <f>IF(BL5&gt;$D$7,0,Leadsheet!$E$41*(BL29-SUM(BK29:BK37)+SUM(BL30:BL38)))</f>
        <v>0</v>
      </c>
    </row>
    <row r="74" spans="2:64" x14ac:dyDescent="0.15">
      <c r="C74" s="345" t="s">
        <v>109</v>
      </c>
      <c r="E74" s="335">
        <f>IF(E5&gt;$D$7,0,Leadsheet!$E$42*(E32+SUM(D32:D37)-SUM(E33:E38)))</f>
        <v>0</v>
      </c>
      <c r="F74" s="335">
        <f>IF(F5&gt;$D$7,0,Leadsheet!$E$42*(F32+SUM(E32:E37)-SUM(F33:F38)))</f>
        <v>0</v>
      </c>
      <c r="G74" s="335">
        <f>IF(G5&gt;$D$7,0,Leadsheet!$E$42*(G32+SUM(F32:F37)-SUM(G33:G38)))</f>
        <v>0</v>
      </c>
      <c r="H74" s="335">
        <f>IF(H5&gt;$D$7,0,Leadsheet!$E$42*(H32+SUM(G32:G37)-SUM(H33:H38)))</f>
        <v>0</v>
      </c>
      <c r="I74" s="335">
        <f>IF(I5&gt;$D$7,0,Leadsheet!$E$42*(I32+SUM(H32:H37)-SUM(I33:I38)))</f>
        <v>0</v>
      </c>
      <c r="J74" s="335">
        <f>IF(J5&gt;$D$7,0,Leadsheet!$E$42*(J32+SUM(I32:I37)-SUM(J33:J38)))</f>
        <v>0</v>
      </c>
      <c r="K74" s="335">
        <f>IF(K5&gt;$D$7,0,Leadsheet!$E$42*(K32+SUM(J32:J37)-SUM(K33:K38)))</f>
        <v>0</v>
      </c>
      <c r="L74" s="335">
        <f>IF(L5&gt;$D$7,0,Leadsheet!$E$42*(L32+SUM(K32:K37)-SUM(L33:L38)))</f>
        <v>0</v>
      </c>
      <c r="M74" s="335">
        <f>IF(M5&gt;$D$7,0,Leadsheet!$E$42*(M32+SUM(L32:L37)-SUM(M33:M38)))</f>
        <v>0</v>
      </c>
      <c r="N74" s="335">
        <f>IF(N5&gt;$D$7,0,Leadsheet!$E$42*(N32+SUM(M32:M37)-SUM(N33:N38)))</f>
        <v>0</v>
      </c>
      <c r="O74" s="335">
        <f>IF(O5&gt;$D$7,0,Leadsheet!$E$42*(O32+SUM(N32:N37)-SUM(O33:O38)))</f>
        <v>0</v>
      </c>
      <c r="P74" s="335">
        <f>IF(P5&gt;$D$7,0,Leadsheet!$E$42*(P32+SUM(O32:O37)-SUM(P33:P38)))</f>
        <v>0</v>
      </c>
      <c r="Q74" s="335">
        <f>IF(Q5&gt;$D$7,0,Leadsheet!$E$42*(Q32+SUM(P32:P37)-SUM(Q33:Q38)))</f>
        <v>0</v>
      </c>
      <c r="R74" s="335">
        <f>IF(R5&gt;$D$7,0,Leadsheet!$E$42*(R32+SUM(Q32:Q37)-SUM(R33:R38)))</f>
        <v>0</v>
      </c>
      <c r="S74" s="335">
        <f>IF(S5&gt;$D$7,0,Leadsheet!$E$42*(S32+SUM(R32:R37)-SUM(S33:S38)))</f>
        <v>0</v>
      </c>
      <c r="T74" s="335">
        <f>IF(T5&gt;$D$7,0,Leadsheet!$E$42*(T32+SUM(S32:S37)-SUM(T33:T38)))</f>
        <v>0</v>
      </c>
      <c r="U74" s="335">
        <f>IF(U5&gt;$D$7,0,Leadsheet!$E$42*(U32+SUM(T32:T37)-SUM(U33:U38)))</f>
        <v>0</v>
      </c>
      <c r="V74" s="335">
        <f>IF(V5&gt;$D$7,0,Leadsheet!$E$42*(V32+SUM(U32:U37)-SUM(V33:V38)))</f>
        <v>0</v>
      </c>
      <c r="W74" s="335">
        <f>IF(W5&gt;$D$7,0,Leadsheet!$E$42*(W32+SUM(V32:V37)-SUM(W33:W38)))</f>
        <v>0</v>
      </c>
      <c r="X74" s="335">
        <f>IF(X5&gt;$D$7,0,Leadsheet!$E$42*(X32+SUM(W32:W37)-SUM(X33:X38)))</f>
        <v>0</v>
      </c>
      <c r="Y74" s="335">
        <f>IF(Y5&gt;$D$7,0,Leadsheet!$E$42*(Y32+SUM(X32:X37)-SUM(Y33:Y38)))</f>
        <v>0</v>
      </c>
      <c r="Z74" s="335">
        <f>IF(Z5&gt;$D$7,0,Leadsheet!$E$42*(Z32+SUM(Y32:Y37)-SUM(Z33:Z38)))</f>
        <v>0</v>
      </c>
      <c r="AA74" s="335">
        <f>IF(AA5&gt;$D$7,0,Leadsheet!$E$42*(AA32+SUM(Z32:Z37)-SUM(AA33:AA38)))</f>
        <v>0</v>
      </c>
      <c r="AB74" s="335">
        <f>IF(AB5&gt;$D$7,0,Leadsheet!$E$42*(AB32+SUM(AA32:AA37)-SUM(AB33:AB38)))</f>
        <v>0</v>
      </c>
      <c r="AC74" s="335">
        <f>IF(AC5&gt;$D$7,0,Leadsheet!$E$42*(AC32+SUM(AB32:AB37)-SUM(AC33:AC38)))</f>
        <v>0</v>
      </c>
      <c r="AD74" s="335">
        <f>IF(AD5&gt;$D$7,0,Leadsheet!$E$42*(AD32+SUM(AC32:AC37)-SUM(AD33:AD38)))</f>
        <v>0</v>
      </c>
      <c r="AE74" s="335">
        <f>IF(AE5&gt;$D$7,0,Leadsheet!$E$42*(AE32+SUM(AD32:AD37)-SUM(AE33:AE38)))</f>
        <v>0</v>
      </c>
      <c r="AF74" s="335">
        <f>IF(AF5&gt;$D$7,0,Leadsheet!$E$42*(AF32+SUM(AE32:AE37)-SUM(AF33:AF38)))</f>
        <v>0</v>
      </c>
      <c r="AG74" s="335">
        <f>IF(AG5&gt;$D$7,0,Leadsheet!$E$42*(AG32+SUM(AF32:AF37)-SUM(AG33:AG38)))</f>
        <v>0</v>
      </c>
      <c r="AH74" s="335">
        <f>IF(AH5&gt;$D$7,0,Leadsheet!$E$42*(AH32+SUM(AG32:AG37)-SUM(AH33:AH38)))</f>
        <v>0</v>
      </c>
      <c r="AI74" s="335">
        <f>IF(AI5&gt;$D$7,0,Leadsheet!$E$42*(AI32+SUM(AH32:AH37)-SUM(AI33:AI38)))</f>
        <v>0</v>
      </c>
      <c r="AJ74" s="335">
        <f>IF(AJ5&gt;$D$7,0,Leadsheet!$E$42*(AJ32+SUM(AI32:AI37)-SUM(AJ33:AJ38)))</f>
        <v>0</v>
      </c>
      <c r="AK74" s="335">
        <f>IF(AK5&gt;$D$7,0,Leadsheet!$E$42*(AK32+SUM(AJ32:AJ37)-SUM(AK33:AK38)))</f>
        <v>0</v>
      </c>
      <c r="AL74" s="335">
        <f>IF(AL5&gt;$D$7,0,Leadsheet!$E$42*(AL32+SUM(AK32:AK37)-SUM(AL33:AL38)))</f>
        <v>0</v>
      </c>
      <c r="AM74" s="335">
        <f>IF(AM5&gt;$D$7,0,Leadsheet!$E$42*(AM32+SUM(AL32:AL37)-SUM(AM33:AM38)))</f>
        <v>0</v>
      </c>
      <c r="AN74" s="335">
        <f>IF(AN5&gt;$D$7,0,Leadsheet!$E$42*(AN32+SUM(AM32:AM37)-SUM(AN33:AN38)))</f>
        <v>0</v>
      </c>
      <c r="AO74" s="335">
        <f>IF(AO5&gt;$D$7,0,Leadsheet!$E$42*(AO32+SUM(AN32:AN37)-SUM(AO33:AO38)))</f>
        <v>0</v>
      </c>
      <c r="AP74" s="335">
        <f>IF(AP5&gt;$D$7,0,Leadsheet!$E$42*(AP32+SUM(AO32:AO37)-SUM(AP33:AP38)))</f>
        <v>0</v>
      </c>
      <c r="AQ74" s="335">
        <f>IF(AQ5&gt;$D$7,0,Leadsheet!$E$42*(AQ32+SUM(AP32:AP37)-SUM(AQ33:AQ38)))</f>
        <v>0</v>
      </c>
      <c r="AR74" s="335">
        <f>IF(AR5&gt;$D$7,0,Leadsheet!$E$42*(AR32+SUM(AQ32:AQ37)-SUM(AR33:AR38)))</f>
        <v>0</v>
      </c>
      <c r="AS74" s="335">
        <f>IF(AS5&gt;$D$7,0,Leadsheet!$E$42*(AS32+SUM(AR32:AR37)-SUM(AS33:AS38)))</f>
        <v>0</v>
      </c>
      <c r="AT74" s="335">
        <f>IF(AT5&gt;$D$7,0,Leadsheet!$E$42*(AT32+SUM(AS32:AS37)-SUM(AT33:AT38)))</f>
        <v>0</v>
      </c>
      <c r="AU74" s="335">
        <f>IF(AU5&gt;$D$7,0,Leadsheet!$E$42*(AU32+SUM(AT32:AT37)-SUM(AU33:AU38)))</f>
        <v>0</v>
      </c>
      <c r="AV74" s="335">
        <f>IF(AV5&gt;$D$7,0,Leadsheet!$E$42*(AV32+SUM(AU32:AU37)-SUM(AV33:AV38)))</f>
        <v>0</v>
      </c>
      <c r="AW74" s="335">
        <f>IF(AW5&gt;$D$7,0,Leadsheet!$E$42*(AW32+SUM(AV32:AV37)-SUM(AW33:AW38)))</f>
        <v>0</v>
      </c>
      <c r="AX74" s="335">
        <f>IF(AX5&gt;$D$7,0,Leadsheet!$E$42*(AX32+SUM(AW32:AW37)-SUM(AX33:AX38)))</f>
        <v>0</v>
      </c>
      <c r="AY74" s="335">
        <f>IF(AY5&gt;$D$7,0,Leadsheet!$E$42*(AY32+SUM(AX32:AX37)-SUM(AY33:AY38)))</f>
        <v>0</v>
      </c>
      <c r="AZ74" s="335">
        <f>IF(AZ5&gt;$D$7,0,Leadsheet!$E$42*(AZ32+SUM(AY32:AY37)-SUM(AZ33:AZ38)))</f>
        <v>0</v>
      </c>
      <c r="BA74" s="335">
        <f>IF(BA5&gt;$D$7,0,Leadsheet!$E$42*(BA32+SUM(AZ32:AZ37)-SUM(BA33:BA38)))</f>
        <v>0</v>
      </c>
      <c r="BB74" s="335">
        <f>IF(BB5&gt;$D$7,0,Leadsheet!$E$42*(BB32+SUM(BA32:BA37)-SUM(BB33:BB38)))</f>
        <v>0</v>
      </c>
      <c r="BC74" s="335">
        <f>IF(BC5&gt;$D$7,0,Leadsheet!$E$42*(BC32+SUM(BB32:BB37)-SUM(BC33:BC38)))</f>
        <v>0</v>
      </c>
      <c r="BD74" s="335">
        <f>IF(BD5&gt;$D$7,0,Leadsheet!$E$42*(BD32+SUM(BC32:BC37)-SUM(BD33:BD38)))</f>
        <v>0</v>
      </c>
      <c r="BE74" s="335">
        <f>IF(BE5&gt;$D$7,0,Leadsheet!$E$42*(BE32+SUM(BD32:BD37)-SUM(BE33:BE38)))</f>
        <v>0</v>
      </c>
      <c r="BF74" s="335">
        <f>IF(BF5&gt;$D$7,0,Leadsheet!$E$42*(BF32+SUM(BE32:BE37)-SUM(BF33:BF38)))</f>
        <v>0</v>
      </c>
      <c r="BG74" s="335">
        <f>IF(BG5&gt;$D$7,0,Leadsheet!$E$42*(BG32+SUM(BF32:BF37)-SUM(BG33:BG38)))</f>
        <v>0</v>
      </c>
      <c r="BH74" s="335">
        <f>IF(BH5&gt;$D$7,0,Leadsheet!$E$42*(BH32+SUM(BG32:BG37)-SUM(BH33:BH38)))</f>
        <v>0</v>
      </c>
      <c r="BI74" s="335">
        <f>IF(BI5&gt;$D$7,0,Leadsheet!$E$42*(BI32+SUM(BH32:BH37)-SUM(BI33:BI38)))</f>
        <v>0</v>
      </c>
      <c r="BJ74" s="335">
        <f>IF(BJ5&gt;$D$7,0,Leadsheet!$E$42*(BJ32+SUM(BI32:BI37)-SUM(BJ33:BJ38)))</f>
        <v>0</v>
      </c>
      <c r="BK74" s="335">
        <f>IF(BK5&gt;$D$7,0,Leadsheet!$E$42*(BK32+SUM(BJ32:BJ37)-SUM(BK33:BK38)))</f>
        <v>0</v>
      </c>
      <c r="BL74" s="335">
        <f>IF(BL5&gt;$D$7,0,Leadsheet!$E$42*(BL32+SUM(BK32:BK37)-SUM(BL33:BL38)))</f>
        <v>0</v>
      </c>
    </row>
    <row r="75" spans="2:64" x14ac:dyDescent="0.15">
      <c r="C75" s="424" t="s">
        <v>527</v>
      </c>
      <c r="E75" s="335">
        <f>IF(E5&gt;$D$7,0,Leadsheet!$E$35*(-(E55+E59)+E29-SUM(D29:D37)+SUM(E30:E38)))</f>
        <v>-9.2440028802275337E-2</v>
      </c>
      <c r="F75" s="335">
        <f>IF(F5&gt;$D$7,0,Leadsheet!$E$35*(-(F55+F59)+F29-SUM(E29:E37)+SUM(F30:F38)))</f>
        <v>-3.4179898625531194E-4</v>
      </c>
      <c r="G75" s="335">
        <f>IF(G5&gt;$D$7,0,Leadsheet!$E$35*(-(G55+G59)+G29-SUM(F29:F37)+SUM(G30:G38)))</f>
        <v>2.5338985232918864E-4</v>
      </c>
      <c r="H75" s="335">
        <f>IF(H5&gt;$D$7,0,Leadsheet!$E$35*(-(H55+H59)+H29-SUM(G29:G37)+SUM(H30:H38)))</f>
        <v>4.8537576116386705E-2</v>
      </c>
      <c r="I75" s="335">
        <f>IF(I5&gt;$D$7,0,Leadsheet!$E$35*(-(I55+I59)+I29-SUM(H29:H37)+SUM(I30:I38)))</f>
        <v>-2.7010728865699274E-4</v>
      </c>
      <c r="J75" s="335">
        <f>IF(J5&gt;$D$7,0,Leadsheet!$E$35*(-(J55+J59)+J29-SUM(I29:I37)+SUM(J30:J38)))</f>
        <v>-2.4038584407821972E-4</v>
      </c>
      <c r="K75" s="335">
        <f>IF(K5&gt;$D$7,0,Leadsheet!$E$35*(-(K55+K59)+K29-SUM(J29:J37)+SUM(K30:K38)))</f>
        <v>-2.6031713468726431E-4</v>
      </c>
      <c r="L75" s="335">
        <f>IF(L5&gt;$D$7,0,Leadsheet!$E$35*(-(L55+L59)+L29-SUM(K29:K37)+SUM(L30:L38)))</f>
        <v>0</v>
      </c>
      <c r="M75" s="335">
        <f>IF(M5&gt;$D$7,0,Leadsheet!$E$35*(-(M55+M59)+M29-SUM(L29:L37)+SUM(M30:M38)))</f>
        <v>0</v>
      </c>
      <c r="N75" s="335">
        <f>IF(N5&gt;$D$7,0,Leadsheet!$E$35*(-(N55+N59)+N29-SUM(M29:M37)+SUM(N30:N38)))</f>
        <v>0</v>
      </c>
      <c r="O75" s="335">
        <f>IF(O5&gt;$D$7,0,Leadsheet!$E$35*(-(O55+O59)+O29-SUM(N29:N37)+SUM(O30:O38)))</f>
        <v>0</v>
      </c>
      <c r="P75" s="335">
        <f>IF(P5&gt;$D$7,0,Leadsheet!$E$35*(-(P55+P59)+P29-SUM(O29:O37)+SUM(P30:P38)))</f>
        <v>0</v>
      </c>
      <c r="Q75" s="335">
        <f>IF(Q5&gt;$D$7,0,Leadsheet!$E$35*(-(Q55+Q59)+Q29-SUM(P29:P37)+SUM(Q30:Q38)))</f>
        <v>0</v>
      </c>
      <c r="R75" s="335">
        <f>IF(R5&gt;$D$7,0,Leadsheet!$E$35*(-(R55+R59)+R29-SUM(Q29:Q37)+SUM(R30:R38)))</f>
        <v>0</v>
      </c>
      <c r="S75" s="335">
        <f>IF(S5&gt;$D$7,0,Leadsheet!$E$35*(-(S55+S59)+S29-SUM(R29:R37)+SUM(S30:S38)))</f>
        <v>0</v>
      </c>
      <c r="T75" s="335">
        <f>IF(T5&gt;$D$7,0,Leadsheet!$E$35*(-(T55+T59)+T29-SUM(S29:S37)+SUM(T30:T38)))</f>
        <v>0</v>
      </c>
      <c r="U75" s="335">
        <f>IF(U5&gt;$D$7,0,Leadsheet!$E$35*(-(U55+U59)+U29-SUM(T29:T37)+SUM(U30:U38)))</f>
        <v>0</v>
      </c>
      <c r="V75" s="335">
        <f>IF(V5&gt;$D$7,0,Leadsheet!$E$35*(-(V55+V59)+V29-SUM(U29:U37)+SUM(V30:V38)))</f>
        <v>0</v>
      </c>
      <c r="W75" s="335">
        <f>IF(W5&gt;$D$7,0,Leadsheet!$E$35*(-(W55+W59)+W29-SUM(V29:V37)+SUM(W30:W38)))</f>
        <v>0</v>
      </c>
      <c r="X75" s="335">
        <f>IF(X5&gt;$D$7,0,Leadsheet!$E$35*(-(X55+X59)+X29-SUM(W29:W37)+SUM(X30:X38)))</f>
        <v>0</v>
      </c>
      <c r="Y75" s="335">
        <f>IF(Y5&gt;$D$7,0,Leadsheet!$E$35*(-(Y55+Y59)+Y29-SUM(X29:X37)+SUM(Y30:Y38)))</f>
        <v>0</v>
      </c>
      <c r="Z75" s="335">
        <f>IF(Z5&gt;$D$7,0,Leadsheet!$E$35*(-(Z55+Z59)+Z29-SUM(Y29:Y37)+SUM(Z30:Z38)))</f>
        <v>0</v>
      </c>
      <c r="AA75" s="335">
        <f>IF(AA5&gt;$D$7,0,Leadsheet!$E$35*(-(AA55+AA59)+AA29-SUM(Z29:Z37)+SUM(AA30:AA38)))</f>
        <v>0</v>
      </c>
      <c r="AB75" s="335">
        <f>IF(AB5&gt;$D$7,0,Leadsheet!$E$35*(-(AB55+AB59)+AB29-SUM(AA29:AA37)+SUM(AB30:AB38)))</f>
        <v>0</v>
      </c>
      <c r="AC75" s="335">
        <f>IF(AC5&gt;$D$7,0,Leadsheet!$E$35*(-AC53+AC29-SUM(AB29:AB37)+SUM(AC30:AC38)))</f>
        <v>0</v>
      </c>
      <c r="AD75" s="335">
        <f>IF(AD5&gt;$D$7,0,Leadsheet!$E$35*(-AD53+AD29-SUM(AC29:AC37)+SUM(AD30:AD38)))</f>
        <v>0</v>
      </c>
      <c r="AE75" s="335">
        <f>IF(AE5&gt;$D$7,0,Leadsheet!$E$35*(-AE53+AE29-SUM(AD29:AD37)+SUM(AE30:AE38)))</f>
        <v>0</v>
      </c>
      <c r="AF75" s="335">
        <f>IF(AF5&gt;$D$7,0,Leadsheet!$E$35*(-AF53+AF29-SUM(AE29:AE37)+SUM(AF30:AF38)))</f>
        <v>0</v>
      </c>
      <c r="AG75" s="335">
        <f>IF(AG5&gt;$D$7,0,Leadsheet!$E$35*(-AG53+AG29-SUM(AF29:AF37)+SUM(AG30:AG38)))</f>
        <v>0</v>
      </c>
      <c r="AH75" s="335">
        <f>IF(AH5&gt;$D$7,0,Leadsheet!$E$35*(-AH53+AH29-SUM(AG29:AG37)+SUM(AH30:AH38)))</f>
        <v>0</v>
      </c>
      <c r="AI75" s="335">
        <f>IF(AI5&gt;$D$7,0,Leadsheet!$E$35*(-AI53+AI29-SUM(AH29:AH37)+SUM(AI30:AI38)))</f>
        <v>0</v>
      </c>
      <c r="AJ75" s="335">
        <f>IF(AJ5&gt;$D$7,0,Leadsheet!$E$35*(-AJ53+AJ29-SUM(AI29:AI37)+SUM(AJ30:AJ38)))</f>
        <v>0</v>
      </c>
      <c r="AK75" s="335">
        <f>IF(AK5&gt;$D$7,0,Leadsheet!$E$35*(-AK53+AK29-SUM(AJ29:AJ37)+SUM(AK30:AK38)))</f>
        <v>0</v>
      </c>
      <c r="AL75" s="335">
        <f>IF(AL5&gt;$D$7,0,Leadsheet!$E$35*(-AL53+AL29-SUM(AK29:AK37)+SUM(AL30:AL38)))</f>
        <v>0</v>
      </c>
      <c r="AM75" s="335">
        <f>IF(AM5&gt;$D$7,0,Leadsheet!$E$35*(-AM53+AM29-SUM(AL29:AL37)+SUM(AM30:AM38)))</f>
        <v>0</v>
      </c>
      <c r="AN75" s="335">
        <f>IF(AN5&gt;$D$7,0,Leadsheet!$E$35*(-AN53+AN29-SUM(AM29:AM37)+SUM(AN30:AN38)))</f>
        <v>0</v>
      </c>
      <c r="AO75" s="335">
        <f>IF(AO5&gt;$D$7,0,Leadsheet!$E$35*(-AO53+AO29-SUM(AN29:AN37)+SUM(AO30:AO38)))</f>
        <v>0</v>
      </c>
      <c r="AP75" s="335">
        <f>IF(AP5&gt;$D$7,0,Leadsheet!$E$35*(-AP53+AP29-SUM(AO29:AO37)+SUM(AP30:AP38)))</f>
        <v>0</v>
      </c>
      <c r="AQ75" s="335">
        <f>IF(AQ5&gt;$D$7,0,Leadsheet!$E$35*(-AQ53+AQ29-SUM(AP29:AP37)+SUM(AQ30:AQ38)))</f>
        <v>0</v>
      </c>
      <c r="AR75" s="335">
        <f>IF(AR5&gt;$D$7,0,Leadsheet!$E$35*(-AR53+AR29-SUM(AQ29:AQ37)+SUM(AR30:AR38)))</f>
        <v>0</v>
      </c>
      <c r="AS75" s="335">
        <f>IF(AS5&gt;$D$7,0,Leadsheet!$E$35*(-AS53+AS29-SUM(AR29:AR37)+SUM(AS30:AS38)))</f>
        <v>0</v>
      </c>
      <c r="AT75" s="335">
        <f>IF(AT5&gt;$D$7,0,Leadsheet!$E$35*(-AT53+AT29-SUM(AS29:AS37)+SUM(AT30:AT38)))</f>
        <v>0</v>
      </c>
      <c r="AU75" s="335">
        <f>IF(AU5&gt;$D$7,0,Leadsheet!$E$35*(-AU53+AU29-SUM(AT29:AT37)+SUM(AU30:AU38)))</f>
        <v>0</v>
      </c>
      <c r="AV75" s="335">
        <f>IF(AV5&gt;$D$7,0,Leadsheet!$E$35*(-AV53+AV29-SUM(AU29:AU37)+SUM(AV30:AV38)))</f>
        <v>0</v>
      </c>
      <c r="AW75" s="335">
        <f>IF(AW5&gt;$D$7,0,Leadsheet!$E$35*(-AW53+AW29-SUM(AV29:AV37)+SUM(AW30:AW38)))</f>
        <v>0</v>
      </c>
      <c r="AX75" s="335">
        <f>IF(AX5&gt;$D$7,0,Leadsheet!$E$35*(-AX53+AX29-SUM(AW29:AW37)+SUM(AX30:AX38)))</f>
        <v>0</v>
      </c>
      <c r="AY75" s="335">
        <f>IF(AY5&gt;$D$7,0,Leadsheet!$E$35*(-AY53+AY29-SUM(AX29:AX37)+SUM(AY30:AY38)))</f>
        <v>0</v>
      </c>
      <c r="AZ75" s="335">
        <f>IF(AZ5&gt;$D$7,0,Leadsheet!$E$35*(-AZ53+AZ29-SUM(AY29:AY37)+SUM(AZ30:AZ38)))</f>
        <v>0</v>
      </c>
      <c r="BA75" s="335">
        <f>IF(BA5&gt;$D$7,0,Leadsheet!$E$35*(-BA53+BA29-SUM(AZ29:AZ37)+SUM(BA30:BA38)))</f>
        <v>0</v>
      </c>
      <c r="BB75" s="335">
        <f>IF(BB5&gt;$D$7,0,Leadsheet!$E$35*(-BB53+BB29-SUM(BA29:BA37)+SUM(BB30:BB38)))</f>
        <v>0</v>
      </c>
      <c r="BC75" s="335">
        <f>IF(BC5&gt;$D$7,0,Leadsheet!$E$35*(-BC53+BC29-SUM(BB29:BB37)+SUM(BC30:BC38)))</f>
        <v>0</v>
      </c>
      <c r="BD75" s="335">
        <f>IF(BD5&gt;$D$7,0,Leadsheet!$E$35*(-BD53+BD29-SUM(BC29:BC37)+SUM(BD30:BD38)))</f>
        <v>0</v>
      </c>
      <c r="BE75" s="335">
        <f>IF(BE5&gt;$D$7,0,Leadsheet!$E$35*(-BE53+BE29-SUM(BD29:BD37)+SUM(BE30:BE38)))</f>
        <v>0</v>
      </c>
      <c r="BF75" s="335">
        <f>IF(BF5&gt;$D$7,0,Leadsheet!$E$35*(-BF53+BF29-SUM(BE29:BE37)+SUM(BF30:BF38)))</f>
        <v>0</v>
      </c>
      <c r="BG75" s="335">
        <f>IF(BG5&gt;$D$7,0,Leadsheet!$E$35*(-BG53+BG29-SUM(BF29:BF37)+SUM(BG30:BG38)))</f>
        <v>0</v>
      </c>
      <c r="BH75" s="335">
        <f>IF(BH5&gt;$D$7,0,Leadsheet!$E$35*(-BH53+BH29-SUM(BG29:BG37)+SUM(BH30:BH38)))</f>
        <v>0</v>
      </c>
      <c r="BI75" s="335">
        <f>IF(BI5&gt;$D$7,0,Leadsheet!$E$35*(-BI53+BI29-SUM(BH29:BH37)+SUM(BI30:BI38)))</f>
        <v>0</v>
      </c>
      <c r="BJ75" s="335">
        <f>IF(BJ5&gt;$D$7,0,Leadsheet!$E$35*(-BJ53+BJ29-SUM(BI29:BI37)+SUM(BJ30:BJ38)))</f>
        <v>0</v>
      </c>
      <c r="BK75" s="335">
        <f>IF(BK5&gt;$D$7,0,Leadsheet!$E$35*(-BK53+BK29-SUM(BJ29:BJ37)+SUM(BK30:BK38)))</f>
        <v>0</v>
      </c>
      <c r="BL75" s="335">
        <f>IF(BL5&gt;$D$7,0,Leadsheet!$E$35*(-BL53+BL29-SUM(BK29:BK37)+SUM(BL30:BL38)))</f>
        <v>0</v>
      </c>
    </row>
    <row r="76" spans="2:64" x14ac:dyDescent="0.15">
      <c r="C76" s="424" t="s">
        <v>528</v>
      </c>
      <c r="E76" s="335">
        <f>IF(E5&gt;$D$7,0,Leadsheet!$E$42*(-(E55+E59)+E32+SUM(D32:D37)-SUM(E33:E38)))</f>
        <v>0</v>
      </c>
      <c r="F76" s="335">
        <f>IF(F5&gt;$D$7,0,Leadsheet!$E$42*(-(F55+F59)+F32+SUM(E32:E37)-SUM(F33:F38)))</f>
        <v>0</v>
      </c>
      <c r="G76" s="335">
        <f>IF(G5&gt;$D$7,0,Leadsheet!$E$42*(-(G55+G59)+G32+SUM(F32:F37)-SUM(G33:G38)))</f>
        <v>0</v>
      </c>
      <c r="H76" s="335">
        <f>IF(H5&gt;$D$7,0,Leadsheet!$E$42*(-(H55+H59)+H32+SUM(G32:G37)-SUM(H33:H38)))</f>
        <v>0</v>
      </c>
      <c r="I76" s="335">
        <f>IF(I5&gt;$D$7,0,Leadsheet!$E$42*(-(I55+I59)+I32+SUM(H32:H37)-SUM(I33:I38)))</f>
        <v>0</v>
      </c>
      <c r="J76" s="335">
        <f>IF(J5&gt;$D$7,0,Leadsheet!$E$42*(-(J55+J59)+J32+SUM(I32:I37)-SUM(J33:J38)))</f>
        <v>0</v>
      </c>
      <c r="K76" s="335">
        <f>IF(K5&gt;$D$7,0,Leadsheet!$E$42*(-(K55+K59)+K32+SUM(J32:J37)-SUM(K33:K38)))</f>
        <v>0</v>
      </c>
      <c r="L76" s="335">
        <f>IF(L5&gt;$D$7,0,Leadsheet!$E$42*(-(L55+L59)+L32+SUM(K32:K37)-SUM(L33:L38)))</f>
        <v>0</v>
      </c>
      <c r="M76" s="335">
        <f>IF(M5&gt;$D$7,0,Leadsheet!$E$42*(-(M55+M59)+M32+SUM(L32:L37)-SUM(M33:M38)))</f>
        <v>0</v>
      </c>
      <c r="N76" s="335">
        <f>IF(N5&gt;$D$7,0,Leadsheet!$E$42*(-(N55+N59)+N32+SUM(M32:M37)-SUM(N33:N38)))</f>
        <v>0</v>
      </c>
      <c r="O76" s="335">
        <f>IF(O5&gt;$D$7,0,Leadsheet!$E$42*(-(O55+O59)+O32+SUM(N32:N37)-SUM(O33:O38)))</f>
        <v>0</v>
      </c>
      <c r="P76" s="335">
        <f>IF(P5&gt;$D$7,0,Leadsheet!$E$42*(-(P55+P59)+P32+SUM(O32:O37)-SUM(P33:P38)))</f>
        <v>0</v>
      </c>
      <c r="Q76" s="335">
        <f>IF(Q5&gt;$D$7,0,Leadsheet!$E$42*(-(Q55+Q59)+Q32+SUM(P32:P37)-SUM(Q33:Q38)))</f>
        <v>0</v>
      </c>
      <c r="R76" s="335">
        <f>IF(R5&gt;$D$7,0,Leadsheet!$E$42*(-(R55+R59)+R32+SUM(Q32:Q37)-SUM(R33:R38)))</f>
        <v>0</v>
      </c>
      <c r="S76" s="335">
        <f>IF(S5&gt;$D$7,0,Leadsheet!$E$42*(-(S55+S59)+S32+SUM(R32:R37)-SUM(S33:S38)))</f>
        <v>0</v>
      </c>
      <c r="T76" s="335">
        <f>IF(T5&gt;$D$7,0,Leadsheet!$E$42*(-(T55+T59)+T32+SUM(S32:S37)-SUM(T33:T38)))</f>
        <v>0</v>
      </c>
      <c r="U76" s="335">
        <f>IF(U5&gt;$D$7,0,Leadsheet!$E$42*(-(U55+U59)+U32+SUM(T32:T37)-SUM(U33:U38)))</f>
        <v>0</v>
      </c>
      <c r="V76" s="335">
        <f>IF(V5&gt;$D$7,0,Leadsheet!$E$42*(-(V55+V59)+V32+SUM(U32:U37)-SUM(V33:V38)))</f>
        <v>0</v>
      </c>
      <c r="W76" s="335">
        <f>IF(W5&gt;$D$7,0,Leadsheet!$E$42*(-(W55+W59)+W32+SUM(V32:V37)-SUM(W33:W38)))</f>
        <v>0</v>
      </c>
      <c r="X76" s="335">
        <f>IF(X5&gt;$D$7,0,Leadsheet!$E$42*(-(X55+X59)+X32+SUM(W32:W37)-SUM(X33:X38)))</f>
        <v>0</v>
      </c>
      <c r="Y76" s="335">
        <f>IF(Y5&gt;$D$7,0,Leadsheet!$E$42*(-(Y55+Y59)+Y32+SUM(X32:X37)-SUM(Y33:Y38)))</f>
        <v>0</v>
      </c>
      <c r="Z76" s="335">
        <f>IF(Z5&gt;$D$7,0,Leadsheet!$E$42*(-(Z55+Z59)+Z32+SUM(Y32:Y37)-SUM(Z33:Z38)))</f>
        <v>0</v>
      </c>
      <c r="AA76" s="335">
        <f>IF(AA5&gt;$D$7,0,Leadsheet!$E$42*(-(AA55+AA59)+AA32+SUM(Z32:Z37)-SUM(AA33:AA38)))</f>
        <v>0</v>
      </c>
      <c r="AB76" s="335">
        <f>IF(AB5&gt;$D$7,0,Leadsheet!$E$42*(-(AB55+AB59)+AB32+SUM(AA32:AA37)-SUM(AB33:AB38)))</f>
        <v>0</v>
      </c>
      <c r="AC76" s="335">
        <f>IF(AC5&gt;$D$7,0,Leadsheet!$E$42*(-AC53+AC32+SUM(AB32:AB37)-SUM(AC33:AC38)))</f>
        <v>0</v>
      </c>
      <c r="AD76" s="335">
        <f>IF(AD5&gt;$D$7,0,Leadsheet!$E$42*(-AD53+AD32+SUM(AC32:AC37)-SUM(AD33:AD38)))</f>
        <v>0</v>
      </c>
      <c r="AE76" s="335">
        <f>IF(AE5&gt;$D$7,0,Leadsheet!$E$42*(-AE53+AE32+SUM(AD32:AD37)-SUM(AE33:AE38)))</f>
        <v>0</v>
      </c>
      <c r="AF76" s="335">
        <f>IF(AF5&gt;$D$7,0,Leadsheet!$E$42*(-AF53+AF32+SUM(AE32:AE37)-SUM(AF33:AF38)))</f>
        <v>0</v>
      </c>
      <c r="AG76" s="335">
        <f>IF(AG5&gt;$D$7,0,Leadsheet!$E$42*(-AG53+AG32+SUM(AF32:AF37)-SUM(AG33:AG38)))</f>
        <v>0</v>
      </c>
      <c r="AH76" s="335">
        <f>IF(AH5&gt;$D$7,0,Leadsheet!$E$42*(-AH53+AH32+SUM(AG32:AG37)-SUM(AH33:AH38)))</f>
        <v>0</v>
      </c>
      <c r="AI76" s="335">
        <f>IF(AI5&gt;$D$7,0,Leadsheet!$E$42*(-AI53+AI32+SUM(AH32:AH37)-SUM(AI33:AI38)))</f>
        <v>0</v>
      </c>
      <c r="AJ76" s="335">
        <f>IF(AJ5&gt;$D$7,0,Leadsheet!$E$42*(-AJ53+AJ32+SUM(AI32:AI37)-SUM(AJ33:AJ38)))</f>
        <v>0</v>
      </c>
      <c r="AK76" s="335">
        <f>IF(AK5&gt;$D$7,0,Leadsheet!$E$42*(-AK53+AK32+SUM(AJ32:AJ37)-SUM(AK33:AK38)))</f>
        <v>0</v>
      </c>
      <c r="AL76" s="335">
        <f>IF(AL5&gt;$D$7,0,Leadsheet!$E$42*(-AL53+AL32+SUM(AK32:AK37)-SUM(AL33:AL38)))</f>
        <v>0</v>
      </c>
      <c r="AM76" s="335">
        <f>IF(AM5&gt;$D$7,0,Leadsheet!$E$42*(-AM53+AM32+SUM(AL32:AL37)-SUM(AM33:AM38)))</f>
        <v>0</v>
      </c>
      <c r="AN76" s="335">
        <f>IF(AN5&gt;$D$7,0,Leadsheet!$E$42*(-AN53+AN32+SUM(AM32:AM37)-SUM(AN33:AN38)))</f>
        <v>0</v>
      </c>
      <c r="AO76" s="335">
        <f>IF(AO5&gt;$D$7,0,Leadsheet!$E$42*(-AO53+AO32+SUM(AN32:AN37)-SUM(AO33:AO38)))</f>
        <v>0</v>
      </c>
      <c r="AP76" s="335">
        <f>IF(AP5&gt;$D$7,0,Leadsheet!$E$42*(-AP53+AP32+SUM(AO32:AO37)-SUM(AP33:AP38)))</f>
        <v>0</v>
      </c>
      <c r="AQ76" s="335">
        <f>IF(AQ5&gt;$D$7,0,Leadsheet!$E$42*(-AQ53+AQ32+SUM(AP32:AP37)-SUM(AQ33:AQ38)))</f>
        <v>0</v>
      </c>
      <c r="AR76" s="335">
        <f>IF(AR5&gt;$D$7,0,Leadsheet!$E$42*(-AR53+AR32+SUM(AQ32:AQ37)-SUM(AR33:AR38)))</f>
        <v>0</v>
      </c>
      <c r="AS76" s="335">
        <f>IF(AS5&gt;$D$7,0,Leadsheet!$E$42*(-AS53+AS32+SUM(AR32:AR37)-SUM(AS33:AS38)))</f>
        <v>0</v>
      </c>
      <c r="AT76" s="335">
        <f>IF(AT5&gt;$D$7,0,Leadsheet!$E$42*(-AT53+AT32+SUM(AS32:AS37)-SUM(AT33:AT38)))</f>
        <v>0</v>
      </c>
      <c r="AU76" s="335">
        <f>IF(AU5&gt;$D$7,0,Leadsheet!$E$42*(-AU53+AU32+SUM(AT32:AT37)-SUM(AU33:AU38)))</f>
        <v>0</v>
      </c>
      <c r="AV76" s="335">
        <f>IF(AV5&gt;$D$7,0,Leadsheet!$E$42*(-AV53+AV32+SUM(AU32:AU37)-SUM(AV33:AV38)))</f>
        <v>0</v>
      </c>
      <c r="AW76" s="335">
        <f>IF(AW5&gt;$D$7,0,Leadsheet!$E$42*(-AW53+AW32+SUM(AV32:AV37)-SUM(AW33:AW38)))</f>
        <v>0</v>
      </c>
      <c r="AX76" s="335">
        <f>IF(AX5&gt;$D$7,0,Leadsheet!$E$42*(-AX53+AX32+SUM(AW32:AW37)-SUM(AX33:AX38)))</f>
        <v>0</v>
      </c>
      <c r="AY76" s="335">
        <f>IF(AY5&gt;$D$7,0,Leadsheet!$E$42*(-AY53+AY32+SUM(AX32:AX37)-SUM(AY33:AY38)))</f>
        <v>0</v>
      </c>
      <c r="AZ76" s="335">
        <f>IF(AZ5&gt;$D$7,0,Leadsheet!$E$42*(-AZ53+AZ32+SUM(AY32:AY37)-SUM(AZ33:AZ38)))</f>
        <v>0</v>
      </c>
      <c r="BA76" s="335">
        <f>IF(BA5&gt;$D$7,0,Leadsheet!$E$42*(-BA53+BA32+SUM(AZ32:AZ37)-SUM(BA33:BA38)))</f>
        <v>0</v>
      </c>
      <c r="BB76" s="335">
        <f>IF(BB5&gt;$D$7,0,Leadsheet!$E$42*(-BB53+BB32+SUM(BA32:BA37)-SUM(BB33:BB38)))</f>
        <v>0</v>
      </c>
      <c r="BC76" s="335">
        <f>IF(BC5&gt;$D$7,0,Leadsheet!$E$42*(-BC53+BC32+SUM(BB32:BB37)-SUM(BC33:BC38)))</f>
        <v>0</v>
      </c>
      <c r="BD76" s="335">
        <f>IF(BD5&gt;$D$7,0,Leadsheet!$E$42*(-BD53+BD32+SUM(BC32:BC37)-SUM(BD33:BD38)))</f>
        <v>0</v>
      </c>
      <c r="BE76" s="335">
        <f>IF(BE5&gt;$D$7,0,Leadsheet!$E$42*(-BE53+BE32+SUM(BD32:BD37)-SUM(BE33:BE38)))</f>
        <v>0</v>
      </c>
      <c r="BF76" s="335">
        <f>IF(BF5&gt;$D$7,0,Leadsheet!$E$42*(-BF53+BF32+SUM(BE32:BE37)-SUM(BF33:BF38)))</f>
        <v>0</v>
      </c>
      <c r="BG76" s="335">
        <f>IF(BG5&gt;$D$7,0,Leadsheet!$E$42*(-BG53+BG32+SUM(BF32:BF37)-SUM(BG33:BG38)))</f>
        <v>0</v>
      </c>
      <c r="BH76" s="335">
        <f>IF(BH5&gt;$D$7,0,Leadsheet!$E$42*(-BH53+BH32+SUM(BG32:BG37)-SUM(BH33:BH38)))</f>
        <v>0</v>
      </c>
      <c r="BI76" s="335">
        <f>IF(BI5&gt;$D$7,0,Leadsheet!$E$42*(-BI53+BI32+SUM(BH32:BH37)-SUM(BI33:BI38)))</f>
        <v>0</v>
      </c>
      <c r="BJ76" s="335">
        <f>IF(BJ5&gt;$D$7,0,Leadsheet!$E$42*(-BJ53+BJ32+SUM(BI32:BI37)-SUM(BJ33:BJ38)))</f>
        <v>0</v>
      </c>
      <c r="BK76" s="335">
        <f>IF(BK5&gt;$D$7,0,Leadsheet!$E$42*(-BK53+BK32+SUM(BJ32:BJ37)-SUM(BK33:BK38)))</f>
        <v>0</v>
      </c>
      <c r="BL76" s="335">
        <f>IF(BL5&gt;$D$7,0,Leadsheet!$E$42*(-BL53+BL32+SUM(BK32:BK37)-SUM(BL33:BL38)))</f>
        <v>0</v>
      </c>
    </row>
    <row r="77" spans="2:64" x14ac:dyDescent="0.15">
      <c r="B77" s="337" t="s">
        <v>432</v>
      </c>
      <c r="C77" s="424"/>
      <c r="E77" s="406">
        <f>E78+E62</f>
        <v>-4.6334764176443252E-4</v>
      </c>
      <c r="F77" s="335"/>
      <c r="G77" s="335"/>
      <c r="H77" s="335"/>
      <c r="I77" s="335"/>
      <c r="J77" s="335"/>
      <c r="K77" s="335"/>
      <c r="L77" s="335"/>
      <c r="M77" s="335"/>
      <c r="N77" s="335"/>
      <c r="O77" s="335"/>
      <c r="P77" s="335"/>
      <c r="Q77" s="335"/>
      <c r="R77" s="335"/>
      <c r="S77" s="335"/>
      <c r="T77" s="335"/>
      <c r="U77" s="335"/>
      <c r="V77" s="335"/>
      <c r="W77" s="335"/>
      <c r="X77" s="335"/>
      <c r="Y77" s="335"/>
      <c r="Z77" s="335"/>
      <c r="AA77" s="335"/>
      <c r="AB77" s="335"/>
      <c r="AC77" s="335"/>
      <c r="AD77" s="335"/>
      <c r="AE77" s="335"/>
      <c r="AF77" s="335"/>
      <c r="AG77" s="335"/>
      <c r="AH77" s="335"/>
      <c r="AI77" s="335"/>
      <c r="AJ77" s="335"/>
      <c r="AK77" s="335"/>
      <c r="AL77" s="335"/>
      <c r="AM77" s="335"/>
      <c r="AN77" s="335"/>
      <c r="AO77" s="335"/>
      <c r="AP77" s="335"/>
      <c r="AQ77" s="335"/>
      <c r="AR77" s="335"/>
      <c r="AS77" s="335"/>
      <c r="AT77" s="335"/>
      <c r="AU77" s="335"/>
      <c r="AV77" s="335"/>
      <c r="AW77" s="335"/>
      <c r="AX77" s="335"/>
      <c r="AY77" s="335"/>
      <c r="AZ77" s="335"/>
      <c r="BA77" s="335"/>
      <c r="BB77" s="335"/>
      <c r="BC77" s="335"/>
      <c r="BD77" s="335"/>
      <c r="BE77" s="335"/>
      <c r="BF77" s="335"/>
      <c r="BG77" s="335"/>
      <c r="BH77" s="335"/>
      <c r="BI77" s="335"/>
      <c r="BJ77" s="335"/>
      <c r="BK77" s="335"/>
      <c r="BL77" s="335"/>
    </row>
    <row r="78" spans="2:64" x14ac:dyDescent="0.15">
      <c r="C78" s="257" t="s">
        <v>529</v>
      </c>
      <c r="E78" s="335">
        <f>-Leadsheet!E49</f>
        <v>-4.6334764176443252E-4</v>
      </c>
    </row>
    <row r="80" spans="2:64" x14ac:dyDescent="0.15">
      <c r="B80" s="356" t="s">
        <v>413</v>
      </c>
      <c r="C80" s="337"/>
      <c r="D80" s="337"/>
      <c r="E80" s="406">
        <f>E81+E82+E83</f>
        <v>-9.0250651191684291E-3</v>
      </c>
      <c r="F80" s="425"/>
      <c r="G80" s="425"/>
      <c r="H80" s="425"/>
      <c r="I80" s="425"/>
      <c r="J80" s="425"/>
      <c r="K80" s="425"/>
      <c r="L80" s="425"/>
      <c r="M80" s="425"/>
      <c r="N80" s="425"/>
      <c r="O80" s="425"/>
      <c r="P80" s="425"/>
      <c r="Q80" s="425"/>
      <c r="R80" s="425"/>
      <c r="S80" s="425"/>
      <c r="T80" s="425"/>
      <c r="U80" s="425"/>
      <c r="V80" s="425"/>
      <c r="W80" s="425"/>
      <c r="X80" s="425"/>
      <c r="Y80" s="425"/>
      <c r="Z80" s="425"/>
      <c r="AA80" s="425"/>
      <c r="AB80" s="425"/>
      <c r="AC80" s="425"/>
      <c r="AD80" s="425"/>
      <c r="AE80" s="425"/>
      <c r="AF80" s="425"/>
      <c r="AG80" s="425"/>
      <c r="AH80" s="425"/>
      <c r="AI80" s="425"/>
      <c r="AJ80" s="425"/>
      <c r="AK80" s="425"/>
      <c r="AL80" s="425"/>
      <c r="AM80" s="425"/>
      <c r="AN80" s="425"/>
      <c r="AO80" s="425"/>
      <c r="AP80" s="425"/>
      <c r="AQ80" s="425"/>
      <c r="AR80" s="425"/>
      <c r="AS80" s="425"/>
      <c r="AT80" s="425"/>
      <c r="AU80" s="425"/>
      <c r="AV80" s="425"/>
      <c r="AW80" s="425"/>
      <c r="AX80" s="425"/>
      <c r="AY80" s="425"/>
      <c r="AZ80" s="425"/>
      <c r="BA80" s="425"/>
      <c r="BB80" s="425"/>
      <c r="BC80" s="425"/>
    </row>
    <row r="81" spans="2:64" x14ac:dyDescent="0.15">
      <c r="C81" s="257" t="s">
        <v>530</v>
      </c>
      <c r="E81" s="335">
        <f>-Leadsheet!E51/Leadsheet!E54/Leadsheet!E55-Leadsheet!E52</f>
        <v>-7.9689062756664996E-3</v>
      </c>
    </row>
    <row r="82" spans="2:64" x14ac:dyDescent="0.15">
      <c r="C82" s="257" t="s">
        <v>123</v>
      </c>
      <c r="E82" s="335">
        <f>-Leadsheet!E53</f>
        <v>-1.0561588435019299E-3</v>
      </c>
    </row>
    <row r="83" spans="2:64" x14ac:dyDescent="0.15">
      <c r="C83" s="257" t="s">
        <v>121</v>
      </c>
      <c r="E83" s="335">
        <f>-Leadsheet!E52</f>
        <v>0</v>
      </c>
      <c r="F83" s="335"/>
      <c r="G83" s="335"/>
      <c r="H83" s="335"/>
      <c r="I83" s="335"/>
      <c r="J83" s="335"/>
      <c r="K83" s="335"/>
      <c r="L83" s="335"/>
      <c r="M83" s="335"/>
      <c r="N83" s="335"/>
      <c r="O83" s="335"/>
      <c r="P83" s="335"/>
      <c r="Q83" s="335"/>
      <c r="R83" s="335"/>
      <c r="S83" s="335"/>
      <c r="T83" s="335"/>
      <c r="U83" s="335"/>
      <c r="V83" s="335"/>
      <c r="W83" s="335"/>
      <c r="X83" s="335"/>
      <c r="Y83" s="335"/>
      <c r="Z83" s="335"/>
      <c r="AA83" s="335"/>
      <c r="AB83" s="335"/>
      <c r="AC83" s="335"/>
      <c r="AD83" s="335"/>
      <c r="AE83" s="335"/>
      <c r="AF83" s="335"/>
      <c r="AG83" s="335"/>
      <c r="AH83" s="335"/>
      <c r="AI83" s="335"/>
      <c r="AJ83" s="335"/>
      <c r="AK83" s="335"/>
      <c r="AL83" s="335"/>
      <c r="AM83" s="335"/>
      <c r="AN83" s="335"/>
      <c r="AO83" s="335"/>
      <c r="AP83" s="335"/>
      <c r="AQ83" s="335"/>
      <c r="AR83" s="335"/>
      <c r="AS83" s="335"/>
      <c r="AT83" s="335"/>
      <c r="AU83" s="335"/>
      <c r="AV83" s="335"/>
      <c r="AW83" s="335"/>
      <c r="AX83" s="335"/>
      <c r="AY83" s="335"/>
      <c r="AZ83" s="335"/>
      <c r="BA83" s="335"/>
      <c r="BB83" s="335"/>
      <c r="BC83" s="335"/>
    </row>
    <row r="84" spans="2:64" x14ac:dyDescent="0.15">
      <c r="F84" s="335"/>
      <c r="G84" s="335"/>
      <c r="H84" s="335"/>
      <c r="I84" s="335"/>
      <c r="J84" s="335"/>
      <c r="K84" s="335"/>
      <c r="L84" s="335"/>
      <c r="M84" s="335"/>
      <c r="N84" s="335"/>
      <c r="O84" s="335"/>
      <c r="P84" s="335"/>
      <c r="Q84" s="335"/>
      <c r="R84" s="335"/>
      <c r="S84" s="335"/>
      <c r="T84" s="335"/>
      <c r="U84" s="335"/>
      <c r="V84" s="335"/>
      <c r="W84" s="335"/>
      <c r="X84" s="335"/>
      <c r="Y84" s="335"/>
      <c r="Z84" s="335"/>
      <c r="AA84" s="335"/>
      <c r="AB84" s="335"/>
      <c r="AC84" s="335"/>
      <c r="AD84" s="335"/>
      <c r="AE84" s="335"/>
      <c r="AF84" s="335"/>
      <c r="AG84" s="335"/>
      <c r="AH84" s="335"/>
      <c r="AI84" s="335"/>
      <c r="AJ84" s="335"/>
      <c r="AK84" s="335"/>
      <c r="AL84" s="335"/>
      <c r="AM84" s="335"/>
      <c r="AN84" s="335"/>
      <c r="AO84" s="335"/>
      <c r="AP84" s="335"/>
      <c r="AQ84" s="335"/>
      <c r="AR84" s="335"/>
      <c r="AS84" s="335"/>
      <c r="AT84" s="335"/>
      <c r="AU84" s="335"/>
      <c r="AV84" s="335"/>
      <c r="AW84" s="335"/>
      <c r="AX84" s="335"/>
      <c r="AY84" s="335"/>
      <c r="AZ84" s="335"/>
      <c r="BA84" s="335"/>
      <c r="BB84" s="335"/>
      <c r="BC84" s="335"/>
    </row>
    <row r="85" spans="2:64" x14ac:dyDescent="0.15">
      <c r="C85" s="426" t="s">
        <v>531</v>
      </c>
      <c r="D85" s="426"/>
      <c r="E85" s="427">
        <v>1</v>
      </c>
      <c r="F85" s="427">
        <f>IF(F$5&gt;$D$7,0,IF(F$5&lt;12,1,(1+Leadsheet!$E$31)^(ROUNDDOWN(F$5/12,0))))</f>
        <v>1</v>
      </c>
      <c r="G85" s="427">
        <f>IF(G$5&gt;$D$7,0,IF(G$5&lt;12,1,(1+Leadsheet!$E$31)^(ROUNDDOWN(G$5/12,0))))</f>
        <v>1</v>
      </c>
      <c r="H85" s="427">
        <f>IF(H$5&gt;$D$7,0,IF(H$5&lt;12,1,(1+Leadsheet!$E$31)^(ROUNDDOWN(H$5/12,0))))</f>
        <v>1</v>
      </c>
      <c r="I85" s="427">
        <f>IF(I$5&gt;$D$7,0,IF(I$5&lt;12,1,(1+Leadsheet!$E$31)^(ROUNDDOWN(I$5/12,0))))</f>
        <v>1</v>
      </c>
      <c r="J85" s="427">
        <f>IF(J$5&gt;$D$7,0,IF(J$5&lt;12,1,(1+Leadsheet!$E$31)^(ROUNDDOWN(J$5/12,0))))</f>
        <v>1</v>
      </c>
      <c r="K85" s="427">
        <f>IF(K$5&gt;$D$7,0,IF(K$5&lt;12,1,(1+Leadsheet!$E$31)^(ROUNDDOWN(K$5/12,0))))</f>
        <v>1</v>
      </c>
      <c r="L85" s="427">
        <f>IF(L$5&gt;$D$7,0,IF(L$5&lt;12,1,(1+Leadsheet!$E$31)^(ROUNDDOWN(L$5/12,0))))</f>
        <v>0</v>
      </c>
      <c r="M85" s="427">
        <f>IF(M$5&gt;$D$7,0,IF(M$5&lt;12,1,(1+Leadsheet!$E$31)^(ROUNDDOWN(M$5/12,0))))</f>
        <v>0</v>
      </c>
      <c r="N85" s="427">
        <f>IF(N$5&gt;$D$7,0,IF(N$5&lt;12,1,(1+Leadsheet!$E$31)^(ROUNDDOWN(N$5/12,0))))</f>
        <v>0</v>
      </c>
      <c r="O85" s="427">
        <f>IF(O$5&gt;$D$7,0,IF(O$5&lt;12,1,(1+Leadsheet!$E$31)^(ROUNDDOWN(O$5/12,0))))</f>
        <v>0</v>
      </c>
      <c r="P85" s="427">
        <f>IF(P$5&gt;$D$7,0,IF(P$5&lt;12,1,(1+Leadsheet!$E$31)^(ROUNDDOWN(P$5/12,0))))</f>
        <v>0</v>
      </c>
      <c r="Q85" s="427">
        <f>IF(Q$5&gt;$D$7,0,IF(Q$5&lt;12,1,(1+Leadsheet!$E$31)^(ROUNDDOWN(Q$5/12,0))))</f>
        <v>0</v>
      </c>
      <c r="R85" s="427">
        <f>IF(R$5&gt;$D$7,0,IF(R$5&lt;12,1,(1+Leadsheet!$E$31)^(ROUNDDOWN(R$5/12,0))))</f>
        <v>0</v>
      </c>
      <c r="S85" s="427">
        <f>IF(S$5&gt;$D$7,0,IF(S$5&lt;12,1,(1+Leadsheet!$E$31)^(ROUNDDOWN(S$5/12,0))))</f>
        <v>0</v>
      </c>
      <c r="T85" s="427">
        <f>IF(T$5&gt;$D$7,0,IF(T$5&lt;12,1,(1+Leadsheet!$E$31)^(ROUNDDOWN(T$5/12,0))))</f>
        <v>0</v>
      </c>
      <c r="U85" s="427">
        <f>IF(U$5&gt;$D$7,0,IF(U$5&lt;12,1,(1+Leadsheet!$E$31)^(ROUNDDOWN(U$5/12,0))))</f>
        <v>0</v>
      </c>
      <c r="V85" s="427">
        <f>IF(V$5&gt;$D$7,0,IF(V$5&lt;12,1,(1+Leadsheet!$E$31)^(ROUNDDOWN(V$5/12,0))))</f>
        <v>0</v>
      </c>
      <c r="W85" s="427">
        <f>IF(W$5&gt;$D$7,0,IF(W$5&lt;12,1,(1+Leadsheet!$E$31)^(ROUNDDOWN(W$5/12,0))))</f>
        <v>0</v>
      </c>
      <c r="X85" s="427">
        <f>IF(X$5&gt;$D$7,0,IF(X$5&lt;12,1,(1+Leadsheet!$E$31)^(ROUNDDOWN(X$5/12,0))))</f>
        <v>0</v>
      </c>
      <c r="Y85" s="427">
        <f>IF(Y$5&gt;$D$7,0,IF(Y$5&lt;12,1,(1+Leadsheet!$E$31)^(ROUNDDOWN(Y$5/12,0))))</f>
        <v>0</v>
      </c>
      <c r="Z85" s="427">
        <f>IF(Z$5&gt;$D$7,0,IF(Z$5&lt;12,1,(1+Leadsheet!$E$31)^(ROUNDDOWN(Z$5/12,0))))</f>
        <v>0</v>
      </c>
      <c r="AA85" s="427">
        <f>IF(AA$5&gt;$D$7,0,IF(AA$5&lt;12,1,(1+Leadsheet!$E$31)^(ROUNDDOWN(AA$5/12,0))))</f>
        <v>0</v>
      </c>
      <c r="AB85" s="427">
        <f>IF(AB$5&gt;$D$7,0,IF(AB$5&lt;12,1,(1+Leadsheet!$E$31)^(ROUNDDOWN(AB$5/12,0))))</f>
        <v>0</v>
      </c>
      <c r="AC85" s="427">
        <f>IF(AC$5&gt;$D$7,0,IF(AC$5&lt;12,1,(1+Leadsheet!$E$31)^(ROUNDDOWN(AC$5/12,0))))</f>
        <v>0</v>
      </c>
      <c r="AD85" s="427">
        <f>IF(AD$5&gt;$D$7,0,IF(AD$5&lt;12,1,(1+Leadsheet!$E$31)^(ROUNDDOWN(AD$5/12,0))))</f>
        <v>0</v>
      </c>
      <c r="AE85" s="427">
        <f>IF(AE$5&gt;$D$7,0,IF(AE$5&lt;12,1,(1+Leadsheet!$E$31)^(ROUNDDOWN(AE$5/12,0))))</f>
        <v>0</v>
      </c>
      <c r="AF85" s="427">
        <f>IF(AF$5&gt;$D$7,0,IF(AF$5&lt;12,1,(1+Leadsheet!$E$31)^(ROUNDDOWN(AF$5/12,0))))</f>
        <v>0</v>
      </c>
      <c r="AG85" s="427">
        <f>IF(AG$5&gt;$D$7,0,IF(AG$5&lt;12,1,(1+Leadsheet!$E$31)^(ROUNDDOWN(AG$5/12,0))))</f>
        <v>0</v>
      </c>
      <c r="AH85" s="427">
        <f>IF(AH$5&gt;$D$7,0,IF(AH$5&lt;12,1,(1+Leadsheet!$E$31)^(ROUNDDOWN(AH$5/12,0))))</f>
        <v>0</v>
      </c>
      <c r="AI85" s="427">
        <f>IF(AI$5&gt;$D$7,0,IF(AI$5&lt;12,1,(1+Leadsheet!$E$31)^(ROUNDDOWN(AI$5/12,0))))</f>
        <v>0</v>
      </c>
      <c r="AJ85" s="427">
        <f>IF(AJ$5&gt;$D$7,0,IF(AJ$5&lt;12,1,(1+Leadsheet!$E$31)^(ROUNDDOWN(AJ$5/12,0))))</f>
        <v>0</v>
      </c>
      <c r="AK85" s="427">
        <f>IF(AK$5&gt;$D$7,0,IF(AK$5&lt;12,1,(1+Leadsheet!$E$31)^(ROUNDDOWN(AK$5/12,0))))</f>
        <v>0</v>
      </c>
      <c r="AL85" s="427">
        <f>IF(AL$5&gt;$D$7,0,IF(AL$5&lt;12,1,(1+Leadsheet!$E$31)^(ROUNDDOWN(AL$5/12,0))))</f>
        <v>0</v>
      </c>
      <c r="AM85" s="427">
        <f>IF(AM$5&gt;$D$7,0,IF(AM$5&lt;12,1,(1+Leadsheet!$E$31)^(ROUNDDOWN(AM$5/12,0))))</f>
        <v>0</v>
      </c>
      <c r="AN85" s="427">
        <f>IF(AN$5&gt;$D$7,0,IF(AN$5&lt;12,1,(1+Leadsheet!$E$31)^(ROUNDDOWN(AN$5/12,0))))</f>
        <v>0</v>
      </c>
      <c r="AO85" s="427">
        <f>IF(AO$5&gt;$D$7,0,IF(AO$5&lt;12,1,(1+Leadsheet!$E$31)^(ROUNDDOWN(AO$5/12,0))))</f>
        <v>0</v>
      </c>
      <c r="AP85" s="427">
        <f>IF(AP$5&gt;$D$7,0,IF(AP$5&lt;12,1,(1+Leadsheet!$E$31)^(ROUNDDOWN(AP$5/12,0))))</f>
        <v>0</v>
      </c>
      <c r="AQ85" s="427">
        <f>IF(AQ$5&gt;$D$7,0,IF(AQ$5&lt;12,1,(1+Leadsheet!$E$31)^(ROUNDDOWN(AQ$5/12,0))))</f>
        <v>0</v>
      </c>
      <c r="AR85" s="427">
        <f>IF(AR$5&gt;$D$7,0,IF(AR$5&lt;12,1,(1+Leadsheet!$E$31)^(ROUNDDOWN(AR$5/12,0))))</f>
        <v>0</v>
      </c>
      <c r="AS85" s="427">
        <f>IF(AS$5&gt;$D$7,0,IF(AS$5&lt;12,1,(1+Leadsheet!$E$31)^(ROUNDDOWN(AS$5/12,0))))</f>
        <v>0</v>
      </c>
      <c r="AT85" s="427">
        <f>IF(AT$5&gt;$D$7,0,IF(AT$5&lt;12,1,(1+Leadsheet!$E$31)^(ROUNDDOWN(AT$5/12,0))))</f>
        <v>0</v>
      </c>
      <c r="AU85" s="427">
        <f>IF(AU$5&gt;$D$7,0,IF(AU$5&lt;12,1,(1+Leadsheet!$E$31)^(ROUNDDOWN(AU$5/12,0))))</f>
        <v>0</v>
      </c>
      <c r="AV85" s="427">
        <f>IF(AV$5&gt;$D$7,0,IF(AV$5&lt;12,1,(1+Leadsheet!$E$31)^(ROUNDDOWN(AV$5/12,0))))</f>
        <v>0</v>
      </c>
      <c r="AW85" s="427">
        <f>IF(AW$5&gt;$D$7,0,IF(AW$5&lt;12,1,(1+Leadsheet!$E$31)^(ROUNDDOWN(AW$5/12,0))))</f>
        <v>0</v>
      </c>
      <c r="AX85" s="427">
        <f>IF(AX$5&gt;$D$7,0,IF(AX$5&lt;12,1,(1+Leadsheet!$E$31)^(ROUNDDOWN(AX$5/12,0))))</f>
        <v>0</v>
      </c>
      <c r="AY85" s="427">
        <f>IF(AY$5&gt;$D$7,0,IF(AY$5&lt;12,1,(1+Leadsheet!$E$31)^(ROUNDDOWN(AY$5/12,0))))</f>
        <v>0</v>
      </c>
      <c r="AZ85" s="427">
        <f>IF(AZ$5&gt;$D$7,0,IF(AZ$5&lt;12,1,(1+Leadsheet!$E$31)^(ROUNDDOWN(AZ$5/12,0))))</f>
        <v>0</v>
      </c>
      <c r="BA85" s="427">
        <f>IF(BA$5&gt;$D$7,0,IF(BA$5&lt;12,1,(1+Leadsheet!$E$31)^(ROUNDDOWN(BA$5/12,0))))</f>
        <v>0</v>
      </c>
      <c r="BB85" s="427">
        <f>IF(BB$5&gt;$D$7,0,IF(BB$5&lt;12,1,(1+Leadsheet!$E$31)^(ROUNDDOWN(BB$5/12,0))))</f>
        <v>0</v>
      </c>
      <c r="BC85" s="427">
        <f>IF(BC$5&gt;$D$7,0,IF(BC$5&lt;12,1,(1+Leadsheet!$E$31)^(ROUNDDOWN(BC$5/12,0))))</f>
        <v>0</v>
      </c>
      <c r="BD85" s="427">
        <f>IF(BD$5&gt;$D$7,0,IF(BD$5&lt;12,1,(1+Leadsheet!$E$31)^(ROUNDDOWN(BD$5/12,0))))</f>
        <v>0</v>
      </c>
      <c r="BE85" s="427">
        <f>IF(BE$5&gt;$D$7,0,IF(BE$5&lt;12,1,(1+Leadsheet!$E$31)^(ROUNDDOWN(BE$5/12,0))))</f>
        <v>0</v>
      </c>
      <c r="BF85" s="427">
        <f>IF(BF$5&gt;$D$7,0,IF(BF$5&lt;12,1,(1+Leadsheet!$E$31)^(ROUNDDOWN(BF$5/12,0))))</f>
        <v>0</v>
      </c>
      <c r="BG85" s="427">
        <f>IF(BG$5&gt;$D$7,0,IF(BG$5&lt;12,1,(1+Leadsheet!$E$31)^(ROUNDDOWN(BG$5/12,0))))</f>
        <v>0</v>
      </c>
      <c r="BH85" s="427">
        <f>IF(BH$5&gt;$D$7,0,IF(BH$5&lt;12,1,(1+Leadsheet!$E$31)^(ROUNDDOWN(BH$5/12,0))))</f>
        <v>0</v>
      </c>
      <c r="BI85" s="427">
        <f>IF(BI$5&gt;$D$7,0,IF(BI$5&lt;12,1,(1+Leadsheet!$E$31)^(ROUNDDOWN(BI$5/12,0))))</f>
        <v>0</v>
      </c>
      <c r="BJ85" s="427">
        <f>IF(BJ$5&gt;$D$7,0,IF(BJ$5&lt;12,1,(1+Leadsheet!$E$31)^(ROUNDDOWN(BJ$5/12,0))))</f>
        <v>0</v>
      </c>
      <c r="BK85" s="427">
        <f>IF(BK$5&gt;$D$7,0,IF(BK$5&lt;12,1,(1+Leadsheet!$E$31)^(ROUNDDOWN(BK$5/12,0))))</f>
        <v>0</v>
      </c>
      <c r="BL85" s="427">
        <f>IF(BL$5&gt;$D$7,0,IF(BL$5&lt;12,1,(1+Leadsheet!$E$31)^(ROUNDDOWN(BL$5/12,0))))</f>
        <v>0</v>
      </c>
    </row>
    <row r="87" spans="2:64" s="337" customFormat="1" x14ac:dyDescent="0.15">
      <c r="B87" s="337" t="s">
        <v>131</v>
      </c>
      <c r="E87" s="422">
        <f>SUM(E88:E89)</f>
        <v>-5.0000000000000001E-3</v>
      </c>
      <c r="F87" s="422">
        <f t="shared" ref="F87:BL87" si="18">SUM(F88:F89)</f>
        <v>-2.9415000000000002E-4</v>
      </c>
      <c r="G87" s="422">
        <f t="shared" si="18"/>
        <v>-2.7981915404839118E-4</v>
      </c>
      <c r="H87" s="422">
        <f t="shared" si="18"/>
        <v>-2.7316590839551638E-4</v>
      </c>
      <c r="I87" s="422">
        <f t="shared" si="18"/>
        <v>-2.7028102932341222E-4</v>
      </c>
      <c r="J87" s="422">
        <f t="shared" si="18"/>
        <v>-2.6757821903017809E-4</v>
      </c>
      <c r="K87" s="422">
        <f t="shared" si="18"/>
        <v>-2.6543759327793664E-4</v>
      </c>
      <c r="L87" s="422">
        <f t="shared" si="18"/>
        <v>0</v>
      </c>
      <c r="M87" s="422">
        <f t="shared" si="18"/>
        <v>0</v>
      </c>
      <c r="N87" s="422">
        <f t="shared" si="18"/>
        <v>0</v>
      </c>
      <c r="O87" s="422">
        <f t="shared" si="18"/>
        <v>0</v>
      </c>
      <c r="P87" s="422">
        <f t="shared" si="18"/>
        <v>0</v>
      </c>
      <c r="Q87" s="422">
        <f t="shared" si="18"/>
        <v>0</v>
      </c>
      <c r="R87" s="422">
        <f t="shared" si="18"/>
        <v>0</v>
      </c>
      <c r="S87" s="422">
        <f t="shared" si="18"/>
        <v>0</v>
      </c>
      <c r="T87" s="422">
        <f t="shared" si="18"/>
        <v>0</v>
      </c>
      <c r="U87" s="422">
        <f t="shared" si="18"/>
        <v>0</v>
      </c>
      <c r="V87" s="422">
        <f t="shared" si="18"/>
        <v>0</v>
      </c>
      <c r="W87" s="422">
        <f t="shared" si="18"/>
        <v>0</v>
      </c>
      <c r="X87" s="422">
        <f t="shared" si="18"/>
        <v>0</v>
      </c>
      <c r="Y87" s="422">
        <f t="shared" si="18"/>
        <v>0</v>
      </c>
      <c r="Z87" s="422">
        <f t="shared" si="18"/>
        <v>0</v>
      </c>
      <c r="AA87" s="422">
        <f t="shared" si="18"/>
        <v>0</v>
      </c>
      <c r="AB87" s="422">
        <f t="shared" si="18"/>
        <v>0</v>
      </c>
      <c r="AC87" s="422">
        <f t="shared" si="18"/>
        <v>0</v>
      </c>
      <c r="AD87" s="422">
        <f t="shared" si="18"/>
        <v>0</v>
      </c>
      <c r="AE87" s="422">
        <f t="shared" si="18"/>
        <v>0</v>
      </c>
      <c r="AF87" s="422">
        <f t="shared" si="18"/>
        <v>0</v>
      </c>
      <c r="AG87" s="422">
        <f t="shared" si="18"/>
        <v>0</v>
      </c>
      <c r="AH87" s="422">
        <f t="shared" si="18"/>
        <v>0</v>
      </c>
      <c r="AI87" s="422">
        <f t="shared" si="18"/>
        <v>0</v>
      </c>
      <c r="AJ87" s="422">
        <f t="shared" si="18"/>
        <v>0</v>
      </c>
      <c r="AK87" s="422">
        <f t="shared" si="18"/>
        <v>0</v>
      </c>
      <c r="AL87" s="422">
        <f t="shared" si="18"/>
        <v>0</v>
      </c>
      <c r="AM87" s="422">
        <f t="shared" si="18"/>
        <v>0</v>
      </c>
      <c r="AN87" s="422">
        <f t="shared" si="18"/>
        <v>0</v>
      </c>
      <c r="AO87" s="422">
        <f t="shared" si="18"/>
        <v>0</v>
      </c>
      <c r="AP87" s="422">
        <f t="shared" si="18"/>
        <v>0</v>
      </c>
      <c r="AQ87" s="422">
        <f t="shared" si="18"/>
        <v>0</v>
      </c>
      <c r="AR87" s="422">
        <f t="shared" si="18"/>
        <v>0</v>
      </c>
      <c r="AS87" s="422">
        <f t="shared" si="18"/>
        <v>0</v>
      </c>
      <c r="AT87" s="422">
        <f t="shared" si="18"/>
        <v>0</v>
      </c>
      <c r="AU87" s="422">
        <f t="shared" si="18"/>
        <v>0</v>
      </c>
      <c r="AV87" s="422">
        <f t="shared" si="18"/>
        <v>0</v>
      </c>
      <c r="AW87" s="422">
        <f t="shared" si="18"/>
        <v>0</v>
      </c>
      <c r="AX87" s="422">
        <f t="shared" si="18"/>
        <v>0</v>
      </c>
      <c r="AY87" s="422">
        <f t="shared" si="18"/>
        <v>0</v>
      </c>
      <c r="AZ87" s="422">
        <f t="shared" si="18"/>
        <v>0</v>
      </c>
      <c r="BA87" s="422">
        <f t="shared" si="18"/>
        <v>0</v>
      </c>
      <c r="BB87" s="422">
        <f t="shared" si="18"/>
        <v>0</v>
      </c>
      <c r="BC87" s="422">
        <f t="shared" si="18"/>
        <v>0</v>
      </c>
      <c r="BD87" s="422">
        <f t="shared" si="18"/>
        <v>0</v>
      </c>
      <c r="BE87" s="422">
        <f t="shared" si="18"/>
        <v>0</v>
      </c>
      <c r="BF87" s="422">
        <f t="shared" si="18"/>
        <v>0</v>
      </c>
      <c r="BG87" s="422">
        <f t="shared" si="18"/>
        <v>0</v>
      </c>
      <c r="BH87" s="422">
        <f t="shared" si="18"/>
        <v>0</v>
      </c>
      <c r="BI87" s="422">
        <f t="shared" si="18"/>
        <v>0</v>
      </c>
      <c r="BJ87" s="422">
        <f t="shared" si="18"/>
        <v>0</v>
      </c>
      <c r="BK87" s="422">
        <f t="shared" si="18"/>
        <v>0</v>
      </c>
      <c r="BL87" s="422">
        <f t="shared" si="18"/>
        <v>0</v>
      </c>
    </row>
    <row r="88" spans="2:64" s="428" customFormat="1" x14ac:dyDescent="0.15">
      <c r="C88" s="429" t="s">
        <v>434</v>
      </c>
      <c r="E88" s="428">
        <f>-IF(E5&gt;Leadsheet!$E$12,Leadsheet!$E$57*E$85*E42/$D$42,Leadsheet!$E$57*E$85*D15)</f>
        <v>-5.0000000000000001E-3</v>
      </c>
      <c r="F88" s="428">
        <f>-IF(F5&gt;Leadsheet!$E$12,Leadsheet!$E$57*F$85*F42/$D$42,Leadsheet!$E$57*F$85*E15)</f>
        <v>-2.9415000000000002E-4</v>
      </c>
      <c r="G88" s="428">
        <f>-IF(G5&gt;Leadsheet!$E$12,Leadsheet!$E$57*G$85*G42/$D$42,Leadsheet!$E$57*G$85*F15)</f>
        <v>-2.7981915404839118E-4</v>
      </c>
      <c r="H88" s="428">
        <f>-IF(H5&gt;Leadsheet!$E$12,Leadsheet!$E$57*H$85*H42/$D$42,Leadsheet!$E$57*H$85*G15)</f>
        <v>-2.7316590839551638E-4</v>
      </c>
      <c r="I88" s="428">
        <f>-IF(I5&gt;Leadsheet!$E$12,Leadsheet!$E$57*I$85*I42/$D$42,Leadsheet!$E$57*I$85*H15)</f>
        <v>-2.7028102932341222E-4</v>
      </c>
      <c r="J88" s="428">
        <f>-IF(J5&gt;Leadsheet!$E$12,Leadsheet!$E$57*J$85*J42/$D$42,Leadsheet!$E$57*J$85*I15)</f>
        <v>-2.6757821903017809E-4</v>
      </c>
      <c r="K88" s="428">
        <f>-IF(K5&gt;Leadsheet!$E$12,Leadsheet!$E$57*K$85*K42/$D$42,Leadsheet!$E$57*K$85*J15)</f>
        <v>-2.6543759327793664E-4</v>
      </c>
      <c r="L88" s="428">
        <f>-IF(L5&gt;Leadsheet!$E$12,Leadsheet!$E$57*L$85*L42/$D$42,Leadsheet!$E$57*L$85*K15)</f>
        <v>0</v>
      </c>
      <c r="M88" s="428">
        <f>-IF(M5&gt;Leadsheet!$E$12,Leadsheet!$E$57*M$85*M42/$D$42,Leadsheet!$E$57*M$85*L15)</f>
        <v>0</v>
      </c>
      <c r="N88" s="428">
        <f>-IF(N5&gt;Leadsheet!$E$12,Leadsheet!$E$57*N$85*N42/$D$42,Leadsheet!$E$57*N$85*M15)</f>
        <v>0</v>
      </c>
      <c r="O88" s="428">
        <f>-IF(O5&gt;Leadsheet!$E$12,Leadsheet!$E$57*O$85*O42/$D$42,Leadsheet!$E$57*O$85*N15)</f>
        <v>0</v>
      </c>
      <c r="P88" s="428">
        <f>-IF(P5&gt;Leadsheet!$E$12,Leadsheet!$E$57*P$85*P42/$D$42,Leadsheet!$E$57*P$85*O15)</f>
        <v>0</v>
      </c>
      <c r="Q88" s="428">
        <f>-IF(Q5&gt;Leadsheet!$E$12,Leadsheet!$E$57*Q$85*Q42/$D$42,Leadsheet!$E$57*Q$85*P15)</f>
        <v>0</v>
      </c>
      <c r="R88" s="428">
        <f>-IF(R5&gt;Leadsheet!$E$12,Leadsheet!$E$57*R$85*R42/$D$42,Leadsheet!$E$57*R$85*Q15)</f>
        <v>0</v>
      </c>
      <c r="S88" s="428">
        <f>-IF(S5&gt;Leadsheet!$E$12,Leadsheet!$E$57*S$85*S42/$D$42,Leadsheet!$E$57*S$85*R15)</f>
        <v>0</v>
      </c>
      <c r="T88" s="428">
        <f>-IF(T5&gt;Leadsheet!$E$12,Leadsheet!$E$57*T$85*T42/$D$42,Leadsheet!$E$57*T$85*S15)</f>
        <v>0</v>
      </c>
      <c r="U88" s="428">
        <f>-IF(U5&gt;Leadsheet!$E$12,Leadsheet!$E$57*U$85*U42/$D$42,Leadsheet!$E$57*U$85*T15)</f>
        <v>0</v>
      </c>
      <c r="V88" s="428">
        <f>-IF(V5&gt;Leadsheet!$E$12,Leadsheet!$E$57*V$85*V42/$D$42,Leadsheet!$E$57*V$85*U15)</f>
        <v>0</v>
      </c>
      <c r="W88" s="428">
        <f>-IF(W5&gt;Leadsheet!$E$12,Leadsheet!$E$57*W$85*W42/$D$42,Leadsheet!$E$57*W$85*V15)</f>
        <v>0</v>
      </c>
      <c r="X88" s="428">
        <f>-IF(X5&gt;Leadsheet!$E$12,Leadsheet!$E$57*X$85*X42/$D$42,Leadsheet!$E$57*X$85*W15)</f>
        <v>0</v>
      </c>
      <c r="Y88" s="428">
        <f>-IF(Y5&gt;Leadsheet!$E$12,Leadsheet!$E$57*Y$85*Y42/$D$42,Leadsheet!$E$57*Y$85*X15)</f>
        <v>0</v>
      </c>
      <c r="Z88" s="428">
        <f>-IF(Z5&gt;Leadsheet!$E$12,Leadsheet!$E$57*Z$85*Z42/$D$42,Leadsheet!$E$57*Z$85*Y15)</f>
        <v>0</v>
      </c>
      <c r="AA88" s="428">
        <f>-IF(AA5&gt;Leadsheet!$E$12,Leadsheet!$E$57*AA$85*AA42/$D$42,Leadsheet!$E$57*AA$85*Z15)</f>
        <v>0</v>
      </c>
      <c r="AB88" s="428">
        <f>-IF(AB5&gt;Leadsheet!$E$12,Leadsheet!$E$57*AB$85*AB42/$D$42,Leadsheet!$E$57*AB$85*AA15)</f>
        <v>0</v>
      </c>
      <c r="AC88" s="428">
        <f>-IF(AC5&gt;Leadsheet!$E$12,Leadsheet!$E$57*AC$85*AC42/$D$42,Leadsheet!$E$57*AC$85*AB15)</f>
        <v>0</v>
      </c>
      <c r="AD88" s="428">
        <f>-IF(AD5&gt;Leadsheet!$E$12,Leadsheet!$E$57*AD$85*AD42/$D$42,Leadsheet!$E$57*AD$85*AC15)</f>
        <v>0</v>
      </c>
      <c r="AE88" s="428">
        <f>-IF(AE5&gt;Leadsheet!$E$12,Leadsheet!$E$57*AE$85*AE42/$D$42,Leadsheet!$E$57*AE$85*AD15)</f>
        <v>0</v>
      </c>
      <c r="AF88" s="428">
        <f>-IF(AF5&gt;Leadsheet!$E$12,Leadsheet!$E$57*AF$85*AF42/$D$42,Leadsheet!$E$57*AF$85*AE15)</f>
        <v>0</v>
      </c>
      <c r="AG88" s="428">
        <f>-IF(AG5&gt;Leadsheet!$E$12,Leadsheet!$E$57*AG$85*AG42/$D$42,Leadsheet!$E$57*AG$85*AF15)</f>
        <v>0</v>
      </c>
      <c r="AH88" s="428">
        <f>-IF(AH5&gt;Leadsheet!$E$12,Leadsheet!$E$57*AH$85*AH42/$D$42,Leadsheet!$E$57*AH$85*AG15)</f>
        <v>0</v>
      </c>
      <c r="AI88" s="428">
        <f>-IF(AI5&gt;Leadsheet!$E$12,Leadsheet!$E$57*AI$85*AI42/$D$42,Leadsheet!$E$57*AI$85*AH15)</f>
        <v>0</v>
      </c>
      <c r="AJ88" s="428">
        <f>-IF(AJ5&gt;Leadsheet!$E$12,Leadsheet!$E$57*AJ$85*AJ42/$D$42,Leadsheet!$E$57*AJ$85*AI15)</f>
        <v>0</v>
      </c>
      <c r="AK88" s="428">
        <f>-IF(AK5&gt;Leadsheet!$E$12,Leadsheet!$E$57*AK$85*AK42/$D$42,Leadsheet!$E$57*AK$85*AJ15)</f>
        <v>0</v>
      </c>
      <c r="AL88" s="428">
        <f>-IF(AL5&gt;Leadsheet!$E$12,Leadsheet!$E$57*AL$85*AL42/$D$42,Leadsheet!$E$57*AL$85*AK15)</f>
        <v>0</v>
      </c>
      <c r="AM88" s="428">
        <f>-IF(AM5&gt;Leadsheet!$E$12,Leadsheet!$E$57*AM$85*AM42/$D$42,Leadsheet!$E$57*AM$85*AL15)</f>
        <v>0</v>
      </c>
      <c r="AN88" s="428">
        <f>-IF(AN5&gt;Leadsheet!$E$12,Leadsheet!$E$57*AN$85*AN42/$D$42,Leadsheet!$E$57*AN$85*AM15)</f>
        <v>0</v>
      </c>
      <c r="AO88" s="428">
        <f>-IF(AO5&gt;Leadsheet!$E$12,Leadsheet!$E$57*AO$85*AO42/$D$42,Leadsheet!$E$57*AO$85*AN15)</f>
        <v>0</v>
      </c>
      <c r="AP88" s="428">
        <f>-IF(AP5&gt;Leadsheet!$E$12,Leadsheet!$E$57*AP$85*AP42/$D$42,Leadsheet!$E$57*AP$85*AO15)</f>
        <v>0</v>
      </c>
      <c r="AQ88" s="428">
        <f>-IF(AQ5&gt;Leadsheet!$E$12,Leadsheet!$E$57*AQ$85*AQ42/$D$42,Leadsheet!$E$57*AQ$85*AP15)</f>
        <v>0</v>
      </c>
      <c r="AR88" s="428">
        <f>-IF(AR5&gt;Leadsheet!$E$12,Leadsheet!$E$57*AR$85*AR42/$D$42,Leadsheet!$E$57*AR$85*AQ15)</f>
        <v>0</v>
      </c>
      <c r="AS88" s="428">
        <f>-IF(AS5&gt;Leadsheet!$E$12,Leadsheet!$E$57*AS$85*AS42/$D$42,Leadsheet!$E$57*AS$85*AR15)</f>
        <v>0</v>
      </c>
      <c r="AT88" s="428">
        <f>-IF(AT5&gt;Leadsheet!$E$12,Leadsheet!$E$57*AT$85*AT42/$D$42,Leadsheet!$E$57*AT$85*AS15)</f>
        <v>0</v>
      </c>
      <c r="AU88" s="428">
        <f>-IF(AU5&gt;Leadsheet!$E$12,Leadsheet!$E$57*AU$85*AU42/$D$42,Leadsheet!$E$57*AU$85*AT15)</f>
        <v>0</v>
      </c>
      <c r="AV88" s="428">
        <f>-IF(AV5&gt;Leadsheet!$E$12,Leadsheet!$E$57*AV$85*AV42/$D$42,Leadsheet!$E$57*AV$85*AU15)</f>
        <v>0</v>
      </c>
      <c r="AW88" s="428">
        <f>-IF(AW5&gt;Leadsheet!$E$12,Leadsheet!$E$57*AW$85*AW42/$D$42,Leadsheet!$E$57*AW$85*AV15)</f>
        <v>0</v>
      </c>
      <c r="AX88" s="428">
        <f>-IF(AX5&gt;Leadsheet!$E$12,Leadsheet!$E$57*AX$85*AX42/$D$42,Leadsheet!$E$57*AX$85*AW15)</f>
        <v>0</v>
      </c>
      <c r="AY88" s="428">
        <f>-IF(AY5&gt;Leadsheet!$E$12,Leadsheet!$E$57*AY$85*AY42/$D$42,Leadsheet!$E$57*AY$85*AX15)</f>
        <v>0</v>
      </c>
      <c r="AZ88" s="428">
        <f>-IF(AZ5&gt;Leadsheet!$E$12,Leadsheet!$E$57*AZ$85*AZ42/$D$42,Leadsheet!$E$57*AZ$85*AY15)</f>
        <v>0</v>
      </c>
      <c r="BA88" s="428">
        <f>-IF(BA5&gt;Leadsheet!$E$12,Leadsheet!$E$57*BA$85*BA42/$D$42,Leadsheet!$E$57*BA$85*AZ15)</f>
        <v>0</v>
      </c>
      <c r="BB88" s="428">
        <f>-IF(BB5&gt;Leadsheet!$E$12,Leadsheet!$E$57*BB$85*BB42/$D$42,Leadsheet!$E$57*BB$85*BA15)</f>
        <v>0</v>
      </c>
      <c r="BC88" s="428">
        <f>-IF(BC5&gt;Leadsheet!$E$12,Leadsheet!$E$57*BC$85*BC42/$D$42,Leadsheet!$E$57*BC$85*BB15)</f>
        <v>0</v>
      </c>
      <c r="BD88" s="428">
        <f>-IF(BD5&gt;Leadsheet!$E$12,Leadsheet!$E$57*BD$85*BD42/$D$42,Leadsheet!$E$57*BD$85*BC15)</f>
        <v>0</v>
      </c>
      <c r="BE88" s="428">
        <f>-IF(BE5&gt;Leadsheet!$E$12,Leadsheet!$E$57*BE$85*BE42/$D$42,Leadsheet!$E$57*BE$85*BD15)</f>
        <v>0</v>
      </c>
      <c r="BF88" s="428">
        <f>-IF(BF5&gt;Leadsheet!$E$12,Leadsheet!$E$57*BF$85*BF42/$D$42,Leadsheet!$E$57*BF$85*BE15)</f>
        <v>0</v>
      </c>
      <c r="BG88" s="428">
        <f>-IF(BG5&gt;Leadsheet!$E$12,Leadsheet!$E$57*BG$85*BG42/$D$42,Leadsheet!$E$57*BG$85*BF15)</f>
        <v>0</v>
      </c>
      <c r="BH88" s="428">
        <f>-IF(BH5&gt;Leadsheet!$E$12,Leadsheet!$E$57*BH$85*BH42/$D$42,Leadsheet!$E$57*BH$85*BG15)</f>
        <v>0</v>
      </c>
      <c r="BI88" s="428">
        <f>-IF(BI5&gt;Leadsheet!$E$12,Leadsheet!$E$57*BI$85*BI42/$D$42,Leadsheet!$E$57*BI$85*BH15)</f>
        <v>0</v>
      </c>
      <c r="BJ88" s="428">
        <f>-IF(BJ5&gt;Leadsheet!$E$12,Leadsheet!$E$57*BJ$85*BJ42/$D$42,Leadsheet!$E$57*BJ$85*BI15)</f>
        <v>0</v>
      </c>
      <c r="BK88" s="428">
        <f>-IF(BK5&gt;Leadsheet!$E$12,Leadsheet!$E$57*BK$85*BK42/$D$42,Leadsheet!$E$57*BK$85*BJ15)</f>
        <v>0</v>
      </c>
      <c r="BL88" s="428">
        <f>-IF(BL5&gt;Leadsheet!$E$12,Leadsheet!$E$57*BL$85*BL42/$D$42,Leadsheet!$E$57*BL$85*BK15)</f>
        <v>0</v>
      </c>
    </row>
    <row r="89" spans="2:64" x14ac:dyDescent="0.15">
      <c r="C89" s="359" t="s">
        <v>435</v>
      </c>
      <c r="E89" s="335"/>
      <c r="F89" s="335"/>
      <c r="G89" s="335"/>
      <c r="H89" s="335"/>
      <c r="I89" s="335"/>
      <c r="J89" s="335"/>
      <c r="K89" s="335"/>
      <c r="L89" s="335"/>
      <c r="M89" s="335"/>
      <c r="N89" s="335"/>
      <c r="O89" s="335"/>
      <c r="P89" s="335"/>
      <c r="Q89" s="335"/>
      <c r="R89" s="335"/>
      <c r="S89" s="335"/>
      <c r="T89" s="335"/>
      <c r="U89" s="335"/>
      <c r="V89" s="335"/>
      <c r="W89" s="335"/>
      <c r="X89" s="335"/>
      <c r="Y89" s="335"/>
      <c r="Z89" s="335"/>
      <c r="AA89" s="335"/>
      <c r="AB89" s="335"/>
      <c r="AC89" s="335"/>
      <c r="AD89" s="335"/>
      <c r="AE89" s="335"/>
      <c r="AF89" s="335"/>
      <c r="AG89" s="335"/>
      <c r="AH89" s="335"/>
      <c r="AI89" s="335"/>
      <c r="AJ89" s="335"/>
      <c r="AK89" s="335"/>
      <c r="AL89" s="335"/>
      <c r="AM89" s="335"/>
      <c r="AN89" s="335"/>
      <c r="AO89" s="335"/>
      <c r="AP89" s="335"/>
      <c r="AQ89" s="335"/>
      <c r="AR89" s="335"/>
      <c r="AS89" s="335"/>
      <c r="AT89" s="335"/>
      <c r="AU89" s="335"/>
      <c r="AV89" s="335"/>
      <c r="AW89" s="335"/>
      <c r="AX89" s="335"/>
      <c r="AY89" s="335"/>
      <c r="AZ89" s="335"/>
      <c r="BA89" s="335"/>
      <c r="BB89" s="335"/>
      <c r="BC89" s="335"/>
      <c r="BD89" s="335"/>
      <c r="BE89" s="335"/>
      <c r="BF89" s="335"/>
      <c r="BG89" s="335"/>
      <c r="BH89" s="335"/>
      <c r="BI89" s="335"/>
      <c r="BJ89" s="335"/>
      <c r="BK89" s="335"/>
      <c r="BL89" s="335"/>
    </row>
    <row r="90" spans="2:64" x14ac:dyDescent="0.15">
      <c r="E90" s="335"/>
      <c r="F90" s="335"/>
      <c r="G90" s="335"/>
      <c r="H90" s="335"/>
      <c r="I90" s="335"/>
      <c r="J90" s="335"/>
      <c r="K90" s="335"/>
      <c r="L90" s="335"/>
      <c r="M90" s="335"/>
      <c r="N90" s="335"/>
      <c r="O90" s="335"/>
      <c r="P90" s="335"/>
      <c r="Q90" s="335"/>
      <c r="R90" s="335"/>
      <c r="S90" s="335"/>
      <c r="T90" s="335"/>
      <c r="U90" s="335"/>
      <c r="V90" s="335"/>
      <c r="W90" s="335"/>
      <c r="X90" s="335"/>
      <c r="Y90" s="335"/>
      <c r="Z90" s="335"/>
      <c r="AA90" s="335"/>
      <c r="AB90" s="335"/>
      <c r="AC90" s="335"/>
      <c r="AD90" s="335"/>
      <c r="AE90" s="335"/>
      <c r="AF90" s="335"/>
      <c r="AG90" s="335"/>
      <c r="AH90" s="335"/>
      <c r="AI90" s="335"/>
      <c r="AJ90" s="335"/>
      <c r="AK90" s="335"/>
      <c r="AL90" s="335"/>
      <c r="AM90" s="335"/>
      <c r="AN90" s="335"/>
      <c r="AO90" s="335"/>
      <c r="AP90" s="335"/>
      <c r="AQ90" s="335"/>
      <c r="AR90" s="335"/>
      <c r="AS90" s="335"/>
      <c r="AT90" s="335"/>
      <c r="AU90" s="335"/>
      <c r="AV90" s="335"/>
      <c r="AW90" s="335"/>
      <c r="AX90" s="335"/>
      <c r="AY90" s="335"/>
      <c r="AZ90" s="335"/>
      <c r="BA90" s="335"/>
      <c r="BB90" s="335"/>
      <c r="BC90" s="335"/>
      <c r="BD90" s="335"/>
      <c r="BE90" s="335"/>
      <c r="BF90" s="335"/>
      <c r="BG90" s="335"/>
      <c r="BH90" s="335"/>
      <c r="BI90" s="335"/>
      <c r="BJ90" s="335"/>
      <c r="BK90" s="335"/>
      <c r="BL90" s="335"/>
    </row>
    <row r="91" spans="2:64" x14ac:dyDescent="0.15">
      <c r="B91" s="337" t="s">
        <v>532</v>
      </c>
      <c r="E91" s="406">
        <f>SUM(E92:E93)</f>
        <v>-4.2219526619825874E-4</v>
      </c>
      <c r="F91" s="406">
        <f t="shared" ref="F91:BL91" si="19">SUM(F92:F93)</f>
        <v>0</v>
      </c>
      <c r="G91" s="406">
        <f t="shared" si="19"/>
        <v>0</v>
      </c>
      <c r="H91" s="406">
        <f t="shared" si="19"/>
        <v>0</v>
      </c>
      <c r="I91" s="406">
        <f t="shared" si="19"/>
        <v>0</v>
      </c>
      <c r="J91" s="406">
        <f t="shared" si="19"/>
        <v>0</v>
      </c>
      <c r="K91" s="406">
        <f t="shared" si="19"/>
        <v>0</v>
      </c>
      <c r="L91" s="406">
        <f t="shared" si="19"/>
        <v>0</v>
      </c>
      <c r="M91" s="406">
        <f t="shared" si="19"/>
        <v>0</v>
      </c>
      <c r="N91" s="406">
        <f t="shared" si="19"/>
        <v>0</v>
      </c>
      <c r="O91" s="406">
        <f t="shared" si="19"/>
        <v>0</v>
      </c>
      <c r="P91" s="406">
        <f t="shared" si="19"/>
        <v>0</v>
      </c>
      <c r="Q91" s="406">
        <f t="shared" si="19"/>
        <v>0</v>
      </c>
      <c r="R91" s="406">
        <f t="shared" si="19"/>
        <v>0</v>
      </c>
      <c r="S91" s="406">
        <f t="shared" si="19"/>
        <v>0</v>
      </c>
      <c r="T91" s="406">
        <f t="shared" si="19"/>
        <v>0</v>
      </c>
      <c r="U91" s="406">
        <f t="shared" si="19"/>
        <v>0</v>
      </c>
      <c r="V91" s="406">
        <f t="shared" si="19"/>
        <v>0</v>
      </c>
      <c r="W91" s="406">
        <f t="shared" si="19"/>
        <v>0</v>
      </c>
      <c r="X91" s="406">
        <f t="shared" si="19"/>
        <v>0</v>
      </c>
      <c r="Y91" s="406">
        <f t="shared" si="19"/>
        <v>0</v>
      </c>
      <c r="Z91" s="406">
        <f t="shared" si="19"/>
        <v>0</v>
      </c>
      <c r="AA91" s="406">
        <f t="shared" si="19"/>
        <v>0</v>
      </c>
      <c r="AB91" s="406">
        <f t="shared" si="19"/>
        <v>0</v>
      </c>
      <c r="AC91" s="406">
        <f t="shared" si="19"/>
        <v>0</v>
      </c>
      <c r="AD91" s="406">
        <f t="shared" si="19"/>
        <v>0</v>
      </c>
      <c r="AE91" s="406">
        <f t="shared" si="19"/>
        <v>0</v>
      </c>
      <c r="AF91" s="406">
        <f t="shared" si="19"/>
        <v>0</v>
      </c>
      <c r="AG91" s="406">
        <f t="shared" si="19"/>
        <v>0</v>
      </c>
      <c r="AH91" s="406">
        <f t="shared" si="19"/>
        <v>0</v>
      </c>
      <c r="AI91" s="406">
        <f t="shared" si="19"/>
        <v>0</v>
      </c>
      <c r="AJ91" s="406">
        <f t="shared" si="19"/>
        <v>0</v>
      </c>
      <c r="AK91" s="406">
        <f t="shared" si="19"/>
        <v>0</v>
      </c>
      <c r="AL91" s="406">
        <f t="shared" si="19"/>
        <v>0</v>
      </c>
      <c r="AM91" s="406">
        <f t="shared" si="19"/>
        <v>0</v>
      </c>
      <c r="AN91" s="406">
        <f t="shared" si="19"/>
        <v>0</v>
      </c>
      <c r="AO91" s="406">
        <f t="shared" si="19"/>
        <v>0</v>
      </c>
      <c r="AP91" s="406">
        <f t="shared" si="19"/>
        <v>0</v>
      </c>
      <c r="AQ91" s="406">
        <f t="shared" si="19"/>
        <v>0</v>
      </c>
      <c r="AR91" s="406">
        <f t="shared" si="19"/>
        <v>0</v>
      </c>
      <c r="AS91" s="406">
        <f t="shared" si="19"/>
        <v>0</v>
      </c>
      <c r="AT91" s="406">
        <f t="shared" si="19"/>
        <v>0</v>
      </c>
      <c r="AU91" s="406">
        <f t="shared" si="19"/>
        <v>0</v>
      </c>
      <c r="AV91" s="406">
        <f t="shared" si="19"/>
        <v>0</v>
      </c>
      <c r="AW91" s="406">
        <f t="shared" si="19"/>
        <v>0</v>
      </c>
      <c r="AX91" s="406">
        <f t="shared" si="19"/>
        <v>0</v>
      </c>
      <c r="AY91" s="406">
        <f t="shared" si="19"/>
        <v>0</v>
      </c>
      <c r="AZ91" s="406">
        <f t="shared" si="19"/>
        <v>0</v>
      </c>
      <c r="BA91" s="406">
        <f t="shared" si="19"/>
        <v>0</v>
      </c>
      <c r="BB91" s="406">
        <f t="shared" si="19"/>
        <v>0</v>
      </c>
      <c r="BC91" s="406">
        <f t="shared" si="19"/>
        <v>0</v>
      </c>
      <c r="BD91" s="406">
        <f t="shared" si="19"/>
        <v>0</v>
      </c>
      <c r="BE91" s="406">
        <f t="shared" si="19"/>
        <v>0</v>
      </c>
      <c r="BF91" s="406">
        <f t="shared" si="19"/>
        <v>0</v>
      </c>
      <c r="BG91" s="406">
        <f t="shared" si="19"/>
        <v>0</v>
      </c>
      <c r="BH91" s="406">
        <f t="shared" si="19"/>
        <v>0</v>
      </c>
      <c r="BI91" s="406">
        <f t="shared" si="19"/>
        <v>0</v>
      </c>
      <c r="BJ91" s="406">
        <f t="shared" si="19"/>
        <v>0</v>
      </c>
      <c r="BK91" s="406">
        <f t="shared" si="19"/>
        <v>0</v>
      </c>
      <c r="BL91" s="406">
        <f t="shared" si="19"/>
        <v>0</v>
      </c>
    </row>
    <row r="92" spans="2:64" x14ac:dyDescent="0.15">
      <c r="B92" s="337"/>
      <c r="C92" s="257" t="s">
        <v>533</v>
      </c>
      <c r="E92" s="335">
        <f>IF(E5&gt;Leadsheet!$E$12,0,-E15*Leadsheet!$E$64)</f>
        <v>-4.2219526619825874E-4</v>
      </c>
      <c r="F92" s="335">
        <f>IF(F5&gt;Leadsheet!$E$12,0,-F15*Leadsheet!$E$64)</f>
        <v>0</v>
      </c>
      <c r="G92" s="335">
        <f>IF(G5&gt;Leadsheet!$E$12,0,-G15*Leadsheet!$E$64)</f>
        <v>0</v>
      </c>
      <c r="H92" s="335">
        <f>IF(H5&gt;Leadsheet!$E$12,0,-H15*Leadsheet!$E$64)</f>
        <v>0</v>
      </c>
      <c r="I92" s="335">
        <f>IF(I5&gt;Leadsheet!$E$12,0,-I15*Leadsheet!$E$64)</f>
        <v>0</v>
      </c>
      <c r="J92" s="335">
        <f>IF(J5&gt;Leadsheet!$E$12,0,-J15*Leadsheet!$E$64)</f>
        <v>0</v>
      </c>
      <c r="K92" s="335">
        <f>IF(K5&gt;Leadsheet!$E$12,0,-K15*Leadsheet!$E$64)</f>
        <v>0</v>
      </c>
      <c r="L92" s="335">
        <f>IF(L5&gt;Leadsheet!$E$12,0,-L15*Leadsheet!$E$64)</f>
        <v>0</v>
      </c>
      <c r="M92" s="335">
        <f>IF(M5&gt;Leadsheet!$E$12,0,-M15*Leadsheet!$E$64)</f>
        <v>0</v>
      </c>
      <c r="N92" s="335">
        <f>IF(N5&gt;Leadsheet!$E$12,0,-N15*Leadsheet!$E$64)</f>
        <v>0</v>
      </c>
      <c r="O92" s="335">
        <f>IF(O5&gt;Leadsheet!$E$12,0,-O15*Leadsheet!$E$64)</f>
        <v>0</v>
      </c>
      <c r="P92" s="335">
        <f>IF(P5&gt;Leadsheet!$E$12,0,-P15*Leadsheet!$E$64)</f>
        <v>0</v>
      </c>
      <c r="Q92" s="335">
        <f>IF(Q5&gt;Leadsheet!$E$12,0,-Q15*Leadsheet!$E$64)</f>
        <v>0</v>
      </c>
      <c r="R92" s="335">
        <f>IF(R5&gt;Leadsheet!$E$12,0,-R15*Leadsheet!$E$64)</f>
        <v>0</v>
      </c>
      <c r="S92" s="335">
        <f>IF(S5&gt;Leadsheet!$E$12,0,-S15*Leadsheet!$E$64)</f>
        <v>0</v>
      </c>
      <c r="T92" s="335">
        <f>IF(T5&gt;Leadsheet!$E$12,0,-T15*Leadsheet!$E$64)</f>
        <v>0</v>
      </c>
      <c r="U92" s="335">
        <f>IF(U5&gt;Leadsheet!$E$12,0,-U15*Leadsheet!$E$64)</f>
        <v>0</v>
      </c>
      <c r="V92" s="335">
        <f>IF(V5&gt;Leadsheet!$E$12,0,-V15*Leadsheet!$E$64)</f>
        <v>0</v>
      </c>
      <c r="W92" s="335">
        <f>IF(W5&gt;Leadsheet!$E$12,0,-W15*Leadsheet!$E$64)</f>
        <v>0</v>
      </c>
      <c r="X92" s="335">
        <f>IF(X5&gt;Leadsheet!$E$12,0,-X15*Leadsheet!$E$64)</f>
        <v>0</v>
      </c>
      <c r="Y92" s="335">
        <f>IF(Y5&gt;Leadsheet!$E$12,0,-Y15*Leadsheet!$E$64)</f>
        <v>0</v>
      </c>
      <c r="Z92" s="335">
        <f>IF(Z5&gt;Leadsheet!$E$12,0,-Z15*Leadsheet!$E$64)</f>
        <v>0</v>
      </c>
      <c r="AA92" s="335">
        <f>IF(AA5&gt;Leadsheet!$E$12,0,-AA15*Leadsheet!$E$64)</f>
        <v>0</v>
      </c>
      <c r="AB92" s="335">
        <f>IF(AB5&gt;Leadsheet!$E$12,0,-AB15*Leadsheet!$E$64)</f>
        <v>0</v>
      </c>
      <c r="AC92" s="335">
        <f>IF(AC5&gt;Leadsheet!$E$12,0,-AC15*Leadsheet!$E$64)</f>
        <v>0</v>
      </c>
      <c r="AD92" s="335">
        <f>IF(AD5&gt;Leadsheet!$E$12,0,-AD15*Leadsheet!$E$64)</f>
        <v>0</v>
      </c>
      <c r="AE92" s="335">
        <f>IF(AE5&gt;Leadsheet!$E$12,0,-AE15*Leadsheet!$E$64)</f>
        <v>0</v>
      </c>
      <c r="AF92" s="335">
        <f>IF(AF5&gt;Leadsheet!$E$12,0,-AF15*Leadsheet!$E$64)</f>
        <v>0</v>
      </c>
      <c r="AG92" s="335">
        <f>IF(AG5&gt;Leadsheet!$E$12,0,-AG15*Leadsheet!$E$64)</f>
        <v>0</v>
      </c>
      <c r="AH92" s="335">
        <f>IF(AH5&gt;Leadsheet!$E$12,0,-AH15*Leadsheet!$E$64)</f>
        <v>0</v>
      </c>
      <c r="AI92" s="335">
        <f>IF(AI5&gt;Leadsheet!$E$12,0,-AI15*Leadsheet!$E$64)</f>
        <v>0</v>
      </c>
      <c r="AJ92" s="335">
        <f>IF(AJ5&gt;Leadsheet!$E$12,0,-AJ15*Leadsheet!$E$64)</f>
        <v>0</v>
      </c>
      <c r="AK92" s="335">
        <f>IF(AK5&gt;Leadsheet!$E$12,0,-AK15*Leadsheet!$E$64)</f>
        <v>0</v>
      </c>
      <c r="AL92" s="335">
        <f>IF(AL5&gt;Leadsheet!$E$12,0,-AL15*Leadsheet!$E$64)</f>
        <v>0</v>
      </c>
      <c r="AM92" s="335">
        <f>IF(AM5&gt;Leadsheet!$E$12,0,-AM15*Leadsheet!$E$64)</f>
        <v>0</v>
      </c>
      <c r="AN92" s="335">
        <f>IF(AN5&gt;Leadsheet!$E$12,0,-AN15*Leadsheet!$E$64)</f>
        <v>0</v>
      </c>
      <c r="AO92" s="335">
        <f>IF(AO5&gt;Leadsheet!$E$12,0,-AO15*Leadsheet!$E$64)</f>
        <v>0</v>
      </c>
      <c r="AP92" s="335">
        <f>IF(AP5&gt;Leadsheet!$E$12,0,-AP15*Leadsheet!$E$64)</f>
        <v>0</v>
      </c>
      <c r="AQ92" s="335">
        <f>IF(AQ5&gt;Leadsheet!$E$12,0,-AQ15*Leadsheet!$E$64)</f>
        <v>0</v>
      </c>
      <c r="AR92" s="335">
        <f>IF(AR5&gt;Leadsheet!$E$12,0,-AR15*Leadsheet!$E$64)</f>
        <v>0</v>
      </c>
      <c r="AS92" s="335">
        <f>IF(AS5&gt;Leadsheet!$E$12,0,-AS15*Leadsheet!$E$64)</f>
        <v>0</v>
      </c>
      <c r="AT92" s="335">
        <f>IF(AT5&gt;Leadsheet!$E$12,0,-AT15*Leadsheet!$E$64)</f>
        <v>0</v>
      </c>
      <c r="AU92" s="335">
        <f>IF(AU5&gt;Leadsheet!$E$12,0,-AU15*Leadsheet!$E$64)</f>
        <v>0</v>
      </c>
      <c r="AV92" s="335">
        <f>IF(AV5&gt;Leadsheet!$E$12,0,-AV15*Leadsheet!$E$64)</f>
        <v>0</v>
      </c>
      <c r="AW92" s="335">
        <f>IF(AW5&gt;Leadsheet!$E$12,0,-AW15*Leadsheet!$E$64)</f>
        <v>0</v>
      </c>
      <c r="AX92" s="335">
        <f>IF(AX5&gt;Leadsheet!$E$12,0,-AX15*Leadsheet!$E$64)</f>
        <v>0</v>
      </c>
      <c r="AY92" s="335">
        <f>IF(AY5&gt;Leadsheet!$E$12,0,-AY15*Leadsheet!$E$64)</f>
        <v>0</v>
      </c>
      <c r="AZ92" s="335">
        <f>IF(AZ5&gt;Leadsheet!$E$12,0,-AZ15*Leadsheet!$E$64)</f>
        <v>0</v>
      </c>
      <c r="BA92" s="335">
        <f>IF(BA5&gt;Leadsheet!$E$12,0,-BA15*Leadsheet!$E$64)</f>
        <v>0</v>
      </c>
      <c r="BB92" s="335">
        <f>IF(BB5&gt;Leadsheet!$E$12,0,-BB15*Leadsheet!$E$64)</f>
        <v>0</v>
      </c>
      <c r="BC92" s="335">
        <f>IF(BC5&gt;Leadsheet!$E$12,0,-BC15*Leadsheet!$E$64)</f>
        <v>0</v>
      </c>
      <c r="BD92" s="335">
        <f>IF(BD5&gt;Leadsheet!$E$12,0,-BD15*Leadsheet!$E$64)</f>
        <v>0</v>
      </c>
      <c r="BE92" s="335">
        <f>IF(BE5&gt;Leadsheet!$E$12,0,-BE15*Leadsheet!$E$64)</f>
        <v>0</v>
      </c>
      <c r="BF92" s="335">
        <f>IF(BF5&gt;Leadsheet!$E$12,0,-BF15*Leadsheet!$E$64)</f>
        <v>0</v>
      </c>
      <c r="BG92" s="335">
        <f>IF(BG5&gt;Leadsheet!$E$12,0,-BG15*Leadsheet!$E$64)</f>
        <v>0</v>
      </c>
      <c r="BH92" s="335">
        <f>IF(BH5&gt;Leadsheet!$E$12,0,-BH15*Leadsheet!$E$64)</f>
        <v>0</v>
      </c>
      <c r="BI92" s="335">
        <f>IF(BI5&gt;Leadsheet!$E$12,0,-BI15*Leadsheet!$E$64)</f>
        <v>0</v>
      </c>
      <c r="BJ92" s="335">
        <f>IF(BJ5&gt;Leadsheet!$E$12,0,-BJ15*Leadsheet!$E$64)</f>
        <v>0</v>
      </c>
      <c r="BK92" s="335">
        <f>IF(BK5&gt;Leadsheet!$E$12,0,-BK15*Leadsheet!$E$64)</f>
        <v>0</v>
      </c>
      <c r="BL92" s="335">
        <f>IF(BL5&gt;Leadsheet!$E$12,0,-BL15*Leadsheet!$E$64)</f>
        <v>0</v>
      </c>
    </row>
    <row r="93" spans="2:64" x14ac:dyDescent="0.15">
      <c r="E93" s="330"/>
      <c r="F93" s="330"/>
      <c r="G93" s="330"/>
      <c r="H93" s="330"/>
      <c r="I93" s="330"/>
      <c r="J93" s="330"/>
      <c r="K93" s="330"/>
      <c r="L93" s="330"/>
      <c r="M93" s="330"/>
      <c r="N93" s="330"/>
      <c r="O93" s="330"/>
      <c r="P93" s="330"/>
      <c r="Q93" s="330"/>
      <c r="R93" s="330"/>
      <c r="S93" s="330"/>
      <c r="T93" s="330"/>
      <c r="U93" s="330"/>
      <c r="V93" s="330"/>
      <c r="W93" s="330"/>
      <c r="X93" s="330"/>
      <c r="Y93" s="330"/>
      <c r="Z93" s="330"/>
      <c r="AA93" s="330"/>
      <c r="AB93" s="330"/>
      <c r="AC93" s="330"/>
      <c r="AD93" s="330"/>
      <c r="AE93" s="330"/>
      <c r="AF93" s="330"/>
      <c r="AG93" s="330"/>
      <c r="AH93" s="330"/>
      <c r="AI93" s="330"/>
      <c r="AJ93" s="330"/>
      <c r="AK93" s="330"/>
      <c r="AL93" s="330"/>
      <c r="AM93" s="330"/>
      <c r="AN93" s="330"/>
      <c r="AO93" s="330"/>
      <c r="AP93" s="330"/>
      <c r="AQ93" s="330"/>
      <c r="AR93" s="330"/>
      <c r="AS93" s="330"/>
      <c r="AT93" s="330"/>
      <c r="AU93" s="330"/>
      <c r="AV93" s="330"/>
      <c r="AW93" s="330"/>
      <c r="AX93" s="330"/>
      <c r="AY93" s="330"/>
      <c r="AZ93" s="330"/>
      <c r="BA93" s="330"/>
      <c r="BB93" s="330"/>
      <c r="BC93" s="330"/>
      <c r="BD93" s="330"/>
      <c r="BE93" s="330"/>
      <c r="BF93" s="330"/>
      <c r="BG93" s="330"/>
      <c r="BH93" s="330"/>
      <c r="BI93" s="330"/>
      <c r="BJ93" s="330"/>
      <c r="BK93" s="330"/>
      <c r="BL93" s="330"/>
    </row>
    <row r="94" spans="2:64" x14ac:dyDescent="0.15">
      <c r="E94" s="330"/>
      <c r="F94" s="330"/>
      <c r="G94" s="330"/>
      <c r="H94" s="330"/>
      <c r="I94" s="330"/>
      <c r="J94" s="330"/>
      <c r="K94" s="330"/>
      <c r="L94" s="330"/>
      <c r="M94" s="330"/>
      <c r="N94" s="330"/>
      <c r="O94" s="330"/>
      <c r="P94" s="330"/>
      <c r="Q94" s="330"/>
      <c r="R94" s="330"/>
      <c r="S94" s="330"/>
      <c r="T94" s="330"/>
      <c r="U94" s="330"/>
      <c r="V94" s="330"/>
      <c r="W94" s="330"/>
      <c r="X94" s="330"/>
      <c r="Y94" s="330"/>
      <c r="Z94" s="330"/>
      <c r="AA94" s="330"/>
      <c r="AB94" s="330"/>
      <c r="AC94" s="330"/>
      <c r="AD94" s="330"/>
      <c r="AE94" s="330"/>
      <c r="AF94" s="330"/>
      <c r="AG94" s="330"/>
      <c r="AH94" s="330"/>
      <c r="AI94" s="330"/>
      <c r="AJ94" s="330"/>
      <c r="AK94" s="330"/>
      <c r="AL94" s="330"/>
      <c r="AM94" s="330"/>
      <c r="AN94" s="330"/>
      <c r="AO94" s="330"/>
      <c r="AP94" s="330"/>
      <c r="AQ94" s="330"/>
      <c r="AR94" s="330"/>
      <c r="AS94" s="330"/>
      <c r="AT94" s="330"/>
      <c r="AU94" s="330"/>
      <c r="AV94" s="330"/>
      <c r="AW94" s="330"/>
      <c r="AX94" s="330"/>
      <c r="AY94" s="330"/>
      <c r="AZ94" s="330"/>
      <c r="BA94" s="330"/>
      <c r="BB94" s="330"/>
      <c r="BC94" s="330"/>
      <c r="BD94" s="330"/>
      <c r="BE94" s="330"/>
      <c r="BF94" s="330"/>
      <c r="BG94" s="330"/>
      <c r="BH94" s="330"/>
      <c r="BI94" s="330"/>
      <c r="BJ94" s="330"/>
      <c r="BK94" s="330"/>
      <c r="BL94" s="330"/>
    </row>
    <row r="95" spans="2:64" s="337" customFormat="1" x14ac:dyDescent="0.15">
      <c r="B95" s="337" t="s">
        <v>534</v>
      </c>
      <c r="E95" s="406">
        <f>SUM(E96:E99)</f>
        <v>-5.6791732395531626E-2</v>
      </c>
      <c r="F95" s="406">
        <f t="shared" ref="F95:BL95" si="20">SUM(F96:F99)</f>
        <v>0</v>
      </c>
      <c r="G95" s="406">
        <f t="shared" si="20"/>
        <v>0</v>
      </c>
      <c r="H95" s="406">
        <f t="shared" si="20"/>
        <v>0</v>
      </c>
      <c r="I95" s="406">
        <f t="shared" si="20"/>
        <v>0</v>
      </c>
      <c r="J95" s="406">
        <f t="shared" si="20"/>
        <v>0</v>
      </c>
      <c r="K95" s="406">
        <f t="shared" si="20"/>
        <v>0</v>
      </c>
      <c r="L95" s="406">
        <f t="shared" si="20"/>
        <v>0</v>
      </c>
      <c r="M95" s="406">
        <f t="shared" si="20"/>
        <v>0</v>
      </c>
      <c r="N95" s="406">
        <f t="shared" si="20"/>
        <v>0</v>
      </c>
      <c r="O95" s="406">
        <f t="shared" si="20"/>
        <v>0</v>
      </c>
      <c r="P95" s="406">
        <f t="shared" si="20"/>
        <v>0</v>
      </c>
      <c r="Q95" s="406">
        <f t="shared" si="20"/>
        <v>0</v>
      </c>
      <c r="R95" s="406">
        <f t="shared" si="20"/>
        <v>0</v>
      </c>
      <c r="S95" s="406">
        <f t="shared" si="20"/>
        <v>0</v>
      </c>
      <c r="T95" s="406">
        <f t="shared" si="20"/>
        <v>0</v>
      </c>
      <c r="U95" s="406">
        <f t="shared" si="20"/>
        <v>0</v>
      </c>
      <c r="V95" s="406">
        <f t="shared" si="20"/>
        <v>0</v>
      </c>
      <c r="W95" s="406">
        <f t="shared" si="20"/>
        <v>0</v>
      </c>
      <c r="X95" s="406">
        <f t="shared" si="20"/>
        <v>0</v>
      </c>
      <c r="Y95" s="406">
        <f t="shared" si="20"/>
        <v>0</v>
      </c>
      <c r="Z95" s="406">
        <f t="shared" si="20"/>
        <v>0</v>
      </c>
      <c r="AA95" s="406">
        <f t="shared" si="20"/>
        <v>0</v>
      </c>
      <c r="AB95" s="406">
        <f t="shared" si="20"/>
        <v>0</v>
      </c>
      <c r="AC95" s="406">
        <f t="shared" si="20"/>
        <v>0</v>
      </c>
      <c r="AD95" s="406">
        <f t="shared" si="20"/>
        <v>0</v>
      </c>
      <c r="AE95" s="406">
        <f t="shared" si="20"/>
        <v>0</v>
      </c>
      <c r="AF95" s="406">
        <f t="shared" si="20"/>
        <v>0</v>
      </c>
      <c r="AG95" s="406">
        <f t="shared" si="20"/>
        <v>0</v>
      </c>
      <c r="AH95" s="406">
        <f t="shared" si="20"/>
        <v>0</v>
      </c>
      <c r="AI95" s="406">
        <f t="shared" si="20"/>
        <v>0</v>
      </c>
      <c r="AJ95" s="406">
        <f t="shared" si="20"/>
        <v>0</v>
      </c>
      <c r="AK95" s="406">
        <f t="shared" si="20"/>
        <v>0</v>
      </c>
      <c r="AL95" s="406">
        <f t="shared" si="20"/>
        <v>0</v>
      </c>
      <c r="AM95" s="406">
        <f t="shared" si="20"/>
        <v>0</v>
      </c>
      <c r="AN95" s="406">
        <f t="shared" si="20"/>
        <v>0</v>
      </c>
      <c r="AO95" s="406">
        <f t="shared" si="20"/>
        <v>0</v>
      </c>
      <c r="AP95" s="406">
        <f t="shared" si="20"/>
        <v>0</v>
      </c>
      <c r="AQ95" s="406">
        <f t="shared" si="20"/>
        <v>0</v>
      </c>
      <c r="AR95" s="406">
        <f t="shared" si="20"/>
        <v>0</v>
      </c>
      <c r="AS95" s="406">
        <f t="shared" si="20"/>
        <v>0</v>
      </c>
      <c r="AT95" s="406">
        <f t="shared" si="20"/>
        <v>0</v>
      </c>
      <c r="AU95" s="406">
        <f t="shared" si="20"/>
        <v>0</v>
      </c>
      <c r="AV95" s="406">
        <f t="shared" si="20"/>
        <v>0</v>
      </c>
      <c r="AW95" s="406">
        <f t="shared" si="20"/>
        <v>0</v>
      </c>
      <c r="AX95" s="406">
        <f t="shared" si="20"/>
        <v>0</v>
      </c>
      <c r="AY95" s="406">
        <f t="shared" si="20"/>
        <v>0</v>
      </c>
      <c r="AZ95" s="406">
        <f t="shared" si="20"/>
        <v>0</v>
      </c>
      <c r="BA95" s="406">
        <f t="shared" si="20"/>
        <v>0</v>
      </c>
      <c r="BB95" s="406">
        <f t="shared" si="20"/>
        <v>0</v>
      </c>
      <c r="BC95" s="406">
        <f t="shared" si="20"/>
        <v>0</v>
      </c>
      <c r="BD95" s="406">
        <f t="shared" si="20"/>
        <v>0</v>
      </c>
      <c r="BE95" s="406">
        <f t="shared" si="20"/>
        <v>0</v>
      </c>
      <c r="BF95" s="406">
        <f t="shared" si="20"/>
        <v>0</v>
      </c>
      <c r="BG95" s="406">
        <f t="shared" si="20"/>
        <v>0</v>
      </c>
      <c r="BH95" s="406">
        <f t="shared" si="20"/>
        <v>0</v>
      </c>
      <c r="BI95" s="406">
        <f t="shared" si="20"/>
        <v>0</v>
      </c>
      <c r="BJ95" s="406">
        <f t="shared" si="20"/>
        <v>0</v>
      </c>
      <c r="BK95" s="406">
        <f t="shared" si="20"/>
        <v>0</v>
      </c>
      <c r="BL95" s="406">
        <f t="shared" si="20"/>
        <v>0</v>
      </c>
    </row>
    <row r="96" spans="2:64" x14ac:dyDescent="0.15">
      <c r="C96" s="257" t="s">
        <v>139</v>
      </c>
      <c r="E96" s="335">
        <f>-IF(E$5&gt;Leadsheet!$E$12,0,Leadsheet!$E67*SAP_Speadsheet!E$85*D$15)</f>
        <v>-9.077282642806923E-3</v>
      </c>
      <c r="F96" s="335">
        <f>-IF(F$5&gt;Leadsheet!$E$12,0,Leadsheet!$E67*SAP_Speadsheet!F$85*E$15)</f>
        <v>0</v>
      </c>
      <c r="G96" s="335">
        <f>-IF(G$5&gt;Leadsheet!$E$12,0,Leadsheet!$E67*SAP_Speadsheet!G$85*F$15)</f>
        <v>0</v>
      </c>
      <c r="H96" s="335">
        <f>-IF(H$5&gt;Leadsheet!$E$12,0,Leadsheet!$E67*SAP_Speadsheet!H$85*G$15)</f>
        <v>0</v>
      </c>
      <c r="I96" s="335">
        <f>-IF(I$5&gt;Leadsheet!$E$12,0,Leadsheet!$E67*SAP_Speadsheet!I$85*H$15)</f>
        <v>0</v>
      </c>
      <c r="J96" s="335">
        <f>-IF(J$5&gt;Leadsheet!$E$12,0,Leadsheet!$E67*SAP_Speadsheet!J$85*I$15)</f>
        <v>0</v>
      </c>
      <c r="K96" s="335">
        <f>-IF(K$5&gt;Leadsheet!$E$12,0,Leadsheet!$E67*SAP_Speadsheet!K$85*J$15)</f>
        <v>0</v>
      </c>
      <c r="L96" s="335">
        <f>-IF(L$5&gt;Leadsheet!$E$12,0,Leadsheet!$E67*SAP_Speadsheet!L$85*K$15)</f>
        <v>0</v>
      </c>
      <c r="M96" s="335">
        <f>-IF(M$5&gt;Leadsheet!$E$12,0,Leadsheet!$E67*SAP_Speadsheet!M$85*L$15)</f>
        <v>0</v>
      </c>
      <c r="N96" s="335">
        <f>-IF(N$5&gt;Leadsheet!$E$12,0,Leadsheet!$E67*SAP_Speadsheet!N$85*M$15)</f>
        <v>0</v>
      </c>
      <c r="O96" s="335">
        <f>-IF(O$5&gt;Leadsheet!$E$12,0,Leadsheet!$E67*SAP_Speadsheet!O$85*N$15)</f>
        <v>0</v>
      </c>
      <c r="P96" s="335">
        <f>-IF(P$5&gt;Leadsheet!$E$12,0,Leadsheet!$E67*SAP_Speadsheet!P$85*O$15)</f>
        <v>0</v>
      </c>
      <c r="Q96" s="335">
        <f>-IF(Q$5&gt;Leadsheet!$E$12,0,Leadsheet!$E67*SAP_Speadsheet!Q$85*P$15)</f>
        <v>0</v>
      </c>
      <c r="R96" s="335">
        <f>-IF(R$5&gt;Leadsheet!$E$12,0,Leadsheet!$E67*SAP_Speadsheet!R$85*Q$15)</f>
        <v>0</v>
      </c>
      <c r="S96" s="335">
        <f>-IF(S$5&gt;Leadsheet!$E$12,0,Leadsheet!$E67*SAP_Speadsheet!S$85*R$15)</f>
        <v>0</v>
      </c>
      <c r="T96" s="335">
        <f>-IF(T$5&gt;Leadsheet!$E$12,0,Leadsheet!$E67*SAP_Speadsheet!T$85*S$15)</f>
        <v>0</v>
      </c>
      <c r="U96" s="335">
        <f>-IF(U$5&gt;Leadsheet!$E$12,0,Leadsheet!$E67*SAP_Speadsheet!U$85*T$15)</f>
        <v>0</v>
      </c>
      <c r="V96" s="335">
        <f>-IF(V$5&gt;Leadsheet!$E$12,0,Leadsheet!$E67*SAP_Speadsheet!V$85*U$15)</f>
        <v>0</v>
      </c>
      <c r="W96" s="335">
        <f>-IF(W$5&gt;Leadsheet!$E$12,0,Leadsheet!$E67*SAP_Speadsheet!W$85*V$15)</f>
        <v>0</v>
      </c>
      <c r="X96" s="335">
        <f>-IF(X$5&gt;Leadsheet!$E$12,0,Leadsheet!$E67*SAP_Speadsheet!X$85*W$15)</f>
        <v>0</v>
      </c>
      <c r="Y96" s="335">
        <f>-IF(Y$5&gt;Leadsheet!$E$12,0,Leadsheet!$E67*SAP_Speadsheet!Y$85*X$15)</f>
        <v>0</v>
      </c>
      <c r="Z96" s="335">
        <f>-IF(Z$5&gt;Leadsheet!$E$12,0,Leadsheet!$E67*SAP_Speadsheet!Z$85*Y$15)</f>
        <v>0</v>
      </c>
      <c r="AA96" s="335">
        <f>-IF(AA$5&gt;Leadsheet!$E$12,0,Leadsheet!$E67*SAP_Speadsheet!AA$85*Z$15)</f>
        <v>0</v>
      </c>
      <c r="AB96" s="335">
        <f>-IF(AB$5&gt;Leadsheet!$E$12,0,Leadsheet!$E67*SAP_Speadsheet!AB$85*AA$15)</f>
        <v>0</v>
      </c>
      <c r="AC96" s="335">
        <f>-IF(AC$5&gt;Leadsheet!$E$12,0,Leadsheet!$E67*SAP_Speadsheet!AC$85*AB$15)</f>
        <v>0</v>
      </c>
      <c r="AD96" s="335">
        <f>-IF(AD$5&gt;Leadsheet!$E$12,0,Leadsheet!$E67*SAP_Speadsheet!AD$85*AC$15)</f>
        <v>0</v>
      </c>
      <c r="AE96" s="335">
        <f>-IF(AE$5&gt;Leadsheet!$E$12,0,Leadsheet!$E67*SAP_Speadsheet!AE$85*AD$15)</f>
        <v>0</v>
      </c>
      <c r="AF96" s="335">
        <f>-IF(AF$5&gt;Leadsheet!$E$12,0,Leadsheet!$E67*SAP_Speadsheet!AF$85*AE$15)</f>
        <v>0</v>
      </c>
      <c r="AG96" s="335">
        <f>-IF(AG$5&gt;Leadsheet!$E$12,0,Leadsheet!$E67*SAP_Speadsheet!AG$85*AF$15)</f>
        <v>0</v>
      </c>
      <c r="AH96" s="335">
        <f>-IF(AH$5&gt;Leadsheet!$E$12,0,Leadsheet!$E67*SAP_Speadsheet!AH$85*AG$15)</f>
        <v>0</v>
      </c>
      <c r="AI96" s="335">
        <f>-IF(AI$5&gt;Leadsheet!$E$12,0,Leadsheet!$E67*SAP_Speadsheet!AI$85*AH$15)</f>
        <v>0</v>
      </c>
      <c r="AJ96" s="335">
        <f>-IF(AJ$5&gt;Leadsheet!$E$12,0,Leadsheet!$E67*SAP_Speadsheet!AJ$85*AI$15)</f>
        <v>0</v>
      </c>
      <c r="AK96" s="335">
        <f>-IF(AK$5&gt;Leadsheet!$E$12,0,Leadsheet!$E67*SAP_Speadsheet!AK$85*AJ$15)</f>
        <v>0</v>
      </c>
      <c r="AL96" s="335">
        <f>-IF(AL$5&gt;Leadsheet!$E$12,0,Leadsheet!$E67*SAP_Speadsheet!AL$85*AK$15)</f>
        <v>0</v>
      </c>
      <c r="AM96" s="335">
        <f>-IF(AM$5&gt;Leadsheet!$E$12,0,Leadsheet!$E67*SAP_Speadsheet!AM$85*AL$15)</f>
        <v>0</v>
      </c>
      <c r="AN96" s="335">
        <f>-IF(AN$5&gt;Leadsheet!$E$12,0,Leadsheet!$E67*SAP_Speadsheet!AN$85*AM$15)</f>
        <v>0</v>
      </c>
      <c r="AO96" s="335">
        <f>-IF(AO$5&gt;Leadsheet!$E$12,0,Leadsheet!$E67*SAP_Speadsheet!AO$85*AN$15)</f>
        <v>0</v>
      </c>
      <c r="AP96" s="335">
        <f>-IF(AP$5&gt;Leadsheet!$E$12,0,Leadsheet!$E67*SAP_Speadsheet!AP$85*AO$15)</f>
        <v>0</v>
      </c>
      <c r="AQ96" s="335">
        <f>-IF(AQ$5&gt;Leadsheet!$E$12,0,Leadsheet!$E67*SAP_Speadsheet!AQ$85*AP$15)</f>
        <v>0</v>
      </c>
      <c r="AR96" s="335">
        <f>-IF(AR$5&gt;Leadsheet!$E$12,0,Leadsheet!$E67*SAP_Speadsheet!AR$85*AQ$15)</f>
        <v>0</v>
      </c>
      <c r="AS96" s="335">
        <f>-IF(AS$5&gt;Leadsheet!$E$12,0,Leadsheet!$E67*SAP_Speadsheet!AS$85*AR$15)</f>
        <v>0</v>
      </c>
      <c r="AT96" s="335">
        <f>-IF(AT$5&gt;Leadsheet!$E$12,0,Leadsheet!$E67*SAP_Speadsheet!AT$85*AS$15)</f>
        <v>0</v>
      </c>
      <c r="AU96" s="335">
        <f>-IF(AU$5&gt;Leadsheet!$E$12,0,Leadsheet!$E67*SAP_Speadsheet!AU$85*AT$15)</f>
        <v>0</v>
      </c>
      <c r="AV96" s="335">
        <f>-IF(AV$5&gt;Leadsheet!$E$12,0,Leadsheet!$E67*SAP_Speadsheet!AV$85*AU$15)</f>
        <v>0</v>
      </c>
      <c r="AW96" s="335">
        <f>-IF(AW$5&gt;Leadsheet!$E$12,0,Leadsheet!$E67*SAP_Speadsheet!AW$85*AV$15)</f>
        <v>0</v>
      </c>
      <c r="AX96" s="335">
        <f>-IF(AX$5&gt;Leadsheet!$E$12,0,Leadsheet!$E67*SAP_Speadsheet!AX$85*AW$15)</f>
        <v>0</v>
      </c>
      <c r="AY96" s="335">
        <f>-IF(AY$5&gt;Leadsheet!$E$12,0,Leadsheet!$E67*SAP_Speadsheet!AY$85*AX$15)</f>
        <v>0</v>
      </c>
      <c r="AZ96" s="335">
        <f>-IF(AZ$5&gt;Leadsheet!$E$12,0,Leadsheet!$E67*SAP_Speadsheet!AZ$85*AY$15)</f>
        <v>0</v>
      </c>
      <c r="BA96" s="335">
        <f>-IF(BA$5&gt;Leadsheet!$E$12,0,Leadsheet!$E67*SAP_Speadsheet!BA$85*AZ$15)</f>
        <v>0</v>
      </c>
      <c r="BB96" s="335">
        <f>-IF(BB$5&gt;Leadsheet!$E$12,0,Leadsheet!$E67*SAP_Speadsheet!BB$85*BA$15)</f>
        <v>0</v>
      </c>
      <c r="BC96" s="335">
        <f>-IF(BC$5&gt;Leadsheet!$E$12,0,Leadsheet!$E67*SAP_Speadsheet!BC$85*BB$15)</f>
        <v>0</v>
      </c>
      <c r="BD96" s="335">
        <f>-IF(BD$5&gt;Leadsheet!$E$12,0,Leadsheet!$E67*SAP_Speadsheet!BD$85*BC$15)</f>
        <v>0</v>
      </c>
      <c r="BE96" s="335">
        <f>-IF(BE$5&gt;Leadsheet!$E$12,0,Leadsheet!$E67*SAP_Speadsheet!BE$85*BD$15)</f>
        <v>0</v>
      </c>
      <c r="BF96" s="335">
        <f>-IF(BF$5&gt;Leadsheet!$E$12,0,Leadsheet!$E67*SAP_Speadsheet!BF$85*BE$15)</f>
        <v>0</v>
      </c>
      <c r="BG96" s="335">
        <f>-IF(BG$5&gt;Leadsheet!$E$12,0,Leadsheet!$E67*SAP_Speadsheet!BG$85*BF$15)</f>
        <v>0</v>
      </c>
      <c r="BH96" s="335">
        <f>-IF(BH$5&gt;Leadsheet!$E$12,0,Leadsheet!$E67*SAP_Speadsheet!BH$85*BG$15)</f>
        <v>0</v>
      </c>
      <c r="BI96" s="335">
        <f>-IF(BI$5&gt;Leadsheet!$E$12,0,Leadsheet!$E67*SAP_Speadsheet!BI$85*BH$15)</f>
        <v>0</v>
      </c>
      <c r="BJ96" s="335">
        <f>-IF(BJ$5&gt;Leadsheet!$E$12,0,Leadsheet!$E67*SAP_Speadsheet!BJ$85*BI$15)</f>
        <v>0</v>
      </c>
      <c r="BK96" s="335">
        <f>-IF(BK$5&gt;Leadsheet!$E$12,0,Leadsheet!$E67*SAP_Speadsheet!BK$85*BJ$15)</f>
        <v>0</v>
      </c>
      <c r="BL96" s="335">
        <f>-IF(BL$5&gt;Leadsheet!$E$12,0,Leadsheet!$E67*SAP_Speadsheet!BL$85*BK$15)</f>
        <v>0</v>
      </c>
    </row>
    <row r="97" spans="1:64" x14ac:dyDescent="0.15">
      <c r="C97" s="257" t="s">
        <v>141</v>
      </c>
      <c r="E97" s="335">
        <f>-IF(E$5&gt;Leadsheet!$E$12,0,Leadsheet!$E68*SAP_Speadsheet!E$85*D$15)</f>
        <v>-2.4318660235886368E-2</v>
      </c>
      <c r="F97" s="335">
        <f>-IF(F$5&gt;Leadsheet!$E$12,0,Leadsheet!$E68*SAP_Speadsheet!F$85*E$15)</f>
        <v>0</v>
      </c>
      <c r="G97" s="335">
        <f>-IF(G$5&gt;Leadsheet!$E$12,0,Leadsheet!$E68*SAP_Speadsheet!G$85*F$15)</f>
        <v>0</v>
      </c>
      <c r="H97" s="335">
        <f>-IF(H$5&gt;Leadsheet!$E$12,0,Leadsheet!$E68*SAP_Speadsheet!H$85*G$15)</f>
        <v>0</v>
      </c>
      <c r="I97" s="335">
        <f>-IF(I$5&gt;Leadsheet!$E$12,0,Leadsheet!$E68*SAP_Speadsheet!I$85*H$15)</f>
        <v>0</v>
      </c>
      <c r="J97" s="335">
        <f>-IF(J$5&gt;Leadsheet!$E$12,0,Leadsheet!$E68*SAP_Speadsheet!J$85*I$15)</f>
        <v>0</v>
      </c>
      <c r="K97" s="335">
        <f>-IF(K$5&gt;Leadsheet!$E$12,0,Leadsheet!$E68*SAP_Speadsheet!K$85*J$15)</f>
        <v>0</v>
      </c>
      <c r="L97" s="335">
        <f>-IF(L$5&gt;Leadsheet!$E$12,0,Leadsheet!$E68*SAP_Speadsheet!L$85*K$15)</f>
        <v>0</v>
      </c>
      <c r="M97" s="335">
        <f>-IF(M$5&gt;Leadsheet!$E$12,0,Leadsheet!$E68*SAP_Speadsheet!M$85*L$15)</f>
        <v>0</v>
      </c>
      <c r="N97" s="335">
        <f>-IF(N$5&gt;Leadsheet!$E$12,0,Leadsheet!$E68*SAP_Speadsheet!N$85*M$15)</f>
        <v>0</v>
      </c>
      <c r="O97" s="335">
        <f>-IF(O$5&gt;Leadsheet!$E$12,0,Leadsheet!$E68*SAP_Speadsheet!O$85*N$15)</f>
        <v>0</v>
      </c>
      <c r="P97" s="335">
        <f>-IF(P$5&gt;Leadsheet!$E$12,0,Leadsheet!$E68*SAP_Speadsheet!P$85*O$15)</f>
        <v>0</v>
      </c>
      <c r="Q97" s="335">
        <f>-IF(Q$5&gt;Leadsheet!$E$12,0,Leadsheet!$E68*SAP_Speadsheet!Q$85*P$15)</f>
        <v>0</v>
      </c>
      <c r="R97" s="335">
        <f>-IF(R$5&gt;Leadsheet!$E$12,0,Leadsheet!$E68*SAP_Speadsheet!R$85*Q$15)</f>
        <v>0</v>
      </c>
      <c r="S97" s="335">
        <f>-IF(S$5&gt;Leadsheet!$E$12,0,Leadsheet!$E68*SAP_Speadsheet!S$85*R$15)</f>
        <v>0</v>
      </c>
      <c r="T97" s="335">
        <f>-IF(T$5&gt;Leadsheet!$E$12,0,Leadsheet!$E68*SAP_Speadsheet!T$85*S$15)</f>
        <v>0</v>
      </c>
      <c r="U97" s="335">
        <f>-IF(U$5&gt;Leadsheet!$E$12,0,Leadsheet!$E68*SAP_Speadsheet!U$85*T$15)</f>
        <v>0</v>
      </c>
      <c r="V97" s="335">
        <f>-IF(V$5&gt;Leadsheet!$E$12,0,Leadsheet!$E68*SAP_Speadsheet!V$85*U$15)</f>
        <v>0</v>
      </c>
      <c r="W97" s="335">
        <f>-IF(W$5&gt;Leadsheet!$E$12,0,Leadsheet!$E68*SAP_Speadsheet!W$85*V$15)</f>
        <v>0</v>
      </c>
      <c r="X97" s="335">
        <f>-IF(X$5&gt;Leadsheet!$E$12,0,Leadsheet!$E68*SAP_Speadsheet!X$85*W$15)</f>
        <v>0</v>
      </c>
      <c r="Y97" s="335">
        <f>-IF(Y$5&gt;Leadsheet!$E$12,0,Leadsheet!$E68*SAP_Speadsheet!Y$85*X$15)</f>
        <v>0</v>
      </c>
      <c r="Z97" s="335">
        <f>-IF(Z$5&gt;Leadsheet!$E$12,0,Leadsheet!$E68*SAP_Speadsheet!Z$85*Y$15)</f>
        <v>0</v>
      </c>
      <c r="AA97" s="335">
        <f>-IF(AA$5&gt;Leadsheet!$E$12,0,Leadsheet!$E68*SAP_Speadsheet!AA$85*Z$15)</f>
        <v>0</v>
      </c>
      <c r="AB97" s="335">
        <f>-IF(AB$5&gt;Leadsheet!$E$12,0,Leadsheet!$E68*SAP_Speadsheet!AB$85*AA$15)</f>
        <v>0</v>
      </c>
      <c r="AC97" s="335">
        <f>-IF(AC$5&gt;Leadsheet!$E$12,0,Leadsheet!$E68*SAP_Speadsheet!AC$85*AB$15)</f>
        <v>0</v>
      </c>
      <c r="AD97" s="335">
        <f>-IF(AD$5&gt;Leadsheet!$E$12,0,Leadsheet!$E68*SAP_Speadsheet!AD$85*AC$15)</f>
        <v>0</v>
      </c>
      <c r="AE97" s="335">
        <f>-IF(AE$5&gt;Leadsheet!$E$12,0,Leadsheet!$E68*SAP_Speadsheet!AE$85*AD$15)</f>
        <v>0</v>
      </c>
      <c r="AF97" s="335">
        <f>-IF(AF$5&gt;Leadsheet!$E$12,0,Leadsheet!$E68*SAP_Speadsheet!AF$85*AE$15)</f>
        <v>0</v>
      </c>
      <c r="AG97" s="335">
        <f>-IF(AG$5&gt;Leadsheet!$E$12,0,Leadsheet!$E68*SAP_Speadsheet!AG$85*AF$15)</f>
        <v>0</v>
      </c>
      <c r="AH97" s="335">
        <f>-IF(AH$5&gt;Leadsheet!$E$12,0,Leadsheet!$E68*SAP_Speadsheet!AH$85*AG$15)</f>
        <v>0</v>
      </c>
      <c r="AI97" s="335">
        <f>-IF(AI$5&gt;Leadsheet!$E$12,0,Leadsheet!$E68*SAP_Speadsheet!AI$85*AH$15)</f>
        <v>0</v>
      </c>
      <c r="AJ97" s="335">
        <f>-IF(AJ$5&gt;Leadsheet!$E$12,0,Leadsheet!$E68*SAP_Speadsheet!AJ$85*AI$15)</f>
        <v>0</v>
      </c>
      <c r="AK97" s="335">
        <f>-IF(AK$5&gt;Leadsheet!$E$12,0,Leadsheet!$E68*SAP_Speadsheet!AK$85*AJ$15)</f>
        <v>0</v>
      </c>
      <c r="AL97" s="335">
        <f>-IF(AL$5&gt;Leadsheet!$E$12,0,Leadsheet!$E68*SAP_Speadsheet!AL$85*AK$15)</f>
        <v>0</v>
      </c>
      <c r="AM97" s="335">
        <f>-IF(AM$5&gt;Leadsheet!$E$12,0,Leadsheet!$E68*SAP_Speadsheet!AM$85*AL$15)</f>
        <v>0</v>
      </c>
      <c r="AN97" s="335">
        <f>-IF(AN$5&gt;Leadsheet!$E$12,0,Leadsheet!$E68*SAP_Speadsheet!AN$85*AM$15)</f>
        <v>0</v>
      </c>
      <c r="AO97" s="335">
        <f>-IF(AO$5&gt;Leadsheet!$E$12,0,Leadsheet!$E68*SAP_Speadsheet!AO$85*AN$15)</f>
        <v>0</v>
      </c>
      <c r="AP97" s="335">
        <f>-IF(AP$5&gt;Leadsheet!$E$12,0,Leadsheet!$E68*SAP_Speadsheet!AP$85*AO$15)</f>
        <v>0</v>
      </c>
      <c r="AQ97" s="335">
        <f>-IF(AQ$5&gt;Leadsheet!$E$12,0,Leadsheet!$E68*SAP_Speadsheet!AQ$85*AP$15)</f>
        <v>0</v>
      </c>
      <c r="AR97" s="335">
        <f>-IF(AR$5&gt;Leadsheet!$E$12,0,Leadsheet!$E68*SAP_Speadsheet!AR$85*AQ$15)</f>
        <v>0</v>
      </c>
      <c r="AS97" s="335">
        <f>-IF(AS$5&gt;Leadsheet!$E$12,0,Leadsheet!$E68*SAP_Speadsheet!AS$85*AR$15)</f>
        <v>0</v>
      </c>
      <c r="AT97" s="335">
        <f>-IF(AT$5&gt;Leadsheet!$E$12,0,Leadsheet!$E68*SAP_Speadsheet!AT$85*AS$15)</f>
        <v>0</v>
      </c>
      <c r="AU97" s="335">
        <f>-IF(AU$5&gt;Leadsheet!$E$12,0,Leadsheet!$E68*SAP_Speadsheet!AU$85*AT$15)</f>
        <v>0</v>
      </c>
      <c r="AV97" s="335">
        <f>-IF(AV$5&gt;Leadsheet!$E$12,0,Leadsheet!$E68*SAP_Speadsheet!AV$85*AU$15)</f>
        <v>0</v>
      </c>
      <c r="AW97" s="335">
        <f>-IF(AW$5&gt;Leadsheet!$E$12,0,Leadsheet!$E68*SAP_Speadsheet!AW$85*AV$15)</f>
        <v>0</v>
      </c>
      <c r="AX97" s="335">
        <f>-IF(AX$5&gt;Leadsheet!$E$12,0,Leadsheet!$E68*SAP_Speadsheet!AX$85*AW$15)</f>
        <v>0</v>
      </c>
      <c r="AY97" s="335">
        <f>-IF(AY$5&gt;Leadsheet!$E$12,0,Leadsheet!$E68*SAP_Speadsheet!AY$85*AX$15)</f>
        <v>0</v>
      </c>
      <c r="AZ97" s="335">
        <f>-IF(AZ$5&gt;Leadsheet!$E$12,0,Leadsheet!$E68*SAP_Speadsheet!AZ$85*AY$15)</f>
        <v>0</v>
      </c>
      <c r="BA97" s="335">
        <f>-IF(BA$5&gt;Leadsheet!$E$12,0,Leadsheet!$E68*SAP_Speadsheet!BA$85*AZ$15)</f>
        <v>0</v>
      </c>
      <c r="BB97" s="335">
        <f>-IF(BB$5&gt;Leadsheet!$E$12,0,Leadsheet!$E68*SAP_Speadsheet!BB$85*BA$15)</f>
        <v>0</v>
      </c>
      <c r="BC97" s="335">
        <f>-IF(BC$5&gt;Leadsheet!$E$12,0,Leadsheet!$E68*SAP_Speadsheet!BC$85*BB$15)</f>
        <v>0</v>
      </c>
      <c r="BD97" s="335">
        <f>-IF(BD$5&gt;Leadsheet!$E$12,0,Leadsheet!$E68*SAP_Speadsheet!BD$85*BC$15)</f>
        <v>0</v>
      </c>
      <c r="BE97" s="335">
        <f>-IF(BE$5&gt;Leadsheet!$E$12,0,Leadsheet!$E68*SAP_Speadsheet!BE$85*BD$15)</f>
        <v>0</v>
      </c>
      <c r="BF97" s="335">
        <f>-IF(BF$5&gt;Leadsheet!$E$12,0,Leadsheet!$E68*SAP_Speadsheet!BF$85*BE$15)</f>
        <v>0</v>
      </c>
      <c r="BG97" s="335">
        <f>-IF(BG$5&gt;Leadsheet!$E$12,0,Leadsheet!$E68*SAP_Speadsheet!BG$85*BF$15)</f>
        <v>0</v>
      </c>
      <c r="BH97" s="335">
        <f>-IF(BH$5&gt;Leadsheet!$E$12,0,Leadsheet!$E68*SAP_Speadsheet!BH$85*BG$15)</f>
        <v>0</v>
      </c>
      <c r="BI97" s="335">
        <f>-IF(BI$5&gt;Leadsheet!$E$12,0,Leadsheet!$E68*SAP_Speadsheet!BI$85*BH$15)</f>
        <v>0</v>
      </c>
      <c r="BJ97" s="335">
        <f>-IF(BJ$5&gt;Leadsheet!$E$12,0,Leadsheet!$E68*SAP_Speadsheet!BJ$85*BI$15)</f>
        <v>0</v>
      </c>
      <c r="BK97" s="335">
        <f>-IF(BK$5&gt;Leadsheet!$E$12,0,Leadsheet!$E68*SAP_Speadsheet!BK$85*BJ$15)</f>
        <v>0</v>
      </c>
      <c r="BL97" s="335">
        <f>-IF(BL$5&gt;Leadsheet!$E$12,0,Leadsheet!$E68*SAP_Speadsheet!BL$85*BK$15)</f>
        <v>0</v>
      </c>
    </row>
    <row r="98" spans="1:64" x14ac:dyDescent="0.15">
      <c r="C98" s="257" t="s">
        <v>143</v>
      </c>
      <c r="E98" s="335">
        <f>-IF(E$5&gt;Leadsheet!$E$12,0,Leadsheet!$E69*SAP_Speadsheet!E$85*D$15)</f>
        <v>-1.1666441173288321E-2</v>
      </c>
      <c r="F98" s="335">
        <f>-IF(F$5&gt;Leadsheet!$E$12,0,Leadsheet!$E69*SAP_Speadsheet!F$85*E$15)</f>
        <v>0</v>
      </c>
      <c r="G98" s="335">
        <f>-IF(G$5&gt;Leadsheet!$E$12,0,Leadsheet!$E69*SAP_Speadsheet!G$85*F$15)</f>
        <v>0</v>
      </c>
      <c r="H98" s="335">
        <f>-IF(H$5&gt;Leadsheet!$E$12,0,Leadsheet!$E69*SAP_Speadsheet!H$85*G$15)</f>
        <v>0</v>
      </c>
      <c r="I98" s="335">
        <f>-IF(I$5&gt;Leadsheet!$E$12,0,Leadsheet!$E69*SAP_Speadsheet!I$85*H$15)</f>
        <v>0</v>
      </c>
      <c r="J98" s="335">
        <f>-IF(J$5&gt;Leadsheet!$E$12,0,Leadsheet!$E69*SAP_Speadsheet!J$85*I$15)</f>
        <v>0</v>
      </c>
      <c r="K98" s="335">
        <f>-IF(K$5&gt;Leadsheet!$E$12,0,Leadsheet!$E69*SAP_Speadsheet!K$85*J$15)</f>
        <v>0</v>
      </c>
      <c r="L98" s="335">
        <f>-IF(L$5&gt;Leadsheet!$E$12,0,Leadsheet!$E69*SAP_Speadsheet!L$85*K$15)</f>
        <v>0</v>
      </c>
      <c r="M98" s="335">
        <f>-IF(M$5&gt;Leadsheet!$E$12,0,Leadsheet!$E69*SAP_Speadsheet!M$85*L$15)</f>
        <v>0</v>
      </c>
      <c r="N98" s="335">
        <f>-IF(N$5&gt;Leadsheet!$E$12,0,Leadsheet!$E69*SAP_Speadsheet!N$85*M$15)</f>
        <v>0</v>
      </c>
      <c r="O98" s="335">
        <f>-IF(O$5&gt;Leadsheet!$E$12,0,Leadsheet!$E69*SAP_Speadsheet!O$85*N$15)</f>
        <v>0</v>
      </c>
      <c r="P98" s="335">
        <f>-IF(P$5&gt;Leadsheet!$E$12,0,Leadsheet!$E69*SAP_Speadsheet!P$85*O$15)</f>
        <v>0</v>
      </c>
      <c r="Q98" s="335">
        <f>-IF(Q$5&gt;Leadsheet!$E$12,0,Leadsheet!$E69*SAP_Speadsheet!Q$85*P$15)</f>
        <v>0</v>
      </c>
      <c r="R98" s="335">
        <f>-IF(R$5&gt;Leadsheet!$E$12,0,Leadsheet!$E69*SAP_Speadsheet!R$85*Q$15)</f>
        <v>0</v>
      </c>
      <c r="S98" s="335">
        <f>-IF(S$5&gt;Leadsheet!$E$12,0,Leadsheet!$E69*SAP_Speadsheet!S$85*R$15)</f>
        <v>0</v>
      </c>
      <c r="T98" s="335">
        <f>-IF(T$5&gt;Leadsheet!$E$12,0,Leadsheet!$E69*SAP_Speadsheet!T$85*S$15)</f>
        <v>0</v>
      </c>
      <c r="U98" s="335">
        <f>-IF(U$5&gt;Leadsheet!$E$12,0,Leadsheet!$E69*SAP_Speadsheet!U$85*T$15)</f>
        <v>0</v>
      </c>
      <c r="V98" s="335">
        <f>-IF(V$5&gt;Leadsheet!$E$12,0,Leadsheet!$E69*SAP_Speadsheet!V$85*U$15)</f>
        <v>0</v>
      </c>
      <c r="W98" s="335">
        <f>-IF(W$5&gt;Leadsheet!$E$12,0,Leadsheet!$E69*SAP_Speadsheet!W$85*V$15)</f>
        <v>0</v>
      </c>
      <c r="X98" s="335">
        <f>-IF(X$5&gt;Leadsheet!$E$12,0,Leadsheet!$E69*SAP_Speadsheet!X$85*W$15)</f>
        <v>0</v>
      </c>
      <c r="Y98" s="335">
        <f>-IF(Y$5&gt;Leadsheet!$E$12,0,Leadsheet!$E69*SAP_Speadsheet!Y$85*X$15)</f>
        <v>0</v>
      </c>
      <c r="Z98" s="335">
        <f>-IF(Z$5&gt;Leadsheet!$E$12,0,Leadsheet!$E69*SAP_Speadsheet!Z$85*Y$15)</f>
        <v>0</v>
      </c>
      <c r="AA98" s="335">
        <f>-IF(AA$5&gt;Leadsheet!$E$12,0,Leadsheet!$E69*SAP_Speadsheet!AA$85*Z$15)</f>
        <v>0</v>
      </c>
      <c r="AB98" s="335">
        <f>-IF(AB$5&gt;Leadsheet!$E$12,0,Leadsheet!$E69*SAP_Speadsheet!AB$85*AA$15)</f>
        <v>0</v>
      </c>
      <c r="AC98" s="335">
        <f>-IF(AC$5&gt;Leadsheet!$E$12,0,Leadsheet!$E69*SAP_Speadsheet!AC$85*AB$15)</f>
        <v>0</v>
      </c>
      <c r="AD98" s="335">
        <f>-IF(AD$5&gt;Leadsheet!$E$12,0,Leadsheet!$E69*SAP_Speadsheet!AD$85*AC$15)</f>
        <v>0</v>
      </c>
      <c r="AE98" s="335">
        <f>-IF(AE$5&gt;Leadsheet!$E$12,0,Leadsheet!$E69*SAP_Speadsheet!AE$85*AD$15)</f>
        <v>0</v>
      </c>
      <c r="AF98" s="335">
        <f>-IF(AF$5&gt;Leadsheet!$E$12,0,Leadsheet!$E69*SAP_Speadsheet!AF$85*AE$15)</f>
        <v>0</v>
      </c>
      <c r="AG98" s="335">
        <f>-IF(AG$5&gt;Leadsheet!$E$12,0,Leadsheet!$E69*SAP_Speadsheet!AG$85*AF$15)</f>
        <v>0</v>
      </c>
      <c r="AH98" s="335">
        <f>-IF(AH$5&gt;Leadsheet!$E$12,0,Leadsheet!$E69*SAP_Speadsheet!AH$85*AG$15)</f>
        <v>0</v>
      </c>
      <c r="AI98" s="335">
        <f>-IF(AI$5&gt;Leadsheet!$E$12,0,Leadsheet!$E69*SAP_Speadsheet!AI$85*AH$15)</f>
        <v>0</v>
      </c>
      <c r="AJ98" s="335">
        <f>-IF(AJ$5&gt;Leadsheet!$E$12,0,Leadsheet!$E69*SAP_Speadsheet!AJ$85*AI$15)</f>
        <v>0</v>
      </c>
      <c r="AK98" s="335">
        <f>-IF(AK$5&gt;Leadsheet!$E$12,0,Leadsheet!$E69*SAP_Speadsheet!AK$85*AJ$15)</f>
        <v>0</v>
      </c>
      <c r="AL98" s="335">
        <f>-IF(AL$5&gt;Leadsheet!$E$12,0,Leadsheet!$E69*SAP_Speadsheet!AL$85*AK$15)</f>
        <v>0</v>
      </c>
      <c r="AM98" s="335">
        <f>-IF(AM$5&gt;Leadsheet!$E$12,0,Leadsheet!$E69*SAP_Speadsheet!AM$85*AL$15)</f>
        <v>0</v>
      </c>
      <c r="AN98" s="335">
        <f>-IF(AN$5&gt;Leadsheet!$E$12,0,Leadsheet!$E69*SAP_Speadsheet!AN$85*AM$15)</f>
        <v>0</v>
      </c>
      <c r="AO98" s="335">
        <f>-IF(AO$5&gt;Leadsheet!$E$12,0,Leadsheet!$E69*SAP_Speadsheet!AO$85*AN$15)</f>
        <v>0</v>
      </c>
      <c r="AP98" s="335">
        <f>-IF(AP$5&gt;Leadsheet!$E$12,0,Leadsheet!$E69*SAP_Speadsheet!AP$85*AO$15)</f>
        <v>0</v>
      </c>
      <c r="AQ98" s="335">
        <f>-IF(AQ$5&gt;Leadsheet!$E$12,0,Leadsheet!$E69*SAP_Speadsheet!AQ$85*AP$15)</f>
        <v>0</v>
      </c>
      <c r="AR98" s="335">
        <f>-IF(AR$5&gt;Leadsheet!$E$12,0,Leadsheet!$E69*SAP_Speadsheet!AR$85*AQ$15)</f>
        <v>0</v>
      </c>
      <c r="AS98" s="335">
        <f>-IF(AS$5&gt;Leadsheet!$E$12,0,Leadsheet!$E69*SAP_Speadsheet!AS$85*AR$15)</f>
        <v>0</v>
      </c>
      <c r="AT98" s="335">
        <f>-IF(AT$5&gt;Leadsheet!$E$12,0,Leadsheet!$E69*SAP_Speadsheet!AT$85*AS$15)</f>
        <v>0</v>
      </c>
      <c r="AU98" s="335">
        <f>-IF(AU$5&gt;Leadsheet!$E$12,0,Leadsheet!$E69*SAP_Speadsheet!AU$85*AT$15)</f>
        <v>0</v>
      </c>
      <c r="AV98" s="335">
        <f>-IF(AV$5&gt;Leadsheet!$E$12,0,Leadsheet!$E69*SAP_Speadsheet!AV$85*AU$15)</f>
        <v>0</v>
      </c>
      <c r="AW98" s="335">
        <f>-IF(AW$5&gt;Leadsheet!$E$12,0,Leadsheet!$E69*SAP_Speadsheet!AW$85*AV$15)</f>
        <v>0</v>
      </c>
      <c r="AX98" s="335">
        <f>-IF(AX$5&gt;Leadsheet!$E$12,0,Leadsheet!$E69*SAP_Speadsheet!AX$85*AW$15)</f>
        <v>0</v>
      </c>
      <c r="AY98" s="335">
        <f>-IF(AY$5&gt;Leadsheet!$E$12,0,Leadsheet!$E69*SAP_Speadsheet!AY$85*AX$15)</f>
        <v>0</v>
      </c>
      <c r="AZ98" s="335">
        <f>-IF(AZ$5&gt;Leadsheet!$E$12,0,Leadsheet!$E69*SAP_Speadsheet!AZ$85*AY$15)</f>
        <v>0</v>
      </c>
      <c r="BA98" s="335">
        <f>-IF(BA$5&gt;Leadsheet!$E$12,0,Leadsheet!$E69*SAP_Speadsheet!BA$85*AZ$15)</f>
        <v>0</v>
      </c>
      <c r="BB98" s="335">
        <f>-IF(BB$5&gt;Leadsheet!$E$12,0,Leadsheet!$E69*SAP_Speadsheet!BB$85*BA$15)</f>
        <v>0</v>
      </c>
      <c r="BC98" s="335">
        <f>-IF(BC$5&gt;Leadsheet!$E$12,0,Leadsheet!$E69*SAP_Speadsheet!BC$85*BB$15)</f>
        <v>0</v>
      </c>
      <c r="BD98" s="335">
        <f>-IF(BD$5&gt;Leadsheet!$E$12,0,Leadsheet!$E69*SAP_Speadsheet!BD$85*BC$15)</f>
        <v>0</v>
      </c>
      <c r="BE98" s="335">
        <f>-IF(BE$5&gt;Leadsheet!$E$12,0,Leadsheet!$E69*SAP_Speadsheet!BE$85*BD$15)</f>
        <v>0</v>
      </c>
      <c r="BF98" s="335">
        <f>-IF(BF$5&gt;Leadsheet!$E$12,0,Leadsheet!$E69*SAP_Speadsheet!BF$85*BE$15)</f>
        <v>0</v>
      </c>
      <c r="BG98" s="335">
        <f>-IF(BG$5&gt;Leadsheet!$E$12,0,Leadsheet!$E69*SAP_Speadsheet!BG$85*BF$15)</f>
        <v>0</v>
      </c>
      <c r="BH98" s="335">
        <f>-IF(BH$5&gt;Leadsheet!$E$12,0,Leadsheet!$E69*SAP_Speadsheet!BH$85*BG$15)</f>
        <v>0</v>
      </c>
      <c r="BI98" s="335">
        <f>-IF(BI$5&gt;Leadsheet!$E$12,0,Leadsheet!$E69*SAP_Speadsheet!BI$85*BH$15)</f>
        <v>0</v>
      </c>
      <c r="BJ98" s="335">
        <f>-IF(BJ$5&gt;Leadsheet!$E$12,0,Leadsheet!$E69*SAP_Speadsheet!BJ$85*BI$15)</f>
        <v>0</v>
      </c>
      <c r="BK98" s="335">
        <f>-IF(BK$5&gt;Leadsheet!$E$12,0,Leadsheet!$E69*SAP_Speadsheet!BK$85*BJ$15)</f>
        <v>0</v>
      </c>
      <c r="BL98" s="335">
        <f>-IF(BL$5&gt;Leadsheet!$E$12,0,Leadsheet!$E69*SAP_Speadsheet!BL$85*BK$15)</f>
        <v>0</v>
      </c>
    </row>
    <row r="99" spans="1:64" x14ac:dyDescent="0.15">
      <c r="C99" s="257" t="s">
        <v>442</v>
      </c>
      <c r="E99" s="335">
        <f>-IF(E$5&gt;Leadsheet!$E$12,0,Leadsheet!$E70*SAP_Speadsheet!E$85*D$15)</f>
        <v>-1.1729348343550017E-2</v>
      </c>
      <c r="F99" s="335">
        <f>-IF(F$5&gt;Leadsheet!$E$12,0,Leadsheet!$E70*SAP_Speadsheet!F$85*E$15)</f>
        <v>0</v>
      </c>
      <c r="G99" s="335">
        <f>-IF(G$5&gt;Leadsheet!$E$12,0,Leadsheet!$E70*SAP_Speadsheet!G$85*F$15)</f>
        <v>0</v>
      </c>
      <c r="H99" s="335">
        <f>-IF(H$5&gt;Leadsheet!$E$12,0,Leadsheet!$E70*SAP_Speadsheet!H$85*G$15)</f>
        <v>0</v>
      </c>
      <c r="I99" s="335">
        <f>-IF(I$5&gt;Leadsheet!$E$12,0,Leadsheet!$E70*SAP_Speadsheet!I$85*H$15)</f>
        <v>0</v>
      </c>
      <c r="J99" s="335">
        <f>-IF(J$5&gt;Leadsheet!$E$12,0,Leadsheet!$E70*SAP_Speadsheet!J$85*I$15)</f>
        <v>0</v>
      </c>
      <c r="K99" s="335">
        <f>-IF(K$5&gt;Leadsheet!$E$12,0,Leadsheet!$E70*SAP_Speadsheet!K$85*J$15)</f>
        <v>0</v>
      </c>
      <c r="L99" s="335">
        <f>-IF(L$5&gt;Leadsheet!$E$12,0,Leadsheet!$E70*SAP_Speadsheet!L$85*K$15)</f>
        <v>0</v>
      </c>
      <c r="M99" s="335">
        <f>-IF(M$5&gt;Leadsheet!$E$12,0,Leadsheet!$E70*SAP_Speadsheet!M$85*L$15)</f>
        <v>0</v>
      </c>
      <c r="N99" s="335">
        <f>-IF(N$5&gt;Leadsheet!$E$12,0,Leadsheet!$E70*SAP_Speadsheet!N$85*M$15)</f>
        <v>0</v>
      </c>
      <c r="O99" s="335">
        <f>-IF(O$5&gt;Leadsheet!$E$12,0,Leadsheet!$E70*SAP_Speadsheet!O$85*N$15)</f>
        <v>0</v>
      </c>
      <c r="P99" s="335">
        <f>-IF(P$5&gt;Leadsheet!$E$12,0,Leadsheet!$E70*SAP_Speadsheet!P$85*O$15)</f>
        <v>0</v>
      </c>
      <c r="Q99" s="335">
        <f>-IF(Q$5&gt;Leadsheet!$E$12,0,Leadsheet!$E70*SAP_Speadsheet!Q$85*P$15)</f>
        <v>0</v>
      </c>
      <c r="R99" s="335">
        <f>-IF(R$5&gt;Leadsheet!$E$12,0,Leadsheet!$E70*SAP_Speadsheet!R$85*Q$15)</f>
        <v>0</v>
      </c>
      <c r="S99" s="335">
        <f>-IF(S$5&gt;Leadsheet!$E$12,0,Leadsheet!$E70*SAP_Speadsheet!S$85*R$15)</f>
        <v>0</v>
      </c>
      <c r="T99" s="335">
        <f>-IF(T$5&gt;Leadsheet!$E$12,0,Leadsheet!$E70*SAP_Speadsheet!T$85*S$15)</f>
        <v>0</v>
      </c>
      <c r="U99" s="335">
        <f>-IF(U$5&gt;Leadsheet!$E$12,0,Leadsheet!$E70*SAP_Speadsheet!U$85*T$15)</f>
        <v>0</v>
      </c>
      <c r="V99" s="335">
        <f>-IF(V$5&gt;Leadsheet!$E$12,0,Leadsheet!$E70*SAP_Speadsheet!V$85*U$15)</f>
        <v>0</v>
      </c>
      <c r="W99" s="335">
        <f>-IF(W$5&gt;Leadsheet!$E$12,0,Leadsheet!$E70*SAP_Speadsheet!W$85*V$15)</f>
        <v>0</v>
      </c>
      <c r="X99" s="335">
        <f>-IF(X$5&gt;Leadsheet!$E$12,0,Leadsheet!$E70*SAP_Speadsheet!X$85*W$15)</f>
        <v>0</v>
      </c>
      <c r="Y99" s="335">
        <f>-IF(Y$5&gt;Leadsheet!$E$12,0,Leadsheet!$E70*SAP_Speadsheet!Y$85*X$15)</f>
        <v>0</v>
      </c>
      <c r="Z99" s="335">
        <f>-IF(Z$5&gt;Leadsheet!$E$12,0,Leadsheet!$E70*SAP_Speadsheet!Z$85*Y$15)</f>
        <v>0</v>
      </c>
      <c r="AA99" s="335">
        <f>-IF(AA$5&gt;Leadsheet!$E$12,0,Leadsheet!$E70*SAP_Speadsheet!AA$85*Z$15)</f>
        <v>0</v>
      </c>
      <c r="AB99" s="335">
        <f>-IF(AB$5&gt;Leadsheet!$E$12,0,Leadsheet!$E70*SAP_Speadsheet!AB$85*AA$15)</f>
        <v>0</v>
      </c>
      <c r="AC99" s="335">
        <f>-IF(AC$5&gt;Leadsheet!$E$12,0,Leadsheet!$E70*SAP_Speadsheet!AC$85*AB$15)</f>
        <v>0</v>
      </c>
      <c r="AD99" s="335">
        <f>-IF(AD$5&gt;Leadsheet!$E$12,0,Leadsheet!$E70*SAP_Speadsheet!AD$85*AC$15)</f>
        <v>0</v>
      </c>
      <c r="AE99" s="335">
        <f>-IF(AE$5&gt;Leadsheet!$E$12,0,Leadsheet!$E70*SAP_Speadsheet!AE$85*AD$15)</f>
        <v>0</v>
      </c>
      <c r="AF99" s="335">
        <f>-IF(AF$5&gt;Leadsheet!$E$12,0,Leadsheet!$E70*SAP_Speadsheet!AF$85*AE$15)</f>
        <v>0</v>
      </c>
      <c r="AG99" s="335">
        <f>-IF(AG$5&gt;Leadsheet!$E$12,0,Leadsheet!$E70*SAP_Speadsheet!AG$85*AF$15)</f>
        <v>0</v>
      </c>
      <c r="AH99" s="335">
        <f>-IF(AH$5&gt;Leadsheet!$E$12,0,Leadsheet!$E70*SAP_Speadsheet!AH$85*AG$15)</f>
        <v>0</v>
      </c>
      <c r="AI99" s="335">
        <f>-IF(AI$5&gt;Leadsheet!$E$12,0,Leadsheet!$E70*SAP_Speadsheet!AI$85*AH$15)</f>
        <v>0</v>
      </c>
      <c r="AJ99" s="335">
        <f>-IF(AJ$5&gt;Leadsheet!$E$12,0,Leadsheet!$E70*SAP_Speadsheet!AJ$85*AI$15)</f>
        <v>0</v>
      </c>
      <c r="AK99" s="335">
        <f>-IF(AK$5&gt;Leadsheet!$E$12,0,Leadsheet!$E70*SAP_Speadsheet!AK$85*AJ$15)</f>
        <v>0</v>
      </c>
      <c r="AL99" s="335">
        <f>-IF(AL$5&gt;Leadsheet!$E$12,0,Leadsheet!$E70*SAP_Speadsheet!AL$85*AK$15)</f>
        <v>0</v>
      </c>
      <c r="AM99" s="335">
        <f>-IF(AM$5&gt;Leadsheet!$E$12,0,Leadsheet!$E70*SAP_Speadsheet!AM$85*AL$15)</f>
        <v>0</v>
      </c>
      <c r="AN99" s="335">
        <f>-IF(AN$5&gt;Leadsheet!$E$12,0,Leadsheet!$E70*SAP_Speadsheet!AN$85*AM$15)</f>
        <v>0</v>
      </c>
      <c r="AO99" s="335">
        <f>-IF(AO$5&gt;Leadsheet!$E$12,0,Leadsheet!$E70*SAP_Speadsheet!AO$85*AN$15)</f>
        <v>0</v>
      </c>
      <c r="AP99" s="335">
        <f>-IF(AP$5&gt;Leadsheet!$E$12,0,Leadsheet!$E70*SAP_Speadsheet!AP$85*AO$15)</f>
        <v>0</v>
      </c>
      <c r="AQ99" s="335">
        <f>-IF(AQ$5&gt;Leadsheet!$E$12,0,Leadsheet!$E70*SAP_Speadsheet!AQ$85*AP$15)</f>
        <v>0</v>
      </c>
      <c r="AR99" s="335">
        <f>-IF(AR$5&gt;Leadsheet!$E$12,0,Leadsheet!$E70*SAP_Speadsheet!AR$85*AQ$15)</f>
        <v>0</v>
      </c>
      <c r="AS99" s="335">
        <f>-IF(AS$5&gt;Leadsheet!$E$12,0,Leadsheet!$E70*SAP_Speadsheet!AS$85*AR$15)</f>
        <v>0</v>
      </c>
      <c r="AT99" s="335">
        <f>-IF(AT$5&gt;Leadsheet!$E$12,0,Leadsheet!$E70*SAP_Speadsheet!AT$85*AS$15)</f>
        <v>0</v>
      </c>
      <c r="AU99" s="335">
        <f>-IF(AU$5&gt;Leadsheet!$E$12,0,Leadsheet!$E70*SAP_Speadsheet!AU$85*AT$15)</f>
        <v>0</v>
      </c>
      <c r="AV99" s="335">
        <f>-IF(AV$5&gt;Leadsheet!$E$12,0,Leadsheet!$E70*SAP_Speadsheet!AV$85*AU$15)</f>
        <v>0</v>
      </c>
      <c r="AW99" s="335">
        <f>-IF(AW$5&gt;Leadsheet!$E$12,0,Leadsheet!$E70*SAP_Speadsheet!AW$85*AV$15)</f>
        <v>0</v>
      </c>
      <c r="AX99" s="335">
        <f>-IF(AX$5&gt;Leadsheet!$E$12,0,Leadsheet!$E70*SAP_Speadsheet!AX$85*AW$15)</f>
        <v>0</v>
      </c>
      <c r="AY99" s="335">
        <f>-IF(AY$5&gt;Leadsheet!$E$12,0,Leadsheet!$E70*SAP_Speadsheet!AY$85*AX$15)</f>
        <v>0</v>
      </c>
      <c r="AZ99" s="335">
        <f>-IF(AZ$5&gt;Leadsheet!$E$12,0,Leadsheet!$E70*SAP_Speadsheet!AZ$85*AY$15)</f>
        <v>0</v>
      </c>
      <c r="BA99" s="335">
        <f>-IF(BA$5&gt;Leadsheet!$E$12,0,Leadsheet!$E70*SAP_Speadsheet!BA$85*AZ$15)</f>
        <v>0</v>
      </c>
      <c r="BB99" s="335">
        <f>-IF(BB$5&gt;Leadsheet!$E$12,0,Leadsheet!$E70*SAP_Speadsheet!BB$85*BA$15)</f>
        <v>0</v>
      </c>
      <c r="BC99" s="335">
        <f>-IF(BC$5&gt;Leadsheet!$E$12,0,Leadsheet!$E70*SAP_Speadsheet!BC$85*BB$15)</f>
        <v>0</v>
      </c>
      <c r="BD99" s="335">
        <f>-IF(BD$5&gt;Leadsheet!$E$12,0,Leadsheet!$E70*SAP_Speadsheet!BD$85*BC$15)</f>
        <v>0</v>
      </c>
      <c r="BE99" s="335">
        <f>-IF(BE$5&gt;Leadsheet!$E$12,0,Leadsheet!$E70*SAP_Speadsheet!BE$85*BD$15)</f>
        <v>0</v>
      </c>
      <c r="BF99" s="335">
        <f>-IF(BF$5&gt;Leadsheet!$E$12,0,Leadsheet!$E70*SAP_Speadsheet!BF$85*BE$15)</f>
        <v>0</v>
      </c>
      <c r="BG99" s="335">
        <f>-IF(BG$5&gt;Leadsheet!$E$12,0,Leadsheet!$E70*SAP_Speadsheet!BG$85*BF$15)</f>
        <v>0</v>
      </c>
      <c r="BH99" s="335">
        <f>-IF(BH$5&gt;Leadsheet!$E$12,0,Leadsheet!$E70*SAP_Speadsheet!BH$85*BG$15)</f>
        <v>0</v>
      </c>
      <c r="BI99" s="335">
        <f>-IF(BI$5&gt;Leadsheet!$E$12,0,Leadsheet!$E70*SAP_Speadsheet!BI$85*BH$15)</f>
        <v>0</v>
      </c>
      <c r="BJ99" s="335">
        <f>-IF(BJ$5&gt;Leadsheet!$E$12,0,Leadsheet!$E70*SAP_Speadsheet!BJ$85*BI$15)</f>
        <v>0</v>
      </c>
      <c r="BK99" s="335">
        <f>-IF(BK$5&gt;Leadsheet!$E$12,0,Leadsheet!$E70*SAP_Speadsheet!BK$85*BJ$15)</f>
        <v>0</v>
      </c>
      <c r="BL99" s="335">
        <f>-IF(BL$5&gt;Leadsheet!$E$12,0,Leadsheet!$E70*SAP_Speadsheet!BL$85*BK$15)</f>
        <v>0</v>
      </c>
    </row>
    <row r="100" spans="1:64" s="394" customFormat="1" x14ac:dyDescent="0.15">
      <c r="C100" s="355"/>
      <c r="D100" s="337"/>
      <c r="E100" s="430"/>
      <c r="F100" s="430"/>
      <c r="G100" s="430"/>
      <c r="H100" s="430"/>
      <c r="I100" s="430"/>
      <c r="J100" s="430"/>
      <c r="K100" s="430"/>
      <c r="L100" s="430"/>
      <c r="M100" s="430"/>
      <c r="N100" s="430"/>
      <c r="O100" s="430"/>
      <c r="P100" s="430"/>
      <c r="Q100" s="430"/>
      <c r="R100" s="430"/>
      <c r="S100" s="430"/>
      <c r="T100" s="430"/>
      <c r="U100" s="430"/>
      <c r="V100" s="430"/>
      <c r="W100" s="430"/>
      <c r="X100" s="430"/>
      <c r="Y100" s="430"/>
      <c r="Z100" s="430"/>
      <c r="AA100" s="430"/>
      <c r="AB100" s="430"/>
      <c r="AC100" s="430"/>
      <c r="AD100" s="430"/>
      <c r="AE100" s="430"/>
      <c r="AF100" s="430"/>
      <c r="AG100" s="430"/>
      <c r="AH100" s="430"/>
      <c r="AI100" s="430"/>
      <c r="AJ100" s="430"/>
      <c r="AK100" s="430"/>
      <c r="AL100" s="430"/>
      <c r="AM100" s="430"/>
      <c r="AN100" s="430"/>
      <c r="AO100" s="430"/>
      <c r="AP100" s="430"/>
      <c r="AQ100" s="430"/>
      <c r="AR100" s="430"/>
      <c r="AS100" s="430"/>
      <c r="AT100" s="430"/>
      <c r="AU100" s="430"/>
      <c r="AV100" s="430"/>
      <c r="AW100" s="430"/>
      <c r="AX100" s="430"/>
      <c r="AY100" s="430"/>
      <c r="AZ100" s="430"/>
      <c r="BA100" s="430"/>
      <c r="BB100" s="430"/>
      <c r="BC100" s="430"/>
      <c r="BD100" s="430"/>
      <c r="BE100" s="430"/>
      <c r="BF100" s="430"/>
      <c r="BG100" s="430"/>
      <c r="BH100" s="430"/>
      <c r="BI100" s="430"/>
      <c r="BJ100" s="430"/>
      <c r="BK100" s="430"/>
      <c r="BL100" s="430"/>
    </row>
    <row r="101" spans="1:64" x14ac:dyDescent="0.15">
      <c r="F101" s="335"/>
      <c r="G101" s="335"/>
      <c r="H101" s="335"/>
      <c r="I101" s="335"/>
      <c r="J101" s="335"/>
      <c r="K101" s="335"/>
      <c r="L101" s="335"/>
      <c r="M101" s="335"/>
      <c r="N101" s="335"/>
      <c r="O101" s="335"/>
      <c r="P101" s="335"/>
      <c r="Q101" s="335"/>
      <c r="R101" s="335"/>
      <c r="S101" s="335"/>
      <c r="T101" s="335"/>
      <c r="U101" s="335"/>
      <c r="V101" s="335"/>
      <c r="W101" s="335"/>
      <c r="X101" s="335"/>
      <c r="Y101" s="335"/>
      <c r="Z101" s="335"/>
      <c r="AA101" s="335"/>
      <c r="AB101" s="335"/>
      <c r="AC101" s="335"/>
      <c r="AD101" s="335"/>
      <c r="AE101" s="335"/>
      <c r="AF101" s="335"/>
      <c r="AG101" s="335"/>
      <c r="AH101" s="335"/>
      <c r="AI101" s="335"/>
      <c r="AJ101" s="335"/>
      <c r="AK101" s="335"/>
      <c r="AL101" s="335"/>
      <c r="AM101" s="335"/>
      <c r="AN101" s="335"/>
      <c r="AO101" s="335"/>
      <c r="AP101" s="335"/>
      <c r="AQ101" s="335"/>
      <c r="AR101" s="335"/>
      <c r="AS101" s="335"/>
      <c r="AT101" s="335"/>
      <c r="AU101" s="335"/>
      <c r="AV101" s="335"/>
      <c r="AW101" s="335"/>
      <c r="AX101" s="335"/>
      <c r="AY101" s="335"/>
      <c r="AZ101" s="335"/>
      <c r="BA101" s="335"/>
      <c r="BB101" s="335"/>
      <c r="BC101" s="335"/>
    </row>
    <row r="102" spans="1:64" ht="13" thickBot="1" x14ac:dyDescent="0.2">
      <c r="A102" s="337"/>
      <c r="B102" s="399" t="s">
        <v>535</v>
      </c>
      <c r="C102" s="400"/>
      <c r="D102" s="401"/>
      <c r="E102" s="402"/>
      <c r="F102" s="401"/>
      <c r="G102" s="401"/>
      <c r="H102" s="401"/>
      <c r="I102" s="401"/>
      <c r="J102" s="401"/>
      <c r="K102" s="401"/>
      <c r="L102" s="401"/>
      <c r="M102" s="401"/>
      <c r="N102" s="401"/>
      <c r="O102" s="401"/>
      <c r="P102" s="401"/>
      <c r="Q102" s="401"/>
      <c r="R102" s="401"/>
      <c r="S102" s="401"/>
      <c r="T102" s="401"/>
      <c r="U102" s="401"/>
      <c r="V102" s="401"/>
      <c r="W102" s="401"/>
      <c r="X102" s="401"/>
      <c r="Y102" s="401"/>
      <c r="Z102" s="401"/>
      <c r="AA102" s="401"/>
      <c r="AB102" s="401"/>
      <c r="AC102" s="401"/>
      <c r="AD102" s="401"/>
      <c r="AE102" s="401"/>
      <c r="AF102" s="401"/>
      <c r="AG102" s="401"/>
      <c r="AH102" s="401"/>
      <c r="AI102" s="401"/>
      <c r="AJ102" s="401"/>
      <c r="AK102" s="401"/>
      <c r="AL102" s="401"/>
      <c r="AM102" s="401"/>
      <c r="AN102" s="401"/>
      <c r="AO102" s="401"/>
      <c r="AP102" s="401"/>
      <c r="AQ102" s="401"/>
      <c r="AR102" s="401"/>
      <c r="AS102" s="401"/>
      <c r="AT102" s="401"/>
      <c r="AU102" s="401"/>
      <c r="AV102" s="401"/>
      <c r="AW102" s="401"/>
      <c r="AX102" s="401"/>
      <c r="AY102" s="401"/>
      <c r="AZ102" s="401"/>
      <c r="BA102" s="401"/>
      <c r="BB102" s="401"/>
      <c r="BC102" s="401"/>
      <c r="BD102" s="401"/>
      <c r="BE102" s="401"/>
      <c r="BF102" s="401"/>
      <c r="BG102" s="401"/>
      <c r="BH102" s="401"/>
      <c r="BI102" s="401"/>
      <c r="BJ102" s="401"/>
      <c r="BK102" s="401"/>
      <c r="BL102" s="401"/>
    </row>
    <row r="103" spans="1:64" ht="12" thickTop="1" x14ac:dyDescent="0.15">
      <c r="C103" s="431" t="s">
        <v>536</v>
      </c>
      <c r="E103" s="257" t="s">
        <v>162</v>
      </c>
      <c r="F103" s="257" t="s">
        <v>537</v>
      </c>
      <c r="G103" s="257" t="s">
        <v>538</v>
      </c>
    </row>
    <row r="104" spans="1:64" x14ac:dyDescent="0.15">
      <c r="C104" s="257" t="s">
        <v>500</v>
      </c>
      <c r="E104" s="403">
        <f>Leadsheet!F76</f>
        <v>4.9144364079435267E-2</v>
      </c>
      <c r="F104" s="403">
        <v>7.4999999999999997E-3</v>
      </c>
      <c r="G104" s="432">
        <v>7.4999999999999997E-3</v>
      </c>
    </row>
    <row r="105" spans="1:64" x14ac:dyDescent="0.15">
      <c r="C105" s="257" t="s">
        <v>502</v>
      </c>
      <c r="E105" s="403">
        <f>Leadsheet!F77</f>
        <v>0.66411302810047668</v>
      </c>
      <c r="F105" s="403">
        <v>5.7500000000000002E-2</v>
      </c>
      <c r="G105" s="432">
        <v>5.7500000000000002E-2</v>
      </c>
    </row>
    <row r="106" spans="1:64" x14ac:dyDescent="0.15">
      <c r="C106" s="257" t="s">
        <v>503</v>
      </c>
      <c r="E106" s="403">
        <f>Leadsheet!F78</f>
        <v>0.835362299497455</v>
      </c>
      <c r="F106" s="403">
        <v>5.7500000000000002E-2</v>
      </c>
      <c r="G106" s="432">
        <v>5.7500000000000002E-2</v>
      </c>
    </row>
    <row r="107" spans="1:64" x14ac:dyDescent="0.15">
      <c r="C107" s="257" t="s">
        <v>504</v>
      </c>
      <c r="E107" s="403">
        <f>Leadsheet!F79</f>
        <v>0.87814510494403786</v>
      </c>
      <c r="F107" s="403">
        <v>5.7500000000000002E-2</v>
      </c>
      <c r="G107" s="432">
        <v>5.7500000000000002E-2</v>
      </c>
    </row>
    <row r="108" spans="1:64" x14ac:dyDescent="0.15">
      <c r="C108" s="257" t="s">
        <v>506</v>
      </c>
      <c r="E108" s="403">
        <f>Leadsheet!F80</f>
        <v>0.89953326108833531</v>
      </c>
      <c r="F108" s="403">
        <v>0.20749999999999999</v>
      </c>
      <c r="G108" s="432">
        <v>0.20749999999999999</v>
      </c>
    </row>
    <row r="109" spans="1:64" x14ac:dyDescent="0.15">
      <c r="C109" s="257" t="s">
        <v>507</v>
      </c>
      <c r="E109" s="403">
        <f>Leadsheet!F81</f>
        <v>0.9091345441901183</v>
      </c>
      <c r="F109" s="403">
        <v>0.20749999999999999</v>
      </c>
      <c r="G109" s="432">
        <v>0.20749999999999999</v>
      </c>
    </row>
    <row r="110" spans="1:64" x14ac:dyDescent="0.15">
      <c r="C110" s="257" t="s">
        <v>508</v>
      </c>
      <c r="E110" s="403">
        <f>Leadsheet!F82</f>
        <v>0.9183177214041599</v>
      </c>
      <c r="F110" s="403">
        <v>0.20749999999999999</v>
      </c>
      <c r="G110" s="432">
        <v>0.20749999999999999</v>
      </c>
    </row>
    <row r="111" spans="1:64" x14ac:dyDescent="0.15">
      <c r="C111" s="257" t="s">
        <v>510</v>
      </c>
      <c r="E111" s="403">
        <f>Leadsheet!F83</f>
        <v>0.92572350947999993</v>
      </c>
      <c r="F111" s="403">
        <v>0.50749999999999995</v>
      </c>
      <c r="G111" s="432">
        <v>0.50749999999999995</v>
      </c>
    </row>
    <row r="112" spans="1:64" x14ac:dyDescent="0.15">
      <c r="C112" s="257" t="s">
        <v>511</v>
      </c>
      <c r="E112" s="403">
        <f>Leadsheet!F84</f>
        <v>0.95079599999999986</v>
      </c>
      <c r="F112" s="403">
        <v>0.50749999999999995</v>
      </c>
      <c r="G112" s="432">
        <v>1</v>
      </c>
    </row>
    <row r="113" spans="2:64" x14ac:dyDescent="0.15">
      <c r="C113" s="257" t="s">
        <v>512</v>
      </c>
      <c r="E113" s="403">
        <f>Leadsheet!F85</f>
        <v>0.95079599999999986</v>
      </c>
      <c r="F113" s="403">
        <v>0.50749999999999995</v>
      </c>
    </row>
    <row r="114" spans="2:64" x14ac:dyDescent="0.15">
      <c r="C114" s="257" t="s">
        <v>359</v>
      </c>
      <c r="E114" s="403">
        <f>Leadsheet!F86</f>
        <v>0.95079599999999986</v>
      </c>
      <c r="F114" s="403">
        <v>0.50749999999999995</v>
      </c>
    </row>
    <row r="115" spans="2:64" x14ac:dyDescent="0.15">
      <c r="C115" s="257" t="s">
        <v>361</v>
      </c>
      <c r="E115" s="403">
        <f>Leadsheet!F87</f>
        <v>0.95079599999999986</v>
      </c>
      <c r="F115" s="403">
        <v>0.50749999999999995</v>
      </c>
    </row>
    <row r="116" spans="2:64" x14ac:dyDescent="0.15">
      <c r="C116" s="257" t="s">
        <v>362</v>
      </c>
      <c r="E116" s="403">
        <f>Leadsheet!F88</f>
        <v>0.95079599999999986</v>
      </c>
      <c r="F116" s="403">
        <v>0.50749999999999995</v>
      </c>
    </row>
    <row r="117" spans="2:64" x14ac:dyDescent="0.15">
      <c r="C117" s="257" t="s">
        <v>363</v>
      </c>
      <c r="E117" s="403">
        <f>Leadsheet!F89</f>
        <v>0.95079599999999986</v>
      </c>
      <c r="F117" s="403">
        <v>1</v>
      </c>
    </row>
    <row r="118" spans="2:64" x14ac:dyDescent="0.15">
      <c r="C118" s="257" t="s">
        <v>515</v>
      </c>
      <c r="E118" s="403">
        <f>Leadsheet!F90</f>
        <v>0.97019999999999995</v>
      </c>
      <c r="F118" s="403">
        <v>1</v>
      </c>
    </row>
    <row r="120" spans="2:64" x14ac:dyDescent="0.15">
      <c r="B120" s="337" t="s">
        <v>162</v>
      </c>
    </row>
    <row r="121" spans="2:64" s="337" customFormat="1" x14ac:dyDescent="0.15">
      <c r="C121" s="337" t="s">
        <v>539</v>
      </c>
    </row>
    <row r="122" spans="2:64" s="337" customFormat="1" x14ac:dyDescent="0.15">
      <c r="C122" s="257" t="s">
        <v>500</v>
      </c>
      <c r="E122" s="330">
        <f t="shared" ref="E122:BL126" si="21">IF(E$5&gt;$D$7,0,E25*$E104)</f>
        <v>0</v>
      </c>
      <c r="F122" s="330">
        <f t="shared" si="21"/>
        <v>0</v>
      </c>
      <c r="G122" s="330">
        <f t="shared" si="21"/>
        <v>0</v>
      </c>
      <c r="H122" s="330">
        <f t="shared" si="21"/>
        <v>0</v>
      </c>
      <c r="I122" s="330">
        <f t="shared" si="21"/>
        <v>0</v>
      </c>
      <c r="J122" s="330">
        <f t="shared" si="21"/>
        <v>0</v>
      </c>
      <c r="K122" s="330">
        <f t="shared" si="21"/>
        <v>0</v>
      </c>
      <c r="L122" s="330">
        <f t="shared" si="21"/>
        <v>0</v>
      </c>
      <c r="M122" s="330">
        <f t="shared" si="21"/>
        <v>0</v>
      </c>
      <c r="N122" s="330">
        <f t="shared" si="21"/>
        <v>0</v>
      </c>
      <c r="O122" s="330">
        <f t="shared" si="21"/>
        <v>0</v>
      </c>
      <c r="P122" s="330">
        <f t="shared" si="21"/>
        <v>0</v>
      </c>
      <c r="Q122" s="330">
        <f t="shared" si="21"/>
        <v>0</v>
      </c>
      <c r="R122" s="330">
        <f t="shared" si="21"/>
        <v>0</v>
      </c>
      <c r="S122" s="330">
        <f t="shared" si="21"/>
        <v>0</v>
      </c>
      <c r="T122" s="330">
        <f t="shared" si="21"/>
        <v>0</v>
      </c>
      <c r="U122" s="330">
        <f t="shared" si="21"/>
        <v>0</v>
      </c>
      <c r="V122" s="330">
        <f t="shared" si="21"/>
        <v>0</v>
      </c>
      <c r="W122" s="330">
        <f t="shared" si="21"/>
        <v>0</v>
      </c>
      <c r="X122" s="330">
        <f t="shared" si="21"/>
        <v>0</v>
      </c>
      <c r="Y122" s="330">
        <f t="shared" si="21"/>
        <v>0</v>
      </c>
      <c r="Z122" s="330">
        <f t="shared" si="21"/>
        <v>0</v>
      </c>
      <c r="AA122" s="330">
        <f t="shared" si="21"/>
        <v>0</v>
      </c>
      <c r="AB122" s="330">
        <f t="shared" si="21"/>
        <v>0</v>
      </c>
      <c r="AC122" s="330">
        <f t="shared" si="21"/>
        <v>0</v>
      </c>
      <c r="AD122" s="330">
        <f t="shared" si="21"/>
        <v>0</v>
      </c>
      <c r="AE122" s="330">
        <f t="shared" si="21"/>
        <v>0</v>
      </c>
      <c r="AF122" s="330">
        <f t="shared" si="21"/>
        <v>0</v>
      </c>
      <c r="AG122" s="330">
        <f t="shared" si="21"/>
        <v>0</v>
      </c>
      <c r="AH122" s="330">
        <f t="shared" si="21"/>
        <v>0</v>
      </c>
      <c r="AI122" s="330">
        <f t="shared" si="21"/>
        <v>0</v>
      </c>
      <c r="AJ122" s="330">
        <f t="shared" si="21"/>
        <v>0</v>
      </c>
      <c r="AK122" s="330">
        <f t="shared" si="21"/>
        <v>0</v>
      </c>
      <c r="AL122" s="330">
        <f t="shared" si="21"/>
        <v>0</v>
      </c>
      <c r="AM122" s="330">
        <f t="shared" si="21"/>
        <v>0</v>
      </c>
      <c r="AN122" s="330">
        <f t="shared" si="21"/>
        <v>0</v>
      </c>
      <c r="AO122" s="330">
        <f t="shared" si="21"/>
        <v>0</v>
      </c>
      <c r="AP122" s="330">
        <f t="shared" si="21"/>
        <v>0</v>
      </c>
      <c r="AQ122" s="330">
        <f t="shared" si="21"/>
        <v>0</v>
      </c>
      <c r="AR122" s="330">
        <f t="shared" si="21"/>
        <v>0</v>
      </c>
      <c r="AS122" s="330">
        <f t="shared" si="21"/>
        <v>0</v>
      </c>
      <c r="AT122" s="330">
        <f t="shared" si="21"/>
        <v>0</v>
      </c>
      <c r="AU122" s="330">
        <f t="shared" si="21"/>
        <v>0</v>
      </c>
      <c r="AV122" s="330">
        <f t="shared" si="21"/>
        <v>0</v>
      </c>
      <c r="AW122" s="330">
        <f t="shared" si="21"/>
        <v>0</v>
      </c>
      <c r="AX122" s="330">
        <f t="shared" si="21"/>
        <v>0</v>
      </c>
      <c r="AY122" s="330">
        <f t="shared" si="21"/>
        <v>0</v>
      </c>
      <c r="AZ122" s="330">
        <f t="shared" si="21"/>
        <v>0</v>
      </c>
      <c r="BA122" s="330">
        <f t="shared" si="21"/>
        <v>0</v>
      </c>
      <c r="BB122" s="330">
        <f t="shared" si="21"/>
        <v>0</v>
      </c>
      <c r="BC122" s="330">
        <f t="shared" si="21"/>
        <v>0</v>
      </c>
      <c r="BD122" s="330">
        <f t="shared" si="21"/>
        <v>0</v>
      </c>
      <c r="BE122" s="330">
        <f t="shared" si="21"/>
        <v>0</v>
      </c>
      <c r="BF122" s="330">
        <f t="shared" si="21"/>
        <v>0</v>
      </c>
      <c r="BG122" s="330">
        <f t="shared" si="21"/>
        <v>0</v>
      </c>
      <c r="BH122" s="330">
        <f t="shared" si="21"/>
        <v>0</v>
      </c>
      <c r="BI122" s="330">
        <f t="shared" si="21"/>
        <v>0</v>
      </c>
      <c r="BJ122" s="330">
        <f t="shared" si="21"/>
        <v>0</v>
      </c>
      <c r="BK122" s="330">
        <f t="shared" si="21"/>
        <v>0</v>
      </c>
      <c r="BL122" s="330">
        <f t="shared" si="21"/>
        <v>0</v>
      </c>
    </row>
    <row r="123" spans="2:64" s="337" customFormat="1" x14ac:dyDescent="0.15">
      <c r="C123" s="257" t="s">
        <v>502</v>
      </c>
      <c r="E123" s="330">
        <f t="shared" si="21"/>
        <v>0.17376625862934639</v>
      </c>
      <c r="F123" s="330">
        <f t="shared" si="21"/>
        <v>0</v>
      </c>
      <c r="G123" s="330">
        <f t="shared" si="21"/>
        <v>0</v>
      </c>
      <c r="H123" s="330">
        <f t="shared" si="21"/>
        <v>0</v>
      </c>
      <c r="I123" s="330">
        <f t="shared" si="21"/>
        <v>0</v>
      </c>
      <c r="J123" s="330">
        <f t="shared" si="21"/>
        <v>0</v>
      </c>
      <c r="K123" s="330">
        <f t="shared" si="21"/>
        <v>0</v>
      </c>
      <c r="L123" s="330">
        <f t="shared" si="21"/>
        <v>0</v>
      </c>
      <c r="M123" s="330">
        <f t="shared" si="21"/>
        <v>0</v>
      </c>
      <c r="N123" s="330">
        <f t="shared" si="21"/>
        <v>0</v>
      </c>
      <c r="O123" s="330">
        <f t="shared" si="21"/>
        <v>0</v>
      </c>
      <c r="P123" s="330">
        <f t="shared" si="21"/>
        <v>0</v>
      </c>
      <c r="Q123" s="330">
        <f t="shared" si="21"/>
        <v>0</v>
      </c>
      <c r="R123" s="330">
        <f t="shared" si="21"/>
        <v>0</v>
      </c>
      <c r="S123" s="330">
        <f t="shared" si="21"/>
        <v>0</v>
      </c>
      <c r="T123" s="330">
        <f t="shared" si="21"/>
        <v>0</v>
      </c>
      <c r="U123" s="330">
        <f t="shared" si="21"/>
        <v>0</v>
      </c>
      <c r="V123" s="330">
        <f t="shared" si="21"/>
        <v>0</v>
      </c>
      <c r="W123" s="330">
        <f t="shared" si="21"/>
        <v>0</v>
      </c>
      <c r="X123" s="330">
        <f t="shared" si="21"/>
        <v>0</v>
      </c>
      <c r="Y123" s="330">
        <f t="shared" si="21"/>
        <v>0</v>
      </c>
      <c r="Z123" s="330">
        <f t="shared" si="21"/>
        <v>0</v>
      </c>
      <c r="AA123" s="330">
        <f t="shared" si="21"/>
        <v>0</v>
      </c>
      <c r="AB123" s="330">
        <f t="shared" si="21"/>
        <v>0</v>
      </c>
      <c r="AC123" s="330">
        <f t="shared" si="21"/>
        <v>0</v>
      </c>
      <c r="AD123" s="330">
        <f t="shared" si="21"/>
        <v>0</v>
      </c>
      <c r="AE123" s="330">
        <f t="shared" si="21"/>
        <v>0</v>
      </c>
      <c r="AF123" s="330">
        <f t="shared" si="21"/>
        <v>0</v>
      </c>
      <c r="AG123" s="330">
        <f t="shared" si="21"/>
        <v>0</v>
      </c>
      <c r="AH123" s="330">
        <f t="shared" si="21"/>
        <v>0</v>
      </c>
      <c r="AI123" s="330">
        <f t="shared" si="21"/>
        <v>0</v>
      </c>
      <c r="AJ123" s="330">
        <f t="shared" si="21"/>
        <v>0</v>
      </c>
      <c r="AK123" s="330">
        <f t="shared" si="21"/>
        <v>0</v>
      </c>
      <c r="AL123" s="330">
        <f t="shared" si="21"/>
        <v>0</v>
      </c>
      <c r="AM123" s="330">
        <f t="shared" si="21"/>
        <v>0</v>
      </c>
      <c r="AN123" s="330">
        <f t="shared" si="21"/>
        <v>0</v>
      </c>
      <c r="AO123" s="330">
        <f t="shared" si="21"/>
        <v>0</v>
      </c>
      <c r="AP123" s="330">
        <f t="shared" si="21"/>
        <v>0</v>
      </c>
      <c r="AQ123" s="330">
        <f t="shared" si="21"/>
        <v>0</v>
      </c>
      <c r="AR123" s="330">
        <f t="shared" si="21"/>
        <v>0</v>
      </c>
      <c r="AS123" s="330">
        <f t="shared" si="21"/>
        <v>0</v>
      </c>
      <c r="AT123" s="330">
        <f t="shared" si="21"/>
        <v>0</v>
      </c>
      <c r="AU123" s="330">
        <f t="shared" si="21"/>
        <v>0</v>
      </c>
      <c r="AV123" s="330">
        <f t="shared" si="21"/>
        <v>0</v>
      </c>
      <c r="AW123" s="330">
        <f t="shared" si="21"/>
        <v>0</v>
      </c>
      <c r="AX123" s="330">
        <f t="shared" si="21"/>
        <v>0</v>
      </c>
      <c r="AY123" s="330">
        <f t="shared" si="21"/>
        <v>0</v>
      </c>
      <c r="AZ123" s="330">
        <f t="shared" si="21"/>
        <v>0</v>
      </c>
      <c r="BA123" s="330">
        <f t="shared" si="21"/>
        <v>0</v>
      </c>
      <c r="BB123" s="330">
        <f t="shared" si="21"/>
        <v>0</v>
      </c>
      <c r="BC123" s="330">
        <f t="shared" si="21"/>
        <v>0</v>
      </c>
      <c r="BD123" s="330">
        <f t="shared" si="21"/>
        <v>0</v>
      </c>
      <c r="BE123" s="330">
        <f t="shared" si="21"/>
        <v>0</v>
      </c>
      <c r="BF123" s="330">
        <f t="shared" si="21"/>
        <v>0</v>
      </c>
      <c r="BG123" s="330">
        <f t="shared" si="21"/>
        <v>0</v>
      </c>
      <c r="BH123" s="330">
        <f t="shared" si="21"/>
        <v>0</v>
      </c>
      <c r="BI123" s="330">
        <f t="shared" si="21"/>
        <v>0</v>
      </c>
      <c r="BJ123" s="330">
        <f t="shared" si="21"/>
        <v>0</v>
      </c>
      <c r="BK123" s="330">
        <f t="shared" si="21"/>
        <v>0</v>
      </c>
      <c r="BL123" s="330">
        <f t="shared" si="21"/>
        <v>0</v>
      </c>
    </row>
    <row r="124" spans="2:64" s="337" customFormat="1" x14ac:dyDescent="0.15">
      <c r="C124" s="257" t="s">
        <v>503</v>
      </c>
      <c r="E124" s="330">
        <f t="shared" si="21"/>
        <v>0</v>
      </c>
      <c r="F124" s="330">
        <f t="shared" si="21"/>
        <v>0.17376625862934642</v>
      </c>
      <c r="G124" s="330">
        <f t="shared" si="21"/>
        <v>0</v>
      </c>
      <c r="H124" s="330">
        <f t="shared" si="21"/>
        <v>0</v>
      </c>
      <c r="I124" s="330">
        <f t="shared" si="21"/>
        <v>0</v>
      </c>
      <c r="J124" s="330">
        <f t="shared" si="21"/>
        <v>0</v>
      </c>
      <c r="K124" s="330">
        <f t="shared" si="21"/>
        <v>0</v>
      </c>
      <c r="L124" s="330">
        <f t="shared" si="21"/>
        <v>0</v>
      </c>
      <c r="M124" s="330">
        <f t="shared" si="21"/>
        <v>0</v>
      </c>
      <c r="N124" s="330">
        <f t="shared" si="21"/>
        <v>0</v>
      </c>
      <c r="O124" s="330">
        <f t="shared" si="21"/>
        <v>0</v>
      </c>
      <c r="P124" s="330">
        <f t="shared" si="21"/>
        <v>0</v>
      </c>
      <c r="Q124" s="330">
        <f t="shared" si="21"/>
        <v>0</v>
      </c>
      <c r="R124" s="330">
        <f t="shared" si="21"/>
        <v>0</v>
      </c>
      <c r="S124" s="330">
        <f t="shared" si="21"/>
        <v>0</v>
      </c>
      <c r="T124" s="330">
        <f t="shared" si="21"/>
        <v>0</v>
      </c>
      <c r="U124" s="330">
        <f t="shared" si="21"/>
        <v>0</v>
      </c>
      <c r="V124" s="330">
        <f t="shared" si="21"/>
        <v>0</v>
      </c>
      <c r="W124" s="330">
        <f t="shared" si="21"/>
        <v>0</v>
      </c>
      <c r="X124" s="330">
        <f t="shared" si="21"/>
        <v>0</v>
      </c>
      <c r="Y124" s="330">
        <f t="shared" si="21"/>
        <v>0</v>
      </c>
      <c r="Z124" s="330">
        <f t="shared" si="21"/>
        <v>0</v>
      </c>
      <c r="AA124" s="330">
        <f t="shared" si="21"/>
        <v>0</v>
      </c>
      <c r="AB124" s="330">
        <f t="shared" si="21"/>
        <v>0</v>
      </c>
      <c r="AC124" s="330">
        <f t="shared" si="21"/>
        <v>0</v>
      </c>
      <c r="AD124" s="330">
        <f t="shared" si="21"/>
        <v>0</v>
      </c>
      <c r="AE124" s="330">
        <f t="shared" si="21"/>
        <v>0</v>
      </c>
      <c r="AF124" s="330">
        <f t="shared" si="21"/>
        <v>0</v>
      </c>
      <c r="AG124" s="330">
        <f t="shared" si="21"/>
        <v>0</v>
      </c>
      <c r="AH124" s="330">
        <f t="shared" si="21"/>
        <v>0</v>
      </c>
      <c r="AI124" s="330">
        <f t="shared" si="21"/>
        <v>0</v>
      </c>
      <c r="AJ124" s="330">
        <f t="shared" si="21"/>
        <v>0</v>
      </c>
      <c r="AK124" s="330">
        <f t="shared" si="21"/>
        <v>0</v>
      </c>
      <c r="AL124" s="330">
        <f t="shared" si="21"/>
        <v>0</v>
      </c>
      <c r="AM124" s="330">
        <f t="shared" si="21"/>
        <v>0</v>
      </c>
      <c r="AN124" s="330">
        <f t="shared" si="21"/>
        <v>0</v>
      </c>
      <c r="AO124" s="330">
        <f t="shared" si="21"/>
        <v>0</v>
      </c>
      <c r="AP124" s="330">
        <f t="shared" si="21"/>
        <v>0</v>
      </c>
      <c r="AQ124" s="330">
        <f t="shared" si="21"/>
        <v>0</v>
      </c>
      <c r="AR124" s="330">
        <f t="shared" si="21"/>
        <v>0</v>
      </c>
      <c r="AS124" s="330">
        <f t="shared" si="21"/>
        <v>0</v>
      </c>
      <c r="AT124" s="330">
        <f t="shared" si="21"/>
        <v>0</v>
      </c>
      <c r="AU124" s="330">
        <f t="shared" si="21"/>
        <v>0</v>
      </c>
      <c r="AV124" s="330">
        <f t="shared" si="21"/>
        <v>0</v>
      </c>
      <c r="AW124" s="330">
        <f t="shared" si="21"/>
        <v>0</v>
      </c>
      <c r="AX124" s="330">
        <f t="shared" si="21"/>
        <v>0</v>
      </c>
      <c r="AY124" s="330">
        <f t="shared" si="21"/>
        <v>0</v>
      </c>
      <c r="AZ124" s="330">
        <f t="shared" si="21"/>
        <v>0</v>
      </c>
      <c r="BA124" s="330">
        <f t="shared" si="21"/>
        <v>0</v>
      </c>
      <c r="BB124" s="330">
        <f t="shared" si="21"/>
        <v>0</v>
      </c>
      <c r="BC124" s="330">
        <f t="shared" si="21"/>
        <v>0</v>
      </c>
      <c r="BD124" s="330">
        <f t="shared" si="21"/>
        <v>0</v>
      </c>
      <c r="BE124" s="330">
        <f t="shared" si="21"/>
        <v>0</v>
      </c>
      <c r="BF124" s="330">
        <f t="shared" si="21"/>
        <v>0</v>
      </c>
      <c r="BG124" s="330">
        <f t="shared" si="21"/>
        <v>0</v>
      </c>
      <c r="BH124" s="330">
        <f t="shared" si="21"/>
        <v>0</v>
      </c>
      <c r="BI124" s="330">
        <f t="shared" si="21"/>
        <v>0</v>
      </c>
      <c r="BJ124" s="330">
        <f t="shared" si="21"/>
        <v>0</v>
      </c>
      <c r="BK124" s="330">
        <f t="shared" si="21"/>
        <v>0</v>
      </c>
      <c r="BL124" s="330">
        <f t="shared" si="21"/>
        <v>0</v>
      </c>
    </row>
    <row r="125" spans="2:64" s="337" customFormat="1" x14ac:dyDescent="0.15">
      <c r="C125" s="257" t="s">
        <v>504</v>
      </c>
      <c r="E125" s="330">
        <f t="shared" si="21"/>
        <v>0</v>
      </c>
      <c r="F125" s="330">
        <f t="shared" si="21"/>
        <v>0</v>
      </c>
      <c r="G125" s="330">
        <f t="shared" si="21"/>
        <v>0.17376625862934639</v>
      </c>
      <c r="H125" s="330">
        <f t="shared" si="21"/>
        <v>0</v>
      </c>
      <c r="I125" s="330">
        <f t="shared" si="21"/>
        <v>0</v>
      </c>
      <c r="J125" s="330">
        <f t="shared" si="21"/>
        <v>0</v>
      </c>
      <c r="K125" s="330">
        <f t="shared" si="21"/>
        <v>0</v>
      </c>
      <c r="L125" s="330">
        <f t="shared" si="21"/>
        <v>0</v>
      </c>
      <c r="M125" s="330">
        <f t="shared" si="21"/>
        <v>0</v>
      </c>
      <c r="N125" s="330">
        <f t="shared" si="21"/>
        <v>0</v>
      </c>
      <c r="O125" s="330">
        <f t="shared" si="21"/>
        <v>0</v>
      </c>
      <c r="P125" s="330">
        <f t="shared" si="21"/>
        <v>0</v>
      </c>
      <c r="Q125" s="330">
        <f t="shared" si="21"/>
        <v>0</v>
      </c>
      <c r="R125" s="330">
        <f t="shared" si="21"/>
        <v>0</v>
      </c>
      <c r="S125" s="330">
        <f t="shared" si="21"/>
        <v>0</v>
      </c>
      <c r="T125" s="330">
        <f t="shared" si="21"/>
        <v>0</v>
      </c>
      <c r="U125" s="330">
        <f t="shared" si="21"/>
        <v>0</v>
      </c>
      <c r="V125" s="330">
        <f t="shared" si="21"/>
        <v>0</v>
      </c>
      <c r="W125" s="330">
        <f t="shared" si="21"/>
        <v>0</v>
      </c>
      <c r="X125" s="330">
        <f t="shared" si="21"/>
        <v>0</v>
      </c>
      <c r="Y125" s="330">
        <f t="shared" si="21"/>
        <v>0</v>
      </c>
      <c r="Z125" s="330">
        <f t="shared" si="21"/>
        <v>0</v>
      </c>
      <c r="AA125" s="330">
        <f t="shared" si="21"/>
        <v>0</v>
      </c>
      <c r="AB125" s="330">
        <f t="shared" si="21"/>
        <v>0</v>
      </c>
      <c r="AC125" s="330">
        <f t="shared" si="21"/>
        <v>0</v>
      </c>
      <c r="AD125" s="330">
        <f t="shared" si="21"/>
        <v>0</v>
      </c>
      <c r="AE125" s="330">
        <f t="shared" si="21"/>
        <v>0</v>
      </c>
      <c r="AF125" s="330">
        <f t="shared" si="21"/>
        <v>0</v>
      </c>
      <c r="AG125" s="330">
        <f t="shared" si="21"/>
        <v>0</v>
      </c>
      <c r="AH125" s="330">
        <f t="shared" si="21"/>
        <v>0</v>
      </c>
      <c r="AI125" s="330">
        <f t="shared" si="21"/>
        <v>0</v>
      </c>
      <c r="AJ125" s="330">
        <f t="shared" si="21"/>
        <v>0</v>
      </c>
      <c r="AK125" s="330">
        <f t="shared" si="21"/>
        <v>0</v>
      </c>
      <c r="AL125" s="330">
        <f t="shared" si="21"/>
        <v>0</v>
      </c>
      <c r="AM125" s="330">
        <f t="shared" si="21"/>
        <v>0</v>
      </c>
      <c r="AN125" s="330">
        <f t="shared" si="21"/>
        <v>0</v>
      </c>
      <c r="AO125" s="330">
        <f t="shared" si="21"/>
        <v>0</v>
      </c>
      <c r="AP125" s="330">
        <f t="shared" si="21"/>
        <v>0</v>
      </c>
      <c r="AQ125" s="330">
        <f t="shared" si="21"/>
        <v>0</v>
      </c>
      <c r="AR125" s="330">
        <f t="shared" si="21"/>
        <v>0</v>
      </c>
      <c r="AS125" s="330">
        <f t="shared" si="21"/>
        <v>0</v>
      </c>
      <c r="AT125" s="330">
        <f t="shared" si="21"/>
        <v>0</v>
      </c>
      <c r="AU125" s="330">
        <f t="shared" si="21"/>
        <v>0</v>
      </c>
      <c r="AV125" s="330">
        <f t="shared" si="21"/>
        <v>0</v>
      </c>
      <c r="AW125" s="330">
        <f t="shared" si="21"/>
        <v>0</v>
      </c>
      <c r="AX125" s="330">
        <f t="shared" si="21"/>
        <v>0</v>
      </c>
      <c r="AY125" s="330">
        <f t="shared" si="21"/>
        <v>0</v>
      </c>
      <c r="AZ125" s="330">
        <f t="shared" si="21"/>
        <v>0</v>
      </c>
      <c r="BA125" s="330">
        <f t="shared" si="21"/>
        <v>0</v>
      </c>
      <c r="BB125" s="330">
        <f t="shared" si="21"/>
        <v>0</v>
      </c>
      <c r="BC125" s="330">
        <f t="shared" si="21"/>
        <v>0</v>
      </c>
      <c r="BD125" s="330">
        <f t="shared" si="21"/>
        <v>0</v>
      </c>
      <c r="BE125" s="330">
        <f t="shared" si="21"/>
        <v>0</v>
      </c>
      <c r="BF125" s="330">
        <f t="shared" si="21"/>
        <v>0</v>
      </c>
      <c r="BG125" s="330">
        <f t="shared" si="21"/>
        <v>0</v>
      </c>
      <c r="BH125" s="330">
        <f t="shared" si="21"/>
        <v>0</v>
      </c>
      <c r="BI125" s="330">
        <f t="shared" si="21"/>
        <v>0</v>
      </c>
      <c r="BJ125" s="330">
        <f t="shared" si="21"/>
        <v>0</v>
      </c>
      <c r="BK125" s="330">
        <f t="shared" si="21"/>
        <v>0</v>
      </c>
      <c r="BL125" s="330">
        <f t="shared" si="21"/>
        <v>0</v>
      </c>
    </row>
    <row r="126" spans="2:64" s="337" customFormat="1" x14ac:dyDescent="0.15">
      <c r="C126" s="257" t="s">
        <v>506</v>
      </c>
      <c r="E126" s="330">
        <f t="shared" si="21"/>
        <v>0</v>
      </c>
      <c r="F126" s="330">
        <f t="shared" si="21"/>
        <v>0</v>
      </c>
      <c r="G126" s="330">
        <f t="shared" si="21"/>
        <v>0</v>
      </c>
      <c r="H126" s="330">
        <f t="shared" si="21"/>
        <v>0.17376625862934636</v>
      </c>
      <c r="I126" s="330">
        <f t="shared" si="21"/>
        <v>0</v>
      </c>
      <c r="J126" s="330">
        <f t="shared" si="21"/>
        <v>0</v>
      </c>
      <c r="K126" s="330">
        <f t="shared" si="21"/>
        <v>0</v>
      </c>
      <c r="L126" s="330">
        <f t="shared" si="21"/>
        <v>0</v>
      </c>
      <c r="M126" s="330">
        <f t="shared" si="21"/>
        <v>0</v>
      </c>
      <c r="N126" s="330">
        <f t="shared" si="21"/>
        <v>0</v>
      </c>
      <c r="O126" s="330">
        <f t="shared" si="21"/>
        <v>0</v>
      </c>
      <c r="P126" s="330">
        <f t="shared" si="21"/>
        <v>0</v>
      </c>
      <c r="Q126" s="330">
        <f t="shared" si="21"/>
        <v>0</v>
      </c>
      <c r="R126" s="330">
        <f t="shared" si="21"/>
        <v>0</v>
      </c>
      <c r="S126" s="330">
        <f t="shared" si="21"/>
        <v>0</v>
      </c>
      <c r="T126" s="330">
        <f t="shared" ref="T126:BL134" si="22">IF(T$5&gt;$D$7,0,T29*$E108)</f>
        <v>0</v>
      </c>
      <c r="U126" s="330">
        <f t="shared" si="22"/>
        <v>0</v>
      </c>
      <c r="V126" s="330">
        <f t="shared" si="22"/>
        <v>0</v>
      </c>
      <c r="W126" s="330">
        <f t="shared" si="22"/>
        <v>0</v>
      </c>
      <c r="X126" s="330">
        <f t="shared" si="22"/>
        <v>0</v>
      </c>
      <c r="Y126" s="330">
        <f t="shared" si="22"/>
        <v>0</v>
      </c>
      <c r="Z126" s="330">
        <f t="shared" si="22"/>
        <v>0</v>
      </c>
      <c r="AA126" s="330">
        <f t="shared" si="22"/>
        <v>0</v>
      </c>
      <c r="AB126" s="330">
        <f t="shared" si="22"/>
        <v>0</v>
      </c>
      <c r="AC126" s="330">
        <f t="shared" si="22"/>
        <v>0</v>
      </c>
      <c r="AD126" s="330">
        <f t="shared" si="22"/>
        <v>0</v>
      </c>
      <c r="AE126" s="330">
        <f t="shared" si="22"/>
        <v>0</v>
      </c>
      <c r="AF126" s="330">
        <f t="shared" si="22"/>
        <v>0</v>
      </c>
      <c r="AG126" s="330">
        <f t="shared" si="22"/>
        <v>0</v>
      </c>
      <c r="AH126" s="330">
        <f t="shared" si="22"/>
        <v>0</v>
      </c>
      <c r="AI126" s="330">
        <f t="shared" si="22"/>
        <v>0</v>
      </c>
      <c r="AJ126" s="330">
        <f t="shared" si="22"/>
        <v>0</v>
      </c>
      <c r="AK126" s="330">
        <f t="shared" si="22"/>
        <v>0</v>
      </c>
      <c r="AL126" s="330">
        <f t="shared" si="22"/>
        <v>0</v>
      </c>
      <c r="AM126" s="330">
        <f t="shared" si="22"/>
        <v>0</v>
      </c>
      <c r="AN126" s="330">
        <f t="shared" si="22"/>
        <v>0</v>
      </c>
      <c r="AO126" s="330">
        <f t="shared" si="22"/>
        <v>0</v>
      </c>
      <c r="AP126" s="330">
        <f t="shared" si="22"/>
        <v>0</v>
      </c>
      <c r="AQ126" s="330">
        <f t="shared" si="22"/>
        <v>0</v>
      </c>
      <c r="AR126" s="330">
        <f t="shared" si="22"/>
        <v>0</v>
      </c>
      <c r="AS126" s="330">
        <f t="shared" si="22"/>
        <v>0</v>
      </c>
      <c r="AT126" s="330">
        <f t="shared" si="22"/>
        <v>0</v>
      </c>
      <c r="AU126" s="330">
        <f t="shared" si="22"/>
        <v>0</v>
      </c>
      <c r="AV126" s="330">
        <f t="shared" si="22"/>
        <v>0</v>
      </c>
      <c r="AW126" s="330">
        <f t="shared" si="22"/>
        <v>0</v>
      </c>
      <c r="AX126" s="330">
        <f t="shared" si="22"/>
        <v>0</v>
      </c>
      <c r="AY126" s="330">
        <f t="shared" si="22"/>
        <v>0</v>
      </c>
      <c r="AZ126" s="330">
        <f t="shared" si="22"/>
        <v>0</v>
      </c>
      <c r="BA126" s="330">
        <f t="shared" si="22"/>
        <v>0</v>
      </c>
      <c r="BB126" s="330">
        <f t="shared" si="22"/>
        <v>0</v>
      </c>
      <c r="BC126" s="330">
        <f t="shared" si="22"/>
        <v>0</v>
      </c>
      <c r="BD126" s="330">
        <f t="shared" si="22"/>
        <v>0</v>
      </c>
      <c r="BE126" s="330">
        <f t="shared" si="22"/>
        <v>0</v>
      </c>
      <c r="BF126" s="330">
        <f t="shared" si="22"/>
        <v>0</v>
      </c>
      <c r="BG126" s="330">
        <f t="shared" si="22"/>
        <v>0</v>
      </c>
      <c r="BH126" s="330">
        <f t="shared" si="22"/>
        <v>0</v>
      </c>
      <c r="BI126" s="330">
        <f t="shared" si="22"/>
        <v>0</v>
      </c>
      <c r="BJ126" s="330">
        <f t="shared" si="22"/>
        <v>0</v>
      </c>
      <c r="BK126" s="330">
        <f t="shared" si="22"/>
        <v>0</v>
      </c>
      <c r="BL126" s="330">
        <f t="shared" si="22"/>
        <v>0</v>
      </c>
    </row>
    <row r="127" spans="2:64" s="337" customFormat="1" x14ac:dyDescent="0.15">
      <c r="C127" s="257" t="s">
        <v>507</v>
      </c>
      <c r="E127" s="330">
        <f t="shared" ref="E127:AJ134" si="23">IF(E$5&gt;$D$7,0,E30*$E109)</f>
        <v>0</v>
      </c>
      <c r="F127" s="330">
        <f t="shared" si="23"/>
        <v>0</v>
      </c>
      <c r="G127" s="330">
        <f t="shared" si="23"/>
        <v>0</v>
      </c>
      <c r="H127" s="330">
        <f t="shared" si="23"/>
        <v>0</v>
      </c>
      <c r="I127" s="330">
        <f t="shared" si="23"/>
        <v>0.17376625862934639</v>
      </c>
      <c r="J127" s="330">
        <f t="shared" si="23"/>
        <v>0</v>
      </c>
      <c r="K127" s="330">
        <f t="shared" si="23"/>
        <v>0</v>
      </c>
      <c r="L127" s="330">
        <f t="shared" si="23"/>
        <v>0</v>
      </c>
      <c r="M127" s="330">
        <f t="shared" si="23"/>
        <v>0</v>
      </c>
      <c r="N127" s="330">
        <f t="shared" si="23"/>
        <v>0</v>
      </c>
      <c r="O127" s="330">
        <f t="shared" si="23"/>
        <v>0</v>
      </c>
      <c r="P127" s="330">
        <f t="shared" si="23"/>
        <v>0</v>
      </c>
      <c r="Q127" s="330">
        <f t="shared" si="23"/>
        <v>0</v>
      </c>
      <c r="R127" s="330">
        <f t="shared" si="23"/>
        <v>0</v>
      </c>
      <c r="S127" s="330">
        <f t="shared" si="23"/>
        <v>0</v>
      </c>
      <c r="T127" s="330">
        <f t="shared" si="23"/>
        <v>0</v>
      </c>
      <c r="U127" s="330">
        <f t="shared" si="23"/>
        <v>0</v>
      </c>
      <c r="V127" s="330">
        <f t="shared" si="23"/>
        <v>0</v>
      </c>
      <c r="W127" s="330">
        <f t="shared" si="23"/>
        <v>0</v>
      </c>
      <c r="X127" s="330">
        <f t="shared" si="23"/>
        <v>0</v>
      </c>
      <c r="Y127" s="330">
        <f t="shared" si="23"/>
        <v>0</v>
      </c>
      <c r="Z127" s="330">
        <f t="shared" si="23"/>
        <v>0</v>
      </c>
      <c r="AA127" s="330">
        <f t="shared" si="23"/>
        <v>0</v>
      </c>
      <c r="AB127" s="330">
        <f t="shared" si="23"/>
        <v>0</v>
      </c>
      <c r="AC127" s="330">
        <f t="shared" si="23"/>
        <v>0</v>
      </c>
      <c r="AD127" s="330">
        <f t="shared" si="23"/>
        <v>0</v>
      </c>
      <c r="AE127" s="330">
        <f t="shared" si="23"/>
        <v>0</v>
      </c>
      <c r="AF127" s="330">
        <f t="shared" si="23"/>
        <v>0</v>
      </c>
      <c r="AG127" s="330">
        <f t="shared" si="23"/>
        <v>0</v>
      </c>
      <c r="AH127" s="330">
        <f t="shared" si="23"/>
        <v>0</v>
      </c>
      <c r="AI127" s="330">
        <f t="shared" si="23"/>
        <v>0</v>
      </c>
      <c r="AJ127" s="330">
        <f t="shared" si="23"/>
        <v>0</v>
      </c>
      <c r="AK127" s="330">
        <f t="shared" si="22"/>
        <v>0</v>
      </c>
      <c r="AL127" s="330">
        <f t="shared" si="22"/>
        <v>0</v>
      </c>
      <c r="AM127" s="330">
        <f t="shared" si="22"/>
        <v>0</v>
      </c>
      <c r="AN127" s="330">
        <f t="shared" si="22"/>
        <v>0</v>
      </c>
      <c r="AO127" s="330">
        <f t="shared" si="22"/>
        <v>0</v>
      </c>
      <c r="AP127" s="330">
        <f t="shared" si="22"/>
        <v>0</v>
      </c>
      <c r="AQ127" s="330">
        <f t="shared" si="22"/>
        <v>0</v>
      </c>
      <c r="AR127" s="330">
        <f t="shared" si="22"/>
        <v>0</v>
      </c>
      <c r="AS127" s="330">
        <f t="shared" si="22"/>
        <v>0</v>
      </c>
      <c r="AT127" s="330">
        <f t="shared" si="22"/>
        <v>0</v>
      </c>
      <c r="AU127" s="330">
        <f t="shared" si="22"/>
        <v>0</v>
      </c>
      <c r="AV127" s="330">
        <f t="shared" si="22"/>
        <v>0</v>
      </c>
      <c r="AW127" s="330">
        <f t="shared" si="22"/>
        <v>0</v>
      </c>
      <c r="AX127" s="330">
        <f t="shared" si="22"/>
        <v>0</v>
      </c>
      <c r="AY127" s="330">
        <f t="shared" si="22"/>
        <v>0</v>
      </c>
      <c r="AZ127" s="330">
        <f t="shared" si="22"/>
        <v>0</v>
      </c>
      <c r="BA127" s="330">
        <f t="shared" si="22"/>
        <v>0</v>
      </c>
      <c r="BB127" s="330">
        <f t="shared" si="22"/>
        <v>0</v>
      </c>
      <c r="BC127" s="330">
        <f t="shared" si="22"/>
        <v>0</v>
      </c>
      <c r="BD127" s="330">
        <f t="shared" si="22"/>
        <v>0</v>
      </c>
      <c r="BE127" s="330">
        <f t="shared" si="22"/>
        <v>0</v>
      </c>
      <c r="BF127" s="330">
        <f t="shared" si="22"/>
        <v>0</v>
      </c>
      <c r="BG127" s="330">
        <f t="shared" si="22"/>
        <v>0</v>
      </c>
      <c r="BH127" s="330">
        <f t="shared" si="22"/>
        <v>0</v>
      </c>
      <c r="BI127" s="330">
        <f t="shared" si="22"/>
        <v>0</v>
      </c>
      <c r="BJ127" s="330">
        <f t="shared" si="22"/>
        <v>0</v>
      </c>
      <c r="BK127" s="330">
        <f t="shared" si="22"/>
        <v>0</v>
      </c>
      <c r="BL127" s="330">
        <f t="shared" si="22"/>
        <v>0</v>
      </c>
    </row>
    <row r="128" spans="2:64" s="337" customFormat="1" x14ac:dyDescent="0.15">
      <c r="C128" s="257" t="s">
        <v>508</v>
      </c>
      <c r="E128" s="330">
        <f t="shared" si="23"/>
        <v>0</v>
      </c>
      <c r="F128" s="330">
        <f t="shared" si="23"/>
        <v>0</v>
      </c>
      <c r="G128" s="330">
        <f t="shared" si="23"/>
        <v>0</v>
      </c>
      <c r="H128" s="330">
        <f t="shared" si="23"/>
        <v>0</v>
      </c>
      <c r="I128" s="330">
        <f t="shared" si="23"/>
        <v>0</v>
      </c>
      <c r="J128" s="330">
        <f t="shared" si="23"/>
        <v>0.17376625862934639</v>
      </c>
      <c r="K128" s="330">
        <f t="shared" si="23"/>
        <v>0</v>
      </c>
      <c r="L128" s="330">
        <f t="shared" si="23"/>
        <v>0</v>
      </c>
      <c r="M128" s="330">
        <f t="shared" si="23"/>
        <v>0</v>
      </c>
      <c r="N128" s="330">
        <f t="shared" si="23"/>
        <v>0</v>
      </c>
      <c r="O128" s="330">
        <f t="shared" si="23"/>
        <v>0</v>
      </c>
      <c r="P128" s="330">
        <f t="shared" si="23"/>
        <v>0</v>
      </c>
      <c r="Q128" s="330">
        <f t="shared" si="23"/>
        <v>0</v>
      </c>
      <c r="R128" s="330">
        <f t="shared" si="23"/>
        <v>0</v>
      </c>
      <c r="S128" s="330">
        <f t="shared" si="23"/>
        <v>0</v>
      </c>
      <c r="T128" s="330">
        <f t="shared" si="23"/>
        <v>0</v>
      </c>
      <c r="U128" s="330">
        <f t="shared" si="23"/>
        <v>0</v>
      </c>
      <c r="V128" s="330">
        <f t="shared" si="23"/>
        <v>0</v>
      </c>
      <c r="W128" s="330">
        <f t="shared" si="23"/>
        <v>0</v>
      </c>
      <c r="X128" s="330">
        <f t="shared" si="23"/>
        <v>0</v>
      </c>
      <c r="Y128" s="330">
        <f t="shared" si="23"/>
        <v>0</v>
      </c>
      <c r="Z128" s="330">
        <f t="shared" si="23"/>
        <v>0</v>
      </c>
      <c r="AA128" s="330">
        <f t="shared" si="23"/>
        <v>0</v>
      </c>
      <c r="AB128" s="330">
        <f t="shared" si="23"/>
        <v>0</v>
      </c>
      <c r="AC128" s="330">
        <f t="shared" si="23"/>
        <v>0</v>
      </c>
      <c r="AD128" s="330">
        <f t="shared" si="23"/>
        <v>0</v>
      </c>
      <c r="AE128" s="330">
        <f t="shared" si="23"/>
        <v>0</v>
      </c>
      <c r="AF128" s="330">
        <f t="shared" si="23"/>
        <v>0</v>
      </c>
      <c r="AG128" s="330">
        <f t="shared" si="23"/>
        <v>0</v>
      </c>
      <c r="AH128" s="330">
        <f t="shared" si="23"/>
        <v>0</v>
      </c>
      <c r="AI128" s="330">
        <f t="shared" si="23"/>
        <v>0</v>
      </c>
      <c r="AJ128" s="330">
        <f t="shared" si="23"/>
        <v>0</v>
      </c>
      <c r="AK128" s="330">
        <f t="shared" si="22"/>
        <v>0</v>
      </c>
      <c r="AL128" s="330">
        <f t="shared" si="22"/>
        <v>0</v>
      </c>
      <c r="AM128" s="330">
        <f t="shared" si="22"/>
        <v>0</v>
      </c>
      <c r="AN128" s="330">
        <f t="shared" si="22"/>
        <v>0</v>
      </c>
      <c r="AO128" s="330">
        <f t="shared" si="22"/>
        <v>0</v>
      </c>
      <c r="AP128" s="330">
        <f t="shared" si="22"/>
        <v>0</v>
      </c>
      <c r="AQ128" s="330">
        <f t="shared" si="22"/>
        <v>0</v>
      </c>
      <c r="AR128" s="330">
        <f t="shared" si="22"/>
        <v>0</v>
      </c>
      <c r="AS128" s="330">
        <f t="shared" si="22"/>
        <v>0</v>
      </c>
      <c r="AT128" s="330">
        <f t="shared" si="22"/>
        <v>0</v>
      </c>
      <c r="AU128" s="330">
        <f t="shared" si="22"/>
        <v>0</v>
      </c>
      <c r="AV128" s="330">
        <f t="shared" si="22"/>
        <v>0</v>
      </c>
      <c r="AW128" s="330">
        <f t="shared" si="22"/>
        <v>0</v>
      </c>
      <c r="AX128" s="330">
        <f t="shared" si="22"/>
        <v>0</v>
      </c>
      <c r="AY128" s="330">
        <f t="shared" si="22"/>
        <v>0</v>
      </c>
      <c r="AZ128" s="330">
        <f t="shared" si="22"/>
        <v>0</v>
      </c>
      <c r="BA128" s="330">
        <f t="shared" si="22"/>
        <v>0</v>
      </c>
      <c r="BB128" s="330">
        <f t="shared" si="22"/>
        <v>0</v>
      </c>
      <c r="BC128" s="330">
        <f t="shared" si="22"/>
        <v>0</v>
      </c>
      <c r="BD128" s="330">
        <f t="shared" si="22"/>
        <v>0</v>
      </c>
      <c r="BE128" s="330">
        <f t="shared" si="22"/>
        <v>0</v>
      </c>
      <c r="BF128" s="330">
        <f t="shared" si="22"/>
        <v>0</v>
      </c>
      <c r="BG128" s="330">
        <f t="shared" si="22"/>
        <v>0</v>
      </c>
      <c r="BH128" s="330">
        <f t="shared" si="22"/>
        <v>0</v>
      </c>
      <c r="BI128" s="330">
        <f t="shared" si="22"/>
        <v>0</v>
      </c>
      <c r="BJ128" s="330">
        <f t="shared" si="22"/>
        <v>0</v>
      </c>
      <c r="BK128" s="330">
        <f t="shared" si="22"/>
        <v>0</v>
      </c>
      <c r="BL128" s="330">
        <f t="shared" si="22"/>
        <v>0</v>
      </c>
    </row>
    <row r="129" spans="2:64" s="337" customFormat="1" x14ac:dyDescent="0.15">
      <c r="C129" s="257" t="s">
        <v>510</v>
      </c>
      <c r="E129" s="330">
        <f t="shared" si="23"/>
        <v>0</v>
      </c>
      <c r="F129" s="330">
        <f t="shared" si="23"/>
        <v>0</v>
      </c>
      <c r="G129" s="330">
        <f t="shared" si="23"/>
        <v>0</v>
      </c>
      <c r="H129" s="330">
        <f t="shared" si="23"/>
        <v>0</v>
      </c>
      <c r="I129" s="330">
        <f t="shared" si="23"/>
        <v>0</v>
      </c>
      <c r="J129" s="330">
        <f t="shared" si="23"/>
        <v>0</v>
      </c>
      <c r="K129" s="330">
        <f t="shared" si="23"/>
        <v>0.17376625862934639</v>
      </c>
      <c r="L129" s="330">
        <f t="shared" si="23"/>
        <v>0</v>
      </c>
      <c r="M129" s="330">
        <f t="shared" si="23"/>
        <v>0</v>
      </c>
      <c r="N129" s="330">
        <f t="shared" si="23"/>
        <v>0</v>
      </c>
      <c r="O129" s="330">
        <f t="shared" si="23"/>
        <v>0</v>
      </c>
      <c r="P129" s="330">
        <f t="shared" si="23"/>
        <v>0</v>
      </c>
      <c r="Q129" s="330">
        <f t="shared" si="23"/>
        <v>0</v>
      </c>
      <c r="R129" s="330">
        <f t="shared" si="23"/>
        <v>0</v>
      </c>
      <c r="S129" s="330">
        <f t="shared" si="23"/>
        <v>0</v>
      </c>
      <c r="T129" s="330">
        <f t="shared" si="23"/>
        <v>0</v>
      </c>
      <c r="U129" s="330">
        <f t="shared" si="23"/>
        <v>0</v>
      </c>
      <c r="V129" s="330">
        <f t="shared" si="23"/>
        <v>0</v>
      </c>
      <c r="W129" s="330">
        <f t="shared" si="23"/>
        <v>0</v>
      </c>
      <c r="X129" s="330">
        <f t="shared" si="23"/>
        <v>0</v>
      </c>
      <c r="Y129" s="330">
        <f t="shared" si="23"/>
        <v>0</v>
      </c>
      <c r="Z129" s="330">
        <f t="shared" si="23"/>
        <v>0</v>
      </c>
      <c r="AA129" s="330">
        <f t="shared" si="23"/>
        <v>0</v>
      </c>
      <c r="AB129" s="330">
        <f t="shared" si="23"/>
        <v>0</v>
      </c>
      <c r="AC129" s="330">
        <f t="shared" si="23"/>
        <v>0</v>
      </c>
      <c r="AD129" s="330">
        <f t="shared" si="23"/>
        <v>0</v>
      </c>
      <c r="AE129" s="330">
        <f t="shared" si="23"/>
        <v>0</v>
      </c>
      <c r="AF129" s="330">
        <f t="shared" si="23"/>
        <v>0</v>
      </c>
      <c r="AG129" s="330">
        <f t="shared" si="23"/>
        <v>0</v>
      </c>
      <c r="AH129" s="330">
        <f t="shared" si="23"/>
        <v>0</v>
      </c>
      <c r="AI129" s="330">
        <f t="shared" si="23"/>
        <v>0</v>
      </c>
      <c r="AJ129" s="330">
        <f t="shared" si="23"/>
        <v>0</v>
      </c>
      <c r="AK129" s="330">
        <f t="shared" si="22"/>
        <v>0</v>
      </c>
      <c r="AL129" s="330">
        <f t="shared" si="22"/>
        <v>0</v>
      </c>
      <c r="AM129" s="330">
        <f t="shared" si="22"/>
        <v>0</v>
      </c>
      <c r="AN129" s="330">
        <f t="shared" si="22"/>
        <v>0</v>
      </c>
      <c r="AO129" s="330">
        <f t="shared" si="22"/>
        <v>0</v>
      </c>
      <c r="AP129" s="330">
        <f t="shared" si="22"/>
        <v>0</v>
      </c>
      <c r="AQ129" s="330">
        <f t="shared" si="22"/>
        <v>0</v>
      </c>
      <c r="AR129" s="330">
        <f t="shared" si="22"/>
        <v>0</v>
      </c>
      <c r="AS129" s="330">
        <f t="shared" si="22"/>
        <v>0</v>
      </c>
      <c r="AT129" s="330">
        <f t="shared" si="22"/>
        <v>0</v>
      </c>
      <c r="AU129" s="330">
        <f t="shared" si="22"/>
        <v>0</v>
      </c>
      <c r="AV129" s="330">
        <f t="shared" si="22"/>
        <v>0</v>
      </c>
      <c r="AW129" s="330">
        <f t="shared" si="22"/>
        <v>0</v>
      </c>
      <c r="AX129" s="330">
        <f t="shared" si="22"/>
        <v>0</v>
      </c>
      <c r="AY129" s="330">
        <f t="shared" si="22"/>
        <v>0</v>
      </c>
      <c r="AZ129" s="330">
        <f t="shared" si="22"/>
        <v>0</v>
      </c>
      <c r="BA129" s="330">
        <f t="shared" si="22"/>
        <v>0</v>
      </c>
      <c r="BB129" s="330">
        <f t="shared" si="22"/>
        <v>0</v>
      </c>
      <c r="BC129" s="330">
        <f t="shared" si="22"/>
        <v>0</v>
      </c>
      <c r="BD129" s="330">
        <f t="shared" si="22"/>
        <v>0</v>
      </c>
      <c r="BE129" s="330">
        <f t="shared" si="22"/>
        <v>0</v>
      </c>
      <c r="BF129" s="330">
        <f t="shared" si="22"/>
        <v>0</v>
      </c>
      <c r="BG129" s="330">
        <f t="shared" si="22"/>
        <v>0</v>
      </c>
      <c r="BH129" s="330">
        <f t="shared" si="22"/>
        <v>0</v>
      </c>
      <c r="BI129" s="330">
        <f t="shared" si="22"/>
        <v>0</v>
      </c>
      <c r="BJ129" s="330">
        <f t="shared" si="22"/>
        <v>0</v>
      </c>
      <c r="BK129" s="330">
        <f t="shared" si="22"/>
        <v>0</v>
      </c>
      <c r="BL129" s="330">
        <f t="shared" si="22"/>
        <v>0</v>
      </c>
    </row>
    <row r="130" spans="2:64" s="337" customFormat="1" x14ac:dyDescent="0.15">
      <c r="C130" s="257" t="s">
        <v>511</v>
      </c>
      <c r="E130" s="330">
        <f t="shared" si="23"/>
        <v>0</v>
      </c>
      <c r="F130" s="330">
        <f t="shared" si="23"/>
        <v>0</v>
      </c>
      <c r="G130" s="330">
        <f t="shared" si="23"/>
        <v>0</v>
      </c>
      <c r="H130" s="330">
        <f t="shared" si="23"/>
        <v>0</v>
      </c>
      <c r="I130" s="330">
        <f t="shared" si="23"/>
        <v>0</v>
      </c>
      <c r="J130" s="330">
        <f t="shared" si="23"/>
        <v>0</v>
      </c>
      <c r="K130" s="330">
        <f t="shared" si="23"/>
        <v>0</v>
      </c>
      <c r="L130" s="330">
        <f t="shared" si="23"/>
        <v>0</v>
      </c>
      <c r="M130" s="330">
        <f t="shared" si="23"/>
        <v>0</v>
      </c>
      <c r="N130" s="330">
        <f t="shared" si="23"/>
        <v>0</v>
      </c>
      <c r="O130" s="330">
        <f t="shared" si="23"/>
        <v>0</v>
      </c>
      <c r="P130" s="330">
        <f t="shared" si="23"/>
        <v>0</v>
      </c>
      <c r="Q130" s="330">
        <f t="shared" si="23"/>
        <v>0</v>
      </c>
      <c r="R130" s="330">
        <f t="shared" si="23"/>
        <v>0</v>
      </c>
      <c r="S130" s="330">
        <f t="shared" si="23"/>
        <v>0</v>
      </c>
      <c r="T130" s="330">
        <f t="shared" si="23"/>
        <v>0</v>
      </c>
      <c r="U130" s="330">
        <f t="shared" si="23"/>
        <v>0</v>
      </c>
      <c r="V130" s="330">
        <f t="shared" si="23"/>
        <v>0</v>
      </c>
      <c r="W130" s="330">
        <f t="shared" si="23"/>
        <v>0</v>
      </c>
      <c r="X130" s="330">
        <f t="shared" si="23"/>
        <v>0</v>
      </c>
      <c r="Y130" s="330">
        <f t="shared" si="23"/>
        <v>0</v>
      </c>
      <c r="Z130" s="330">
        <f t="shared" si="23"/>
        <v>0</v>
      </c>
      <c r="AA130" s="330">
        <f t="shared" si="23"/>
        <v>0</v>
      </c>
      <c r="AB130" s="330">
        <f t="shared" si="23"/>
        <v>0</v>
      </c>
      <c r="AC130" s="330">
        <f t="shared" si="23"/>
        <v>0</v>
      </c>
      <c r="AD130" s="330">
        <f t="shared" si="23"/>
        <v>0</v>
      </c>
      <c r="AE130" s="330">
        <f t="shared" si="23"/>
        <v>0</v>
      </c>
      <c r="AF130" s="330">
        <f t="shared" si="23"/>
        <v>0</v>
      </c>
      <c r="AG130" s="330">
        <f t="shared" si="23"/>
        <v>0</v>
      </c>
      <c r="AH130" s="330">
        <f t="shared" si="23"/>
        <v>0</v>
      </c>
      <c r="AI130" s="330">
        <f t="shared" si="23"/>
        <v>0</v>
      </c>
      <c r="AJ130" s="330">
        <f t="shared" si="23"/>
        <v>0</v>
      </c>
      <c r="AK130" s="330">
        <f t="shared" si="22"/>
        <v>0</v>
      </c>
      <c r="AL130" s="330">
        <f t="shared" si="22"/>
        <v>0</v>
      </c>
      <c r="AM130" s="330">
        <f t="shared" si="22"/>
        <v>0</v>
      </c>
      <c r="AN130" s="330">
        <f t="shared" si="22"/>
        <v>0</v>
      </c>
      <c r="AO130" s="330">
        <f t="shared" si="22"/>
        <v>0</v>
      </c>
      <c r="AP130" s="330">
        <f t="shared" si="22"/>
        <v>0</v>
      </c>
      <c r="AQ130" s="330">
        <f t="shared" si="22"/>
        <v>0</v>
      </c>
      <c r="AR130" s="330">
        <f t="shared" si="22"/>
        <v>0</v>
      </c>
      <c r="AS130" s="330">
        <f t="shared" si="22"/>
        <v>0</v>
      </c>
      <c r="AT130" s="330">
        <f t="shared" si="22"/>
        <v>0</v>
      </c>
      <c r="AU130" s="330">
        <f t="shared" si="22"/>
        <v>0</v>
      </c>
      <c r="AV130" s="330">
        <f t="shared" si="22"/>
        <v>0</v>
      </c>
      <c r="AW130" s="330">
        <f t="shared" si="22"/>
        <v>0</v>
      </c>
      <c r="AX130" s="330">
        <f t="shared" si="22"/>
        <v>0</v>
      </c>
      <c r="AY130" s="330">
        <f t="shared" si="22"/>
        <v>0</v>
      </c>
      <c r="AZ130" s="330">
        <f t="shared" si="22"/>
        <v>0</v>
      </c>
      <c r="BA130" s="330">
        <f t="shared" si="22"/>
        <v>0</v>
      </c>
      <c r="BB130" s="330">
        <f t="shared" si="22"/>
        <v>0</v>
      </c>
      <c r="BC130" s="330">
        <f t="shared" si="22"/>
        <v>0</v>
      </c>
      <c r="BD130" s="330">
        <f t="shared" si="22"/>
        <v>0</v>
      </c>
      <c r="BE130" s="330">
        <f t="shared" si="22"/>
        <v>0</v>
      </c>
      <c r="BF130" s="330">
        <f t="shared" si="22"/>
        <v>0</v>
      </c>
      <c r="BG130" s="330">
        <f t="shared" si="22"/>
        <v>0</v>
      </c>
      <c r="BH130" s="330">
        <f t="shared" si="22"/>
        <v>0</v>
      </c>
      <c r="BI130" s="330">
        <f t="shared" si="22"/>
        <v>0</v>
      </c>
      <c r="BJ130" s="330">
        <f t="shared" si="22"/>
        <v>0</v>
      </c>
      <c r="BK130" s="330">
        <f t="shared" si="22"/>
        <v>0</v>
      </c>
      <c r="BL130" s="330">
        <f t="shared" si="22"/>
        <v>0</v>
      </c>
    </row>
    <row r="131" spans="2:64" s="337" customFormat="1" x14ac:dyDescent="0.15">
      <c r="C131" s="257" t="s">
        <v>512</v>
      </c>
      <c r="E131" s="330">
        <f t="shared" si="23"/>
        <v>0</v>
      </c>
      <c r="F131" s="330">
        <f t="shared" si="23"/>
        <v>0</v>
      </c>
      <c r="G131" s="330">
        <f t="shared" si="23"/>
        <v>0</v>
      </c>
      <c r="H131" s="330">
        <f t="shared" si="23"/>
        <v>0</v>
      </c>
      <c r="I131" s="330">
        <f t="shared" si="23"/>
        <v>0</v>
      </c>
      <c r="J131" s="330">
        <f t="shared" si="23"/>
        <v>0</v>
      </c>
      <c r="K131" s="330">
        <f t="shared" si="23"/>
        <v>0</v>
      </c>
      <c r="L131" s="330">
        <f t="shared" si="23"/>
        <v>0</v>
      </c>
      <c r="M131" s="330">
        <f t="shared" si="23"/>
        <v>0</v>
      </c>
      <c r="N131" s="330">
        <f t="shared" si="23"/>
        <v>0</v>
      </c>
      <c r="O131" s="330">
        <f t="shared" si="23"/>
        <v>0</v>
      </c>
      <c r="P131" s="330">
        <f t="shared" si="23"/>
        <v>0</v>
      </c>
      <c r="Q131" s="330">
        <f t="shared" si="23"/>
        <v>0</v>
      </c>
      <c r="R131" s="330">
        <f t="shared" si="23"/>
        <v>0</v>
      </c>
      <c r="S131" s="330">
        <f t="shared" si="23"/>
        <v>0</v>
      </c>
      <c r="T131" s="330">
        <f t="shared" si="23"/>
        <v>0</v>
      </c>
      <c r="U131" s="330">
        <f t="shared" si="23"/>
        <v>0</v>
      </c>
      <c r="V131" s="330">
        <f t="shared" si="23"/>
        <v>0</v>
      </c>
      <c r="W131" s="330">
        <f t="shared" si="23"/>
        <v>0</v>
      </c>
      <c r="X131" s="330">
        <f t="shared" si="23"/>
        <v>0</v>
      </c>
      <c r="Y131" s="330">
        <f t="shared" si="23"/>
        <v>0</v>
      </c>
      <c r="Z131" s="330">
        <f t="shared" si="23"/>
        <v>0</v>
      </c>
      <c r="AA131" s="330">
        <f t="shared" si="23"/>
        <v>0</v>
      </c>
      <c r="AB131" s="330">
        <f t="shared" si="23"/>
        <v>0</v>
      </c>
      <c r="AC131" s="330">
        <f t="shared" si="23"/>
        <v>0</v>
      </c>
      <c r="AD131" s="330">
        <f t="shared" si="23"/>
        <v>0</v>
      </c>
      <c r="AE131" s="330">
        <f t="shared" si="23"/>
        <v>0</v>
      </c>
      <c r="AF131" s="330">
        <f t="shared" si="23"/>
        <v>0</v>
      </c>
      <c r="AG131" s="330">
        <f t="shared" si="23"/>
        <v>0</v>
      </c>
      <c r="AH131" s="330">
        <f t="shared" si="23"/>
        <v>0</v>
      </c>
      <c r="AI131" s="330">
        <f t="shared" si="23"/>
        <v>0</v>
      </c>
      <c r="AJ131" s="330">
        <f t="shared" si="23"/>
        <v>0</v>
      </c>
      <c r="AK131" s="330">
        <f t="shared" si="22"/>
        <v>0</v>
      </c>
      <c r="AL131" s="330">
        <f t="shared" si="22"/>
        <v>0</v>
      </c>
      <c r="AM131" s="330">
        <f t="shared" si="22"/>
        <v>0</v>
      </c>
      <c r="AN131" s="330">
        <f t="shared" si="22"/>
        <v>0</v>
      </c>
      <c r="AO131" s="330">
        <f t="shared" si="22"/>
        <v>0</v>
      </c>
      <c r="AP131" s="330">
        <f t="shared" si="22"/>
        <v>0</v>
      </c>
      <c r="AQ131" s="330">
        <f t="shared" si="22"/>
        <v>0</v>
      </c>
      <c r="AR131" s="330">
        <f t="shared" si="22"/>
        <v>0</v>
      </c>
      <c r="AS131" s="330">
        <f t="shared" si="22"/>
        <v>0</v>
      </c>
      <c r="AT131" s="330">
        <f t="shared" si="22"/>
        <v>0</v>
      </c>
      <c r="AU131" s="330">
        <f t="shared" si="22"/>
        <v>0</v>
      </c>
      <c r="AV131" s="330">
        <f t="shared" si="22"/>
        <v>0</v>
      </c>
      <c r="AW131" s="330">
        <f t="shared" si="22"/>
        <v>0</v>
      </c>
      <c r="AX131" s="330">
        <f t="shared" si="22"/>
        <v>0</v>
      </c>
      <c r="AY131" s="330">
        <f t="shared" si="22"/>
        <v>0</v>
      </c>
      <c r="AZ131" s="330">
        <f t="shared" si="22"/>
        <v>0</v>
      </c>
      <c r="BA131" s="330">
        <f t="shared" si="22"/>
        <v>0</v>
      </c>
      <c r="BB131" s="330">
        <f t="shared" si="22"/>
        <v>0</v>
      </c>
      <c r="BC131" s="330">
        <f t="shared" si="22"/>
        <v>0</v>
      </c>
      <c r="BD131" s="330">
        <f t="shared" si="22"/>
        <v>0</v>
      </c>
      <c r="BE131" s="330">
        <f t="shared" si="22"/>
        <v>0</v>
      </c>
      <c r="BF131" s="330">
        <f t="shared" si="22"/>
        <v>0</v>
      </c>
      <c r="BG131" s="330">
        <f t="shared" si="22"/>
        <v>0</v>
      </c>
      <c r="BH131" s="330">
        <f t="shared" si="22"/>
        <v>0</v>
      </c>
      <c r="BI131" s="330">
        <f t="shared" si="22"/>
        <v>0</v>
      </c>
      <c r="BJ131" s="330">
        <f t="shared" si="22"/>
        <v>0</v>
      </c>
      <c r="BK131" s="330">
        <f t="shared" si="22"/>
        <v>0</v>
      </c>
      <c r="BL131" s="330">
        <f t="shared" si="22"/>
        <v>0</v>
      </c>
    </row>
    <row r="132" spans="2:64" x14ac:dyDescent="0.15">
      <c r="C132" s="257" t="s">
        <v>359</v>
      </c>
      <c r="E132" s="330">
        <f t="shared" si="23"/>
        <v>0</v>
      </c>
      <c r="F132" s="330">
        <f t="shared" si="23"/>
        <v>0</v>
      </c>
      <c r="G132" s="330">
        <f t="shared" si="23"/>
        <v>0</v>
      </c>
      <c r="H132" s="330">
        <f t="shared" si="23"/>
        <v>0</v>
      </c>
      <c r="I132" s="330">
        <f t="shared" si="23"/>
        <v>0</v>
      </c>
      <c r="J132" s="330">
        <f t="shared" si="23"/>
        <v>0</v>
      </c>
      <c r="K132" s="330">
        <f t="shared" si="23"/>
        <v>0</v>
      </c>
      <c r="L132" s="330">
        <f t="shared" si="23"/>
        <v>0</v>
      </c>
      <c r="M132" s="330">
        <f t="shared" si="23"/>
        <v>0</v>
      </c>
      <c r="N132" s="330">
        <f t="shared" si="23"/>
        <v>0</v>
      </c>
      <c r="O132" s="330">
        <f t="shared" si="23"/>
        <v>0</v>
      </c>
      <c r="P132" s="330">
        <f t="shared" si="23"/>
        <v>0</v>
      </c>
      <c r="Q132" s="330">
        <f t="shared" si="23"/>
        <v>0</v>
      </c>
      <c r="R132" s="330">
        <f t="shared" si="23"/>
        <v>0</v>
      </c>
      <c r="S132" s="330">
        <f t="shared" si="23"/>
        <v>0</v>
      </c>
      <c r="T132" s="330">
        <f t="shared" si="23"/>
        <v>0</v>
      </c>
      <c r="U132" s="330">
        <f t="shared" si="23"/>
        <v>0</v>
      </c>
      <c r="V132" s="330">
        <f t="shared" si="23"/>
        <v>0</v>
      </c>
      <c r="W132" s="330">
        <f t="shared" si="23"/>
        <v>0</v>
      </c>
      <c r="X132" s="330">
        <f t="shared" si="23"/>
        <v>0</v>
      </c>
      <c r="Y132" s="330">
        <f t="shared" si="23"/>
        <v>0</v>
      </c>
      <c r="Z132" s="330">
        <f t="shared" si="23"/>
        <v>0</v>
      </c>
      <c r="AA132" s="330">
        <f t="shared" si="23"/>
        <v>0</v>
      </c>
      <c r="AB132" s="330">
        <f t="shared" si="23"/>
        <v>0</v>
      </c>
      <c r="AC132" s="330">
        <f t="shared" si="23"/>
        <v>0</v>
      </c>
      <c r="AD132" s="330">
        <f t="shared" si="23"/>
        <v>0</v>
      </c>
      <c r="AE132" s="330">
        <f t="shared" si="23"/>
        <v>0</v>
      </c>
      <c r="AF132" s="330">
        <f t="shared" si="23"/>
        <v>0</v>
      </c>
      <c r="AG132" s="330">
        <f t="shared" si="23"/>
        <v>0</v>
      </c>
      <c r="AH132" s="330">
        <f t="shared" si="23"/>
        <v>0</v>
      </c>
      <c r="AI132" s="330">
        <f t="shared" si="23"/>
        <v>0</v>
      </c>
      <c r="AJ132" s="330">
        <f t="shared" si="23"/>
        <v>0</v>
      </c>
      <c r="AK132" s="330">
        <f t="shared" si="22"/>
        <v>0</v>
      </c>
      <c r="AL132" s="330">
        <f t="shared" si="22"/>
        <v>0</v>
      </c>
      <c r="AM132" s="330">
        <f t="shared" si="22"/>
        <v>0</v>
      </c>
      <c r="AN132" s="330">
        <f t="shared" si="22"/>
        <v>0</v>
      </c>
      <c r="AO132" s="330">
        <f t="shared" si="22"/>
        <v>0</v>
      </c>
      <c r="AP132" s="330">
        <f t="shared" si="22"/>
        <v>0</v>
      </c>
      <c r="AQ132" s="330">
        <f t="shared" si="22"/>
        <v>0</v>
      </c>
      <c r="AR132" s="330">
        <f t="shared" si="22"/>
        <v>0</v>
      </c>
      <c r="AS132" s="330">
        <f t="shared" si="22"/>
        <v>0</v>
      </c>
      <c r="AT132" s="330">
        <f t="shared" si="22"/>
        <v>0</v>
      </c>
      <c r="AU132" s="330">
        <f t="shared" si="22"/>
        <v>0</v>
      </c>
      <c r="AV132" s="330">
        <f t="shared" si="22"/>
        <v>0</v>
      </c>
      <c r="AW132" s="330">
        <f t="shared" si="22"/>
        <v>0</v>
      </c>
      <c r="AX132" s="330">
        <f t="shared" si="22"/>
        <v>0</v>
      </c>
      <c r="AY132" s="330">
        <f t="shared" si="22"/>
        <v>0</v>
      </c>
      <c r="AZ132" s="330">
        <f t="shared" si="22"/>
        <v>0</v>
      </c>
      <c r="BA132" s="330">
        <f t="shared" si="22"/>
        <v>0</v>
      </c>
      <c r="BB132" s="330">
        <f t="shared" si="22"/>
        <v>0</v>
      </c>
      <c r="BC132" s="330">
        <f t="shared" si="22"/>
        <v>0</v>
      </c>
      <c r="BD132" s="330">
        <f t="shared" si="22"/>
        <v>0</v>
      </c>
      <c r="BE132" s="330">
        <f t="shared" si="22"/>
        <v>0</v>
      </c>
      <c r="BF132" s="330">
        <f t="shared" si="22"/>
        <v>0</v>
      </c>
      <c r="BG132" s="330">
        <f t="shared" si="22"/>
        <v>0</v>
      </c>
      <c r="BH132" s="330">
        <f t="shared" si="22"/>
        <v>0</v>
      </c>
      <c r="BI132" s="330">
        <f t="shared" si="22"/>
        <v>0</v>
      </c>
      <c r="BJ132" s="330">
        <f t="shared" si="22"/>
        <v>0</v>
      </c>
      <c r="BK132" s="330">
        <f t="shared" si="22"/>
        <v>0</v>
      </c>
      <c r="BL132" s="330">
        <f t="shared" si="22"/>
        <v>0</v>
      </c>
    </row>
    <row r="133" spans="2:64" x14ac:dyDescent="0.15">
      <c r="C133" s="257" t="s">
        <v>361</v>
      </c>
      <c r="E133" s="330">
        <f t="shared" si="23"/>
        <v>0</v>
      </c>
      <c r="F133" s="330">
        <f t="shared" si="23"/>
        <v>0</v>
      </c>
      <c r="G133" s="330">
        <f t="shared" si="23"/>
        <v>0</v>
      </c>
      <c r="H133" s="330">
        <f t="shared" si="23"/>
        <v>0</v>
      </c>
      <c r="I133" s="330">
        <f t="shared" si="23"/>
        <v>0</v>
      </c>
      <c r="J133" s="330">
        <f t="shared" si="23"/>
        <v>0</v>
      </c>
      <c r="K133" s="330">
        <f t="shared" si="23"/>
        <v>0</v>
      </c>
      <c r="L133" s="330">
        <f t="shared" si="23"/>
        <v>0</v>
      </c>
      <c r="M133" s="330">
        <f t="shared" si="23"/>
        <v>0</v>
      </c>
      <c r="N133" s="330">
        <f t="shared" si="23"/>
        <v>0</v>
      </c>
      <c r="O133" s="330">
        <f t="shared" si="23"/>
        <v>0</v>
      </c>
      <c r="P133" s="330">
        <f t="shared" si="23"/>
        <v>0</v>
      </c>
      <c r="Q133" s="330">
        <f t="shared" si="23"/>
        <v>0</v>
      </c>
      <c r="R133" s="330">
        <f t="shared" si="23"/>
        <v>0</v>
      </c>
      <c r="S133" s="330">
        <f t="shared" si="23"/>
        <v>0</v>
      </c>
      <c r="T133" s="330">
        <f t="shared" si="23"/>
        <v>0</v>
      </c>
      <c r="U133" s="330">
        <f t="shared" si="23"/>
        <v>0</v>
      </c>
      <c r="V133" s="330">
        <f t="shared" si="23"/>
        <v>0</v>
      </c>
      <c r="W133" s="330">
        <f t="shared" si="23"/>
        <v>0</v>
      </c>
      <c r="X133" s="330">
        <f t="shared" si="23"/>
        <v>0</v>
      </c>
      <c r="Y133" s="330">
        <f t="shared" si="23"/>
        <v>0</v>
      </c>
      <c r="Z133" s="330">
        <f t="shared" si="23"/>
        <v>0</v>
      </c>
      <c r="AA133" s="330">
        <f t="shared" si="23"/>
        <v>0</v>
      </c>
      <c r="AB133" s="330">
        <f t="shared" si="23"/>
        <v>0</v>
      </c>
      <c r="AC133" s="330">
        <f t="shared" si="23"/>
        <v>0</v>
      </c>
      <c r="AD133" s="330">
        <f t="shared" si="23"/>
        <v>0</v>
      </c>
      <c r="AE133" s="330">
        <f t="shared" si="23"/>
        <v>0</v>
      </c>
      <c r="AF133" s="330">
        <f t="shared" si="23"/>
        <v>0</v>
      </c>
      <c r="AG133" s="330">
        <f t="shared" si="23"/>
        <v>0</v>
      </c>
      <c r="AH133" s="330">
        <f t="shared" si="23"/>
        <v>0</v>
      </c>
      <c r="AI133" s="330">
        <f t="shared" si="23"/>
        <v>0</v>
      </c>
      <c r="AJ133" s="330">
        <f t="shared" si="23"/>
        <v>0</v>
      </c>
      <c r="AK133" s="330">
        <f t="shared" si="22"/>
        <v>0</v>
      </c>
      <c r="AL133" s="330">
        <f t="shared" si="22"/>
        <v>0</v>
      </c>
      <c r="AM133" s="330">
        <f t="shared" si="22"/>
        <v>0</v>
      </c>
      <c r="AN133" s="330">
        <f t="shared" si="22"/>
        <v>0</v>
      </c>
      <c r="AO133" s="330">
        <f t="shared" si="22"/>
        <v>0</v>
      </c>
      <c r="AP133" s="330">
        <f t="shared" si="22"/>
        <v>0</v>
      </c>
      <c r="AQ133" s="330">
        <f t="shared" si="22"/>
        <v>0</v>
      </c>
      <c r="AR133" s="330">
        <f t="shared" si="22"/>
        <v>0</v>
      </c>
      <c r="AS133" s="330">
        <f t="shared" si="22"/>
        <v>0</v>
      </c>
      <c r="AT133" s="330">
        <f t="shared" si="22"/>
        <v>0</v>
      </c>
      <c r="AU133" s="330">
        <f t="shared" si="22"/>
        <v>0</v>
      </c>
      <c r="AV133" s="330">
        <f t="shared" si="22"/>
        <v>0</v>
      </c>
      <c r="AW133" s="330">
        <f t="shared" si="22"/>
        <v>0</v>
      </c>
      <c r="AX133" s="330">
        <f t="shared" si="22"/>
        <v>0</v>
      </c>
      <c r="AY133" s="330">
        <f t="shared" si="22"/>
        <v>0</v>
      </c>
      <c r="AZ133" s="330">
        <f t="shared" si="22"/>
        <v>0</v>
      </c>
      <c r="BA133" s="330">
        <f t="shared" si="22"/>
        <v>0</v>
      </c>
      <c r="BB133" s="330">
        <f t="shared" si="22"/>
        <v>0</v>
      </c>
      <c r="BC133" s="330">
        <f t="shared" si="22"/>
        <v>0</v>
      </c>
      <c r="BD133" s="330">
        <f t="shared" si="22"/>
        <v>0</v>
      </c>
      <c r="BE133" s="330">
        <f t="shared" si="22"/>
        <v>0</v>
      </c>
      <c r="BF133" s="330">
        <f t="shared" si="22"/>
        <v>0</v>
      </c>
      <c r="BG133" s="330">
        <f t="shared" si="22"/>
        <v>0</v>
      </c>
      <c r="BH133" s="330">
        <f t="shared" si="22"/>
        <v>0</v>
      </c>
      <c r="BI133" s="330">
        <f t="shared" si="22"/>
        <v>0</v>
      </c>
      <c r="BJ133" s="330">
        <f t="shared" si="22"/>
        <v>0</v>
      </c>
      <c r="BK133" s="330">
        <f t="shared" si="22"/>
        <v>0</v>
      </c>
      <c r="BL133" s="330">
        <f t="shared" si="22"/>
        <v>0</v>
      </c>
    </row>
    <row r="134" spans="2:64" x14ac:dyDescent="0.15">
      <c r="C134" s="257" t="s">
        <v>362</v>
      </c>
      <c r="E134" s="330">
        <f t="shared" si="23"/>
        <v>0</v>
      </c>
      <c r="F134" s="330">
        <f t="shared" si="23"/>
        <v>0</v>
      </c>
      <c r="G134" s="330">
        <f t="shared" si="23"/>
        <v>0</v>
      </c>
      <c r="H134" s="330">
        <f t="shared" si="23"/>
        <v>0</v>
      </c>
      <c r="I134" s="330">
        <f t="shared" si="23"/>
        <v>0</v>
      </c>
      <c r="J134" s="330">
        <f t="shared" si="23"/>
        <v>0</v>
      </c>
      <c r="K134" s="330">
        <f t="shared" si="23"/>
        <v>0</v>
      </c>
      <c r="L134" s="330">
        <f t="shared" si="23"/>
        <v>0</v>
      </c>
      <c r="M134" s="330">
        <f t="shared" si="23"/>
        <v>0</v>
      </c>
      <c r="N134" s="330">
        <f t="shared" si="23"/>
        <v>0</v>
      </c>
      <c r="O134" s="330">
        <f t="shared" si="23"/>
        <v>0</v>
      </c>
      <c r="P134" s="330">
        <f t="shared" si="23"/>
        <v>0</v>
      </c>
      <c r="Q134" s="330">
        <f t="shared" si="23"/>
        <v>0</v>
      </c>
      <c r="R134" s="330">
        <f t="shared" si="23"/>
        <v>0</v>
      </c>
      <c r="S134" s="330">
        <f t="shared" si="23"/>
        <v>0</v>
      </c>
      <c r="T134" s="330">
        <f t="shared" si="23"/>
        <v>0</v>
      </c>
      <c r="U134" s="330">
        <f t="shared" si="23"/>
        <v>0</v>
      </c>
      <c r="V134" s="330">
        <f t="shared" si="23"/>
        <v>0</v>
      </c>
      <c r="W134" s="330">
        <f t="shared" si="23"/>
        <v>0</v>
      </c>
      <c r="X134" s="330">
        <f t="shared" si="23"/>
        <v>0</v>
      </c>
      <c r="Y134" s="330">
        <f t="shared" si="23"/>
        <v>0</v>
      </c>
      <c r="Z134" s="330">
        <f t="shared" si="23"/>
        <v>0</v>
      </c>
      <c r="AA134" s="330">
        <f t="shared" si="23"/>
        <v>0</v>
      </c>
      <c r="AB134" s="330">
        <f t="shared" si="23"/>
        <v>0</v>
      </c>
      <c r="AC134" s="330">
        <f t="shared" si="23"/>
        <v>0</v>
      </c>
      <c r="AD134" s="330">
        <f t="shared" si="23"/>
        <v>0</v>
      </c>
      <c r="AE134" s="330">
        <f t="shared" si="23"/>
        <v>0</v>
      </c>
      <c r="AF134" s="330">
        <f t="shared" si="23"/>
        <v>0</v>
      </c>
      <c r="AG134" s="330">
        <f t="shared" si="23"/>
        <v>0</v>
      </c>
      <c r="AH134" s="330">
        <f t="shared" si="23"/>
        <v>0</v>
      </c>
      <c r="AI134" s="330">
        <f t="shared" si="23"/>
        <v>0</v>
      </c>
      <c r="AJ134" s="330">
        <f>IF(AJ$5&gt;$D$7,0,AJ37*$E116)</f>
        <v>0</v>
      </c>
      <c r="AK134" s="330">
        <f t="shared" si="22"/>
        <v>0</v>
      </c>
      <c r="AL134" s="330">
        <f t="shared" si="22"/>
        <v>0</v>
      </c>
      <c r="AM134" s="330">
        <f t="shared" si="22"/>
        <v>0</v>
      </c>
      <c r="AN134" s="330">
        <f t="shared" si="22"/>
        <v>0</v>
      </c>
      <c r="AO134" s="330">
        <f t="shared" si="22"/>
        <v>0</v>
      </c>
      <c r="AP134" s="330">
        <f t="shared" si="22"/>
        <v>0</v>
      </c>
      <c r="AQ134" s="330">
        <f t="shared" si="22"/>
        <v>0</v>
      </c>
      <c r="AR134" s="330">
        <f t="shared" si="22"/>
        <v>0</v>
      </c>
      <c r="AS134" s="330">
        <f t="shared" si="22"/>
        <v>0</v>
      </c>
      <c r="AT134" s="330">
        <f t="shared" si="22"/>
        <v>0</v>
      </c>
      <c r="AU134" s="330">
        <f t="shared" si="22"/>
        <v>0</v>
      </c>
      <c r="AV134" s="330">
        <f t="shared" si="22"/>
        <v>0</v>
      </c>
      <c r="AW134" s="330">
        <f t="shared" si="22"/>
        <v>0</v>
      </c>
      <c r="AX134" s="330">
        <f t="shared" si="22"/>
        <v>0</v>
      </c>
      <c r="AY134" s="330">
        <f t="shared" ref="AY134:BL134" si="24">IF(AY$5&gt;$D$7,0,AY37*$E116)</f>
        <v>0</v>
      </c>
      <c r="AZ134" s="330">
        <f t="shared" si="24"/>
        <v>0</v>
      </c>
      <c r="BA134" s="330">
        <f t="shared" si="24"/>
        <v>0</v>
      </c>
      <c r="BB134" s="330">
        <f t="shared" si="24"/>
        <v>0</v>
      </c>
      <c r="BC134" s="330">
        <f t="shared" si="24"/>
        <v>0</v>
      </c>
      <c r="BD134" s="330">
        <f t="shared" si="24"/>
        <v>0</v>
      </c>
      <c r="BE134" s="330">
        <f t="shared" si="24"/>
        <v>0</v>
      </c>
      <c r="BF134" s="330">
        <f t="shared" si="24"/>
        <v>0</v>
      </c>
      <c r="BG134" s="330">
        <f t="shared" si="24"/>
        <v>0</v>
      </c>
      <c r="BH134" s="330">
        <f t="shared" si="24"/>
        <v>0</v>
      </c>
      <c r="BI134" s="330">
        <f t="shared" si="24"/>
        <v>0</v>
      </c>
      <c r="BJ134" s="330">
        <f t="shared" si="24"/>
        <v>0</v>
      </c>
      <c r="BK134" s="330">
        <f t="shared" si="24"/>
        <v>0</v>
      </c>
      <c r="BL134" s="330">
        <f t="shared" si="24"/>
        <v>0</v>
      </c>
    </row>
    <row r="135" spans="2:64" x14ac:dyDescent="0.15">
      <c r="C135" s="257" t="s">
        <v>363</v>
      </c>
      <c r="E135" s="330">
        <f t="shared" ref="E135:BL136" si="25">IF(E$5&gt;$D$7,0,E38*$E117)</f>
        <v>0</v>
      </c>
      <c r="F135" s="330">
        <f t="shared" si="25"/>
        <v>0</v>
      </c>
      <c r="G135" s="330">
        <f t="shared" si="25"/>
        <v>0</v>
      </c>
      <c r="H135" s="330">
        <f t="shared" si="25"/>
        <v>0</v>
      </c>
      <c r="I135" s="330">
        <f t="shared" si="25"/>
        <v>0</v>
      </c>
      <c r="J135" s="330">
        <f t="shared" si="25"/>
        <v>0</v>
      </c>
      <c r="K135" s="330">
        <f t="shared" si="25"/>
        <v>0</v>
      </c>
      <c r="L135" s="330">
        <f t="shared" si="25"/>
        <v>0</v>
      </c>
      <c r="M135" s="330">
        <f t="shared" si="25"/>
        <v>0</v>
      </c>
      <c r="N135" s="330">
        <f t="shared" si="25"/>
        <v>0</v>
      </c>
      <c r="O135" s="330">
        <f t="shared" si="25"/>
        <v>0</v>
      </c>
      <c r="P135" s="330">
        <f t="shared" si="25"/>
        <v>0</v>
      </c>
      <c r="Q135" s="330">
        <f t="shared" si="25"/>
        <v>0</v>
      </c>
      <c r="R135" s="330">
        <f t="shared" si="25"/>
        <v>0</v>
      </c>
      <c r="S135" s="330">
        <f t="shared" si="25"/>
        <v>0</v>
      </c>
      <c r="T135" s="330">
        <f t="shared" si="25"/>
        <v>0</v>
      </c>
      <c r="U135" s="330">
        <f t="shared" si="25"/>
        <v>0</v>
      </c>
      <c r="V135" s="330">
        <f t="shared" si="25"/>
        <v>0</v>
      </c>
      <c r="W135" s="330">
        <f t="shared" si="25"/>
        <v>0</v>
      </c>
      <c r="X135" s="330">
        <f t="shared" si="25"/>
        <v>0</v>
      </c>
      <c r="Y135" s="330">
        <f t="shared" si="25"/>
        <v>0</v>
      </c>
      <c r="Z135" s="330">
        <f t="shared" si="25"/>
        <v>0</v>
      </c>
      <c r="AA135" s="330">
        <f t="shared" si="25"/>
        <v>0</v>
      </c>
      <c r="AB135" s="330">
        <f t="shared" si="25"/>
        <v>0</v>
      </c>
      <c r="AC135" s="330">
        <f t="shared" si="25"/>
        <v>0</v>
      </c>
      <c r="AD135" s="330">
        <f t="shared" si="25"/>
        <v>0</v>
      </c>
      <c r="AE135" s="330">
        <f t="shared" si="25"/>
        <v>0</v>
      </c>
      <c r="AF135" s="330">
        <f t="shared" si="25"/>
        <v>0</v>
      </c>
      <c r="AG135" s="330">
        <f t="shared" si="25"/>
        <v>0</v>
      </c>
      <c r="AH135" s="330">
        <f t="shared" si="25"/>
        <v>0</v>
      </c>
      <c r="AI135" s="330">
        <f t="shared" si="25"/>
        <v>0</v>
      </c>
      <c r="AJ135" s="330">
        <f t="shared" si="25"/>
        <v>0</v>
      </c>
      <c r="AK135" s="330">
        <f t="shared" si="25"/>
        <v>0</v>
      </c>
      <c r="AL135" s="330">
        <f t="shared" si="25"/>
        <v>0</v>
      </c>
      <c r="AM135" s="330">
        <f t="shared" si="25"/>
        <v>0</v>
      </c>
      <c r="AN135" s="330">
        <f t="shared" si="25"/>
        <v>0</v>
      </c>
      <c r="AO135" s="330">
        <f t="shared" si="25"/>
        <v>0</v>
      </c>
      <c r="AP135" s="330">
        <f t="shared" si="25"/>
        <v>0</v>
      </c>
      <c r="AQ135" s="330">
        <f t="shared" si="25"/>
        <v>0</v>
      </c>
      <c r="AR135" s="330">
        <f t="shared" si="25"/>
        <v>0</v>
      </c>
      <c r="AS135" s="330">
        <f t="shared" si="25"/>
        <v>0</v>
      </c>
      <c r="AT135" s="330">
        <f t="shared" si="25"/>
        <v>0</v>
      </c>
      <c r="AU135" s="330">
        <f t="shared" si="25"/>
        <v>0</v>
      </c>
      <c r="AV135" s="330">
        <f t="shared" si="25"/>
        <v>0</v>
      </c>
      <c r="AW135" s="330">
        <f t="shared" si="25"/>
        <v>0</v>
      </c>
      <c r="AX135" s="330">
        <f t="shared" si="25"/>
        <v>0</v>
      </c>
      <c r="AY135" s="330">
        <f t="shared" si="25"/>
        <v>0</v>
      </c>
      <c r="AZ135" s="330">
        <f t="shared" si="25"/>
        <v>0</v>
      </c>
      <c r="BA135" s="330">
        <f t="shared" si="25"/>
        <v>0</v>
      </c>
      <c r="BB135" s="330">
        <f t="shared" si="25"/>
        <v>0</v>
      </c>
      <c r="BC135" s="330">
        <f t="shared" si="25"/>
        <v>0</v>
      </c>
      <c r="BD135" s="330">
        <f t="shared" si="25"/>
        <v>0</v>
      </c>
      <c r="BE135" s="330">
        <f t="shared" si="25"/>
        <v>0</v>
      </c>
      <c r="BF135" s="330">
        <f t="shared" si="25"/>
        <v>0</v>
      </c>
      <c r="BG135" s="330">
        <f t="shared" si="25"/>
        <v>0</v>
      </c>
      <c r="BH135" s="330">
        <f t="shared" si="25"/>
        <v>0</v>
      </c>
      <c r="BI135" s="330">
        <f t="shared" si="25"/>
        <v>0</v>
      </c>
      <c r="BJ135" s="330">
        <f t="shared" si="25"/>
        <v>0</v>
      </c>
      <c r="BK135" s="330">
        <f t="shared" si="25"/>
        <v>0</v>
      </c>
      <c r="BL135" s="330">
        <f t="shared" si="25"/>
        <v>0</v>
      </c>
    </row>
    <row r="136" spans="2:64" x14ac:dyDescent="0.15">
      <c r="C136" s="257" t="s">
        <v>515</v>
      </c>
      <c r="E136" s="330">
        <f t="shared" si="25"/>
        <v>0</v>
      </c>
      <c r="F136" s="330">
        <f t="shared" si="25"/>
        <v>0</v>
      </c>
      <c r="G136" s="330">
        <f t="shared" si="25"/>
        <v>0</v>
      </c>
      <c r="H136" s="330">
        <f t="shared" si="25"/>
        <v>0</v>
      </c>
      <c r="I136" s="330">
        <f t="shared" si="25"/>
        <v>0</v>
      </c>
      <c r="J136" s="330">
        <f t="shared" si="25"/>
        <v>0</v>
      </c>
      <c r="K136" s="330">
        <f t="shared" si="25"/>
        <v>0</v>
      </c>
      <c r="L136" s="330">
        <f t="shared" si="25"/>
        <v>0</v>
      </c>
      <c r="M136" s="330">
        <f t="shared" si="25"/>
        <v>0</v>
      </c>
      <c r="N136" s="330">
        <f t="shared" si="25"/>
        <v>0</v>
      </c>
      <c r="O136" s="330">
        <f t="shared" si="25"/>
        <v>0</v>
      </c>
      <c r="P136" s="330">
        <f t="shared" si="25"/>
        <v>0</v>
      </c>
      <c r="Q136" s="330">
        <f t="shared" si="25"/>
        <v>0</v>
      </c>
      <c r="R136" s="330">
        <f t="shared" si="25"/>
        <v>0</v>
      </c>
      <c r="S136" s="330">
        <f t="shared" si="25"/>
        <v>0</v>
      </c>
      <c r="T136" s="330">
        <f t="shared" si="25"/>
        <v>0</v>
      </c>
      <c r="U136" s="330">
        <f t="shared" si="25"/>
        <v>0</v>
      </c>
      <c r="V136" s="330">
        <f t="shared" si="25"/>
        <v>0</v>
      </c>
      <c r="W136" s="330">
        <f t="shared" si="25"/>
        <v>0</v>
      </c>
      <c r="X136" s="330">
        <f t="shared" si="25"/>
        <v>0</v>
      </c>
      <c r="Y136" s="330">
        <f t="shared" si="25"/>
        <v>0</v>
      </c>
      <c r="Z136" s="330">
        <f t="shared" si="25"/>
        <v>0</v>
      </c>
      <c r="AA136" s="330">
        <f t="shared" si="25"/>
        <v>0</v>
      </c>
      <c r="AB136" s="330">
        <f t="shared" si="25"/>
        <v>0</v>
      </c>
      <c r="AC136" s="330">
        <f t="shared" si="25"/>
        <v>0</v>
      </c>
      <c r="AD136" s="330">
        <f t="shared" si="25"/>
        <v>0</v>
      </c>
      <c r="AE136" s="330">
        <f t="shared" si="25"/>
        <v>0</v>
      </c>
      <c r="AF136" s="330">
        <f t="shared" si="25"/>
        <v>0</v>
      </c>
      <c r="AG136" s="330">
        <f t="shared" si="25"/>
        <v>0</v>
      </c>
      <c r="AH136" s="330">
        <f t="shared" si="25"/>
        <v>0</v>
      </c>
      <c r="AI136" s="330">
        <f t="shared" si="25"/>
        <v>0</v>
      </c>
      <c r="AJ136" s="330">
        <f t="shared" si="25"/>
        <v>0</v>
      </c>
      <c r="AK136" s="330">
        <f t="shared" si="25"/>
        <v>0</v>
      </c>
      <c r="AL136" s="330">
        <f t="shared" si="25"/>
        <v>0</v>
      </c>
      <c r="AM136" s="330">
        <f t="shared" si="25"/>
        <v>0</v>
      </c>
      <c r="AN136" s="330">
        <f t="shared" si="25"/>
        <v>0</v>
      </c>
      <c r="AO136" s="330">
        <f t="shared" si="25"/>
        <v>0</v>
      </c>
      <c r="AP136" s="330">
        <f t="shared" si="25"/>
        <v>0</v>
      </c>
      <c r="AQ136" s="330">
        <f t="shared" si="25"/>
        <v>0</v>
      </c>
      <c r="AR136" s="330">
        <f t="shared" si="25"/>
        <v>0</v>
      </c>
      <c r="AS136" s="330">
        <f t="shared" si="25"/>
        <v>0</v>
      </c>
      <c r="AT136" s="330">
        <f t="shared" si="25"/>
        <v>0</v>
      </c>
      <c r="AU136" s="330">
        <f t="shared" si="25"/>
        <v>0</v>
      </c>
      <c r="AV136" s="330">
        <f t="shared" si="25"/>
        <v>0</v>
      </c>
      <c r="AW136" s="330">
        <f t="shared" si="25"/>
        <v>0</v>
      </c>
      <c r="AX136" s="330">
        <f t="shared" si="25"/>
        <v>0</v>
      </c>
      <c r="AY136" s="330">
        <f t="shared" si="25"/>
        <v>0</v>
      </c>
      <c r="AZ136" s="330">
        <f t="shared" si="25"/>
        <v>0</v>
      </c>
      <c r="BA136" s="330">
        <f t="shared" si="25"/>
        <v>0</v>
      </c>
      <c r="BB136" s="330">
        <f t="shared" si="25"/>
        <v>0</v>
      </c>
      <c r="BC136" s="330">
        <f t="shared" si="25"/>
        <v>0</v>
      </c>
      <c r="BD136" s="330">
        <f t="shared" si="25"/>
        <v>0</v>
      </c>
      <c r="BE136" s="330">
        <f t="shared" si="25"/>
        <v>0</v>
      </c>
      <c r="BF136" s="330">
        <f t="shared" si="25"/>
        <v>0</v>
      </c>
      <c r="BG136" s="330">
        <f t="shared" si="25"/>
        <v>0</v>
      </c>
      <c r="BH136" s="330">
        <f t="shared" si="25"/>
        <v>0</v>
      </c>
      <c r="BI136" s="330">
        <f t="shared" si="25"/>
        <v>0</v>
      </c>
      <c r="BJ136" s="330">
        <f t="shared" si="25"/>
        <v>0</v>
      </c>
      <c r="BK136" s="330">
        <f t="shared" si="25"/>
        <v>0</v>
      </c>
      <c r="BL136" s="330">
        <f t="shared" si="25"/>
        <v>0</v>
      </c>
    </row>
    <row r="137" spans="2:64" x14ac:dyDescent="0.15">
      <c r="C137" s="257" t="s">
        <v>540</v>
      </c>
      <c r="E137" s="335">
        <f>IF(E$5&gt;$D$7,0,SUM(E122:E136))</f>
        <v>0.17376625862934639</v>
      </c>
      <c r="F137" s="335">
        <f t="shared" ref="F137:AB137" si="26">IF(F$5&gt;$D$7,0,SUM(F122:F136))</f>
        <v>0.17376625862934642</v>
      </c>
      <c r="G137" s="335">
        <f t="shared" si="26"/>
        <v>0.17376625862934639</v>
      </c>
      <c r="H137" s="335">
        <f t="shared" si="26"/>
        <v>0.17376625862934636</v>
      </c>
      <c r="I137" s="335">
        <f t="shared" si="26"/>
        <v>0.17376625862934639</v>
      </c>
      <c r="J137" s="335">
        <f t="shared" si="26"/>
        <v>0.17376625862934639</v>
      </c>
      <c r="K137" s="335">
        <f t="shared" si="26"/>
        <v>0.17376625862934639</v>
      </c>
      <c r="L137" s="335">
        <f t="shared" si="26"/>
        <v>0</v>
      </c>
      <c r="M137" s="335">
        <f t="shared" si="26"/>
        <v>0</v>
      </c>
      <c r="N137" s="335">
        <f t="shared" si="26"/>
        <v>0</v>
      </c>
      <c r="O137" s="335">
        <f t="shared" si="26"/>
        <v>0</v>
      </c>
      <c r="P137" s="335">
        <f t="shared" si="26"/>
        <v>0</v>
      </c>
      <c r="Q137" s="335">
        <f t="shared" si="26"/>
        <v>0</v>
      </c>
      <c r="R137" s="335">
        <f t="shared" si="26"/>
        <v>0</v>
      </c>
      <c r="S137" s="335">
        <f t="shared" si="26"/>
        <v>0</v>
      </c>
      <c r="T137" s="335">
        <f t="shared" si="26"/>
        <v>0</v>
      </c>
      <c r="U137" s="335">
        <f t="shared" si="26"/>
        <v>0</v>
      </c>
      <c r="V137" s="335">
        <f t="shared" si="26"/>
        <v>0</v>
      </c>
      <c r="W137" s="335">
        <f t="shared" si="26"/>
        <v>0</v>
      </c>
      <c r="X137" s="335">
        <f t="shared" si="26"/>
        <v>0</v>
      </c>
      <c r="Y137" s="335">
        <f t="shared" si="26"/>
        <v>0</v>
      </c>
      <c r="Z137" s="335">
        <f t="shared" si="26"/>
        <v>0</v>
      </c>
      <c r="AA137" s="335">
        <f t="shared" si="26"/>
        <v>0</v>
      </c>
      <c r="AB137" s="335">
        <f t="shared" si="26"/>
        <v>0</v>
      </c>
      <c r="AC137" s="335">
        <f t="shared" ref="AC137:BL137" si="27">IF(AC$5&gt;$D$7,0,IF(AC$5=$D$7,AC42,SUM(AC122:AC136)))</f>
        <v>0</v>
      </c>
      <c r="AD137" s="335">
        <f t="shared" si="27"/>
        <v>0</v>
      </c>
      <c r="AE137" s="335">
        <f t="shared" si="27"/>
        <v>0</v>
      </c>
      <c r="AF137" s="335">
        <f t="shared" si="27"/>
        <v>0</v>
      </c>
      <c r="AG137" s="335">
        <f t="shared" si="27"/>
        <v>0</v>
      </c>
      <c r="AH137" s="335">
        <f t="shared" si="27"/>
        <v>0</v>
      </c>
      <c r="AI137" s="335">
        <f t="shared" si="27"/>
        <v>0</v>
      </c>
      <c r="AJ137" s="335">
        <f t="shared" si="27"/>
        <v>0</v>
      </c>
      <c r="AK137" s="335">
        <f t="shared" si="27"/>
        <v>0</v>
      </c>
      <c r="AL137" s="335">
        <f t="shared" si="27"/>
        <v>0</v>
      </c>
      <c r="AM137" s="335">
        <f t="shared" si="27"/>
        <v>0</v>
      </c>
      <c r="AN137" s="335">
        <f t="shared" si="27"/>
        <v>0</v>
      </c>
      <c r="AO137" s="335">
        <f t="shared" si="27"/>
        <v>0</v>
      </c>
      <c r="AP137" s="335">
        <f t="shared" si="27"/>
        <v>0</v>
      </c>
      <c r="AQ137" s="335">
        <f t="shared" si="27"/>
        <v>0</v>
      </c>
      <c r="AR137" s="335">
        <f t="shared" si="27"/>
        <v>0</v>
      </c>
      <c r="AS137" s="335">
        <f t="shared" si="27"/>
        <v>0</v>
      </c>
      <c r="AT137" s="335">
        <f t="shared" si="27"/>
        <v>0</v>
      </c>
      <c r="AU137" s="335">
        <f t="shared" si="27"/>
        <v>0</v>
      </c>
      <c r="AV137" s="335">
        <f t="shared" si="27"/>
        <v>0</v>
      </c>
      <c r="AW137" s="335">
        <f t="shared" si="27"/>
        <v>0</v>
      </c>
      <c r="AX137" s="335">
        <f t="shared" si="27"/>
        <v>0</v>
      </c>
      <c r="AY137" s="335">
        <f t="shared" si="27"/>
        <v>0</v>
      </c>
      <c r="AZ137" s="335">
        <f t="shared" si="27"/>
        <v>0</v>
      </c>
      <c r="BA137" s="335">
        <f t="shared" si="27"/>
        <v>0</v>
      </c>
      <c r="BB137" s="335">
        <f t="shared" si="27"/>
        <v>0</v>
      </c>
      <c r="BC137" s="335">
        <f t="shared" si="27"/>
        <v>0</v>
      </c>
      <c r="BD137" s="335">
        <f t="shared" si="27"/>
        <v>0</v>
      </c>
      <c r="BE137" s="335">
        <f t="shared" si="27"/>
        <v>0</v>
      </c>
      <c r="BF137" s="335">
        <f t="shared" si="27"/>
        <v>0</v>
      </c>
      <c r="BG137" s="335">
        <f t="shared" si="27"/>
        <v>0</v>
      </c>
      <c r="BH137" s="335">
        <f t="shared" si="27"/>
        <v>0</v>
      </c>
      <c r="BI137" s="335">
        <f t="shared" si="27"/>
        <v>0</v>
      </c>
      <c r="BJ137" s="335">
        <f t="shared" si="27"/>
        <v>0</v>
      </c>
      <c r="BK137" s="335">
        <f t="shared" si="27"/>
        <v>0</v>
      </c>
      <c r="BL137" s="335">
        <f t="shared" si="27"/>
        <v>0</v>
      </c>
    </row>
    <row r="138" spans="2:64" s="337" customFormat="1" x14ac:dyDescent="0.15">
      <c r="C138" s="337" t="s">
        <v>539</v>
      </c>
      <c r="E138" s="422">
        <f t="shared" ref="E138:BL138" si="28">-IF(E5&gt;$D$7,0,E137-D137)</f>
        <v>-0.17376625862934639</v>
      </c>
      <c r="F138" s="422">
        <f t="shared" si="28"/>
        <v>-2.7755575615628914E-17</v>
      </c>
      <c r="G138" s="422">
        <f t="shared" si="28"/>
        <v>2.7755575615628914E-17</v>
      </c>
      <c r="H138" s="422">
        <f t="shared" si="28"/>
        <v>2.7755575615628914E-17</v>
      </c>
      <c r="I138" s="422">
        <f t="shared" si="28"/>
        <v>-2.7755575615628914E-17</v>
      </c>
      <c r="J138" s="422">
        <f t="shared" si="28"/>
        <v>0</v>
      </c>
      <c r="K138" s="422">
        <f t="shared" si="28"/>
        <v>0</v>
      </c>
      <c r="L138" s="422">
        <f t="shared" si="28"/>
        <v>0</v>
      </c>
      <c r="M138" s="422">
        <f t="shared" si="28"/>
        <v>0</v>
      </c>
      <c r="N138" s="422">
        <f t="shared" si="28"/>
        <v>0</v>
      </c>
      <c r="O138" s="422">
        <f t="shared" si="28"/>
        <v>0</v>
      </c>
      <c r="P138" s="422">
        <f t="shared" si="28"/>
        <v>0</v>
      </c>
      <c r="Q138" s="422">
        <f t="shared" si="28"/>
        <v>0</v>
      </c>
      <c r="R138" s="422">
        <f t="shared" si="28"/>
        <v>0</v>
      </c>
      <c r="S138" s="422">
        <f t="shared" si="28"/>
        <v>0</v>
      </c>
      <c r="T138" s="422">
        <f t="shared" si="28"/>
        <v>0</v>
      </c>
      <c r="U138" s="422">
        <f t="shared" si="28"/>
        <v>0</v>
      </c>
      <c r="V138" s="422">
        <f t="shared" si="28"/>
        <v>0</v>
      </c>
      <c r="W138" s="422">
        <f t="shared" si="28"/>
        <v>0</v>
      </c>
      <c r="X138" s="422">
        <f t="shared" si="28"/>
        <v>0</v>
      </c>
      <c r="Y138" s="422">
        <f t="shared" si="28"/>
        <v>0</v>
      </c>
      <c r="Z138" s="422">
        <f t="shared" si="28"/>
        <v>0</v>
      </c>
      <c r="AA138" s="422">
        <f t="shared" si="28"/>
        <v>0</v>
      </c>
      <c r="AB138" s="422">
        <f t="shared" si="28"/>
        <v>0</v>
      </c>
      <c r="AC138" s="422">
        <f t="shared" si="28"/>
        <v>0</v>
      </c>
      <c r="AD138" s="422">
        <f t="shared" si="28"/>
        <v>0</v>
      </c>
      <c r="AE138" s="422">
        <f t="shared" si="28"/>
        <v>0</v>
      </c>
      <c r="AF138" s="422">
        <f t="shared" si="28"/>
        <v>0</v>
      </c>
      <c r="AG138" s="422">
        <f t="shared" si="28"/>
        <v>0</v>
      </c>
      <c r="AH138" s="422">
        <f t="shared" si="28"/>
        <v>0</v>
      </c>
      <c r="AI138" s="422">
        <f t="shared" si="28"/>
        <v>0</v>
      </c>
      <c r="AJ138" s="422">
        <f t="shared" si="28"/>
        <v>0</v>
      </c>
      <c r="AK138" s="422">
        <f t="shared" si="28"/>
        <v>0</v>
      </c>
      <c r="AL138" s="422">
        <f t="shared" si="28"/>
        <v>0</v>
      </c>
      <c r="AM138" s="422">
        <f t="shared" si="28"/>
        <v>0</v>
      </c>
      <c r="AN138" s="422">
        <f t="shared" si="28"/>
        <v>0</v>
      </c>
      <c r="AO138" s="422">
        <f t="shared" si="28"/>
        <v>0</v>
      </c>
      <c r="AP138" s="422">
        <f t="shared" si="28"/>
        <v>0</v>
      </c>
      <c r="AQ138" s="422">
        <f t="shared" si="28"/>
        <v>0</v>
      </c>
      <c r="AR138" s="422">
        <f t="shared" si="28"/>
        <v>0</v>
      </c>
      <c r="AS138" s="422">
        <f t="shared" si="28"/>
        <v>0</v>
      </c>
      <c r="AT138" s="422">
        <f t="shared" si="28"/>
        <v>0</v>
      </c>
      <c r="AU138" s="422">
        <f t="shared" si="28"/>
        <v>0</v>
      </c>
      <c r="AV138" s="422">
        <f t="shared" si="28"/>
        <v>0</v>
      </c>
      <c r="AW138" s="422">
        <f t="shared" si="28"/>
        <v>0</v>
      </c>
      <c r="AX138" s="422">
        <f t="shared" si="28"/>
        <v>0</v>
      </c>
      <c r="AY138" s="422">
        <f t="shared" si="28"/>
        <v>0</v>
      </c>
      <c r="AZ138" s="422">
        <f t="shared" si="28"/>
        <v>0</v>
      </c>
      <c r="BA138" s="422">
        <f t="shared" si="28"/>
        <v>0</v>
      </c>
      <c r="BB138" s="422">
        <f t="shared" si="28"/>
        <v>0</v>
      </c>
      <c r="BC138" s="422">
        <f t="shared" si="28"/>
        <v>0</v>
      </c>
      <c r="BD138" s="422">
        <f t="shared" si="28"/>
        <v>0</v>
      </c>
      <c r="BE138" s="422">
        <f t="shared" si="28"/>
        <v>0</v>
      </c>
      <c r="BF138" s="422">
        <f t="shared" si="28"/>
        <v>0</v>
      </c>
      <c r="BG138" s="422">
        <f t="shared" si="28"/>
        <v>0</v>
      </c>
      <c r="BH138" s="422">
        <f t="shared" si="28"/>
        <v>0</v>
      </c>
      <c r="BI138" s="422">
        <f t="shared" si="28"/>
        <v>0</v>
      </c>
      <c r="BJ138" s="422">
        <f t="shared" si="28"/>
        <v>0</v>
      </c>
      <c r="BK138" s="422">
        <f t="shared" si="28"/>
        <v>0</v>
      </c>
      <c r="BL138" s="422">
        <f t="shared" si="28"/>
        <v>0</v>
      </c>
    </row>
    <row r="140" spans="2:64" x14ac:dyDescent="0.15">
      <c r="B140" s="337" t="s">
        <v>541</v>
      </c>
      <c r="Y140" s="257" t="s">
        <v>542</v>
      </c>
    </row>
    <row r="141" spans="2:64" s="337" customFormat="1" x14ac:dyDescent="0.15">
      <c r="C141" s="337" t="s">
        <v>539</v>
      </c>
    </row>
    <row r="142" spans="2:64" s="337" customFormat="1" x14ac:dyDescent="0.15">
      <c r="C142" s="257" t="s">
        <v>500</v>
      </c>
      <c r="E142" s="330">
        <f t="shared" ref="E142:BL146" si="29">IF(E$5&gt;$D$7,0,E25*$F104)</f>
        <v>0</v>
      </c>
      <c r="F142" s="330">
        <f t="shared" si="29"/>
        <v>0</v>
      </c>
      <c r="G142" s="330">
        <f t="shared" si="29"/>
        <v>0</v>
      </c>
      <c r="H142" s="330">
        <f t="shared" si="29"/>
        <v>0</v>
      </c>
      <c r="I142" s="330">
        <f t="shared" si="29"/>
        <v>0</v>
      </c>
      <c r="J142" s="330">
        <f t="shared" si="29"/>
        <v>0</v>
      </c>
      <c r="K142" s="330">
        <f t="shared" si="29"/>
        <v>0</v>
      </c>
      <c r="L142" s="330">
        <f t="shared" si="29"/>
        <v>0</v>
      </c>
      <c r="M142" s="330">
        <f t="shared" si="29"/>
        <v>0</v>
      </c>
      <c r="N142" s="330">
        <f t="shared" si="29"/>
        <v>0</v>
      </c>
      <c r="O142" s="330">
        <f t="shared" si="29"/>
        <v>0</v>
      </c>
      <c r="P142" s="330">
        <f t="shared" si="29"/>
        <v>0</v>
      </c>
      <c r="Q142" s="330">
        <f t="shared" si="29"/>
        <v>0</v>
      </c>
      <c r="R142" s="330">
        <f t="shared" si="29"/>
        <v>0</v>
      </c>
      <c r="S142" s="330">
        <f t="shared" si="29"/>
        <v>0</v>
      </c>
      <c r="T142" s="330">
        <f t="shared" si="29"/>
        <v>0</v>
      </c>
      <c r="U142" s="330">
        <f t="shared" si="29"/>
        <v>0</v>
      </c>
      <c r="V142" s="330">
        <f t="shared" si="29"/>
        <v>0</v>
      </c>
      <c r="W142" s="330">
        <f t="shared" si="29"/>
        <v>0</v>
      </c>
      <c r="X142" s="330">
        <f t="shared" si="29"/>
        <v>0</v>
      </c>
      <c r="Y142" s="330">
        <f t="shared" si="29"/>
        <v>0</v>
      </c>
      <c r="Z142" s="330">
        <f t="shared" si="29"/>
        <v>0</v>
      </c>
      <c r="AA142" s="330">
        <f t="shared" si="29"/>
        <v>0</v>
      </c>
      <c r="AB142" s="330">
        <f t="shared" si="29"/>
        <v>0</v>
      </c>
      <c r="AC142" s="330">
        <f t="shared" si="29"/>
        <v>0</v>
      </c>
      <c r="AD142" s="330">
        <f t="shared" si="29"/>
        <v>0</v>
      </c>
      <c r="AE142" s="330">
        <f t="shared" si="29"/>
        <v>0</v>
      </c>
      <c r="AF142" s="330">
        <f t="shared" si="29"/>
        <v>0</v>
      </c>
      <c r="AG142" s="330">
        <f t="shared" si="29"/>
        <v>0</v>
      </c>
      <c r="AH142" s="330">
        <f t="shared" si="29"/>
        <v>0</v>
      </c>
      <c r="AI142" s="330">
        <f t="shared" si="29"/>
        <v>0</v>
      </c>
      <c r="AJ142" s="330">
        <f t="shared" si="29"/>
        <v>0</v>
      </c>
      <c r="AK142" s="330">
        <f t="shared" si="29"/>
        <v>0</v>
      </c>
      <c r="AL142" s="330">
        <f t="shared" si="29"/>
        <v>0</v>
      </c>
      <c r="AM142" s="330">
        <f t="shared" si="29"/>
        <v>0</v>
      </c>
      <c r="AN142" s="330">
        <f t="shared" si="29"/>
        <v>0</v>
      </c>
      <c r="AO142" s="330">
        <f t="shared" si="29"/>
        <v>0</v>
      </c>
      <c r="AP142" s="330">
        <f t="shared" si="29"/>
        <v>0</v>
      </c>
      <c r="AQ142" s="330">
        <f t="shared" si="29"/>
        <v>0</v>
      </c>
      <c r="AR142" s="330">
        <f t="shared" si="29"/>
        <v>0</v>
      </c>
      <c r="AS142" s="330">
        <f t="shared" si="29"/>
        <v>0</v>
      </c>
      <c r="AT142" s="330">
        <f t="shared" si="29"/>
        <v>0</v>
      </c>
      <c r="AU142" s="330">
        <f t="shared" si="29"/>
        <v>0</v>
      </c>
      <c r="AV142" s="330">
        <f t="shared" si="29"/>
        <v>0</v>
      </c>
      <c r="AW142" s="330">
        <f t="shared" si="29"/>
        <v>0</v>
      </c>
      <c r="AX142" s="330">
        <f t="shared" si="29"/>
        <v>0</v>
      </c>
      <c r="AY142" s="330">
        <f t="shared" si="29"/>
        <v>0</v>
      </c>
      <c r="AZ142" s="330">
        <f t="shared" si="29"/>
        <v>0</v>
      </c>
      <c r="BA142" s="330">
        <f t="shared" si="29"/>
        <v>0</v>
      </c>
      <c r="BB142" s="330">
        <f t="shared" si="29"/>
        <v>0</v>
      </c>
      <c r="BC142" s="330">
        <f t="shared" si="29"/>
        <v>0</v>
      </c>
      <c r="BD142" s="330">
        <f t="shared" si="29"/>
        <v>0</v>
      </c>
      <c r="BE142" s="330">
        <f t="shared" si="29"/>
        <v>0</v>
      </c>
      <c r="BF142" s="330">
        <f t="shared" si="29"/>
        <v>0</v>
      </c>
      <c r="BG142" s="330">
        <f t="shared" si="29"/>
        <v>0</v>
      </c>
      <c r="BH142" s="330">
        <f t="shared" si="29"/>
        <v>0</v>
      </c>
      <c r="BI142" s="330">
        <f t="shared" si="29"/>
        <v>0</v>
      </c>
      <c r="BJ142" s="330">
        <f t="shared" si="29"/>
        <v>0</v>
      </c>
      <c r="BK142" s="330">
        <f t="shared" si="29"/>
        <v>0</v>
      </c>
      <c r="BL142" s="330">
        <f t="shared" si="29"/>
        <v>0</v>
      </c>
    </row>
    <row r="143" spans="2:64" s="337" customFormat="1" x14ac:dyDescent="0.15">
      <c r="C143" s="257" t="s">
        <v>502</v>
      </c>
      <c r="E143" s="330">
        <f t="shared" si="29"/>
        <v>1.5044968926096343E-2</v>
      </c>
      <c r="F143" s="330">
        <f t="shared" si="29"/>
        <v>0</v>
      </c>
      <c r="G143" s="330">
        <f t="shared" si="29"/>
        <v>0</v>
      </c>
      <c r="H143" s="330">
        <f t="shared" si="29"/>
        <v>0</v>
      </c>
      <c r="I143" s="330">
        <f t="shared" si="29"/>
        <v>0</v>
      </c>
      <c r="J143" s="330">
        <f t="shared" si="29"/>
        <v>0</v>
      </c>
      <c r="K143" s="330">
        <f t="shared" si="29"/>
        <v>0</v>
      </c>
      <c r="L143" s="330">
        <f t="shared" si="29"/>
        <v>0</v>
      </c>
      <c r="M143" s="330">
        <f t="shared" si="29"/>
        <v>0</v>
      </c>
      <c r="N143" s="330">
        <f t="shared" si="29"/>
        <v>0</v>
      </c>
      <c r="O143" s="330">
        <f t="shared" si="29"/>
        <v>0</v>
      </c>
      <c r="P143" s="330">
        <f t="shared" si="29"/>
        <v>0</v>
      </c>
      <c r="Q143" s="330">
        <f t="shared" si="29"/>
        <v>0</v>
      </c>
      <c r="R143" s="330">
        <f t="shared" si="29"/>
        <v>0</v>
      </c>
      <c r="S143" s="330">
        <f t="shared" si="29"/>
        <v>0</v>
      </c>
      <c r="T143" s="330">
        <f t="shared" si="29"/>
        <v>0</v>
      </c>
      <c r="U143" s="330">
        <f t="shared" si="29"/>
        <v>0</v>
      </c>
      <c r="V143" s="330">
        <f t="shared" si="29"/>
        <v>0</v>
      </c>
      <c r="W143" s="330">
        <f t="shared" si="29"/>
        <v>0</v>
      </c>
      <c r="X143" s="330">
        <f t="shared" si="29"/>
        <v>0</v>
      </c>
      <c r="Y143" s="330">
        <f t="shared" si="29"/>
        <v>0</v>
      </c>
      <c r="Z143" s="330">
        <f t="shared" si="29"/>
        <v>0</v>
      </c>
      <c r="AA143" s="330">
        <f t="shared" si="29"/>
        <v>0</v>
      </c>
      <c r="AB143" s="330">
        <f t="shared" si="29"/>
        <v>0</v>
      </c>
      <c r="AC143" s="330">
        <f t="shared" si="29"/>
        <v>0</v>
      </c>
      <c r="AD143" s="330">
        <f t="shared" si="29"/>
        <v>0</v>
      </c>
      <c r="AE143" s="330">
        <f t="shared" si="29"/>
        <v>0</v>
      </c>
      <c r="AF143" s="330">
        <f t="shared" si="29"/>
        <v>0</v>
      </c>
      <c r="AG143" s="330">
        <f t="shared" si="29"/>
        <v>0</v>
      </c>
      <c r="AH143" s="330">
        <f t="shared" si="29"/>
        <v>0</v>
      </c>
      <c r="AI143" s="330">
        <f t="shared" si="29"/>
        <v>0</v>
      </c>
      <c r="AJ143" s="330">
        <f t="shared" si="29"/>
        <v>0</v>
      </c>
      <c r="AK143" s="330">
        <f t="shared" si="29"/>
        <v>0</v>
      </c>
      <c r="AL143" s="330">
        <f t="shared" si="29"/>
        <v>0</v>
      </c>
      <c r="AM143" s="330">
        <f t="shared" si="29"/>
        <v>0</v>
      </c>
      <c r="AN143" s="330">
        <f t="shared" si="29"/>
        <v>0</v>
      </c>
      <c r="AO143" s="330">
        <f t="shared" si="29"/>
        <v>0</v>
      </c>
      <c r="AP143" s="330">
        <f t="shared" si="29"/>
        <v>0</v>
      </c>
      <c r="AQ143" s="330">
        <f t="shared" si="29"/>
        <v>0</v>
      </c>
      <c r="AR143" s="330">
        <f t="shared" si="29"/>
        <v>0</v>
      </c>
      <c r="AS143" s="330">
        <f t="shared" si="29"/>
        <v>0</v>
      </c>
      <c r="AT143" s="330">
        <f t="shared" si="29"/>
        <v>0</v>
      </c>
      <c r="AU143" s="330">
        <f t="shared" si="29"/>
        <v>0</v>
      </c>
      <c r="AV143" s="330">
        <f t="shared" si="29"/>
        <v>0</v>
      </c>
      <c r="AW143" s="330">
        <f t="shared" si="29"/>
        <v>0</v>
      </c>
      <c r="AX143" s="330">
        <f t="shared" si="29"/>
        <v>0</v>
      </c>
      <c r="AY143" s="330">
        <f t="shared" si="29"/>
        <v>0</v>
      </c>
      <c r="AZ143" s="330">
        <f t="shared" si="29"/>
        <v>0</v>
      </c>
      <c r="BA143" s="330">
        <f t="shared" si="29"/>
        <v>0</v>
      </c>
      <c r="BB143" s="330">
        <f t="shared" si="29"/>
        <v>0</v>
      </c>
      <c r="BC143" s="330">
        <f t="shared" si="29"/>
        <v>0</v>
      </c>
      <c r="BD143" s="330">
        <f t="shared" si="29"/>
        <v>0</v>
      </c>
      <c r="BE143" s="330">
        <f t="shared" si="29"/>
        <v>0</v>
      </c>
      <c r="BF143" s="330">
        <f t="shared" si="29"/>
        <v>0</v>
      </c>
      <c r="BG143" s="330">
        <f t="shared" si="29"/>
        <v>0</v>
      </c>
      <c r="BH143" s="330">
        <f t="shared" si="29"/>
        <v>0</v>
      </c>
      <c r="BI143" s="330">
        <f t="shared" si="29"/>
        <v>0</v>
      </c>
      <c r="BJ143" s="330">
        <f t="shared" si="29"/>
        <v>0</v>
      </c>
      <c r="BK143" s="330">
        <f t="shared" si="29"/>
        <v>0</v>
      </c>
      <c r="BL143" s="330">
        <f t="shared" si="29"/>
        <v>0</v>
      </c>
    </row>
    <row r="144" spans="2:64" s="337" customFormat="1" x14ac:dyDescent="0.15">
      <c r="C144" s="257" t="s">
        <v>503</v>
      </c>
      <c r="E144" s="330">
        <f t="shared" si="29"/>
        <v>0</v>
      </c>
      <c r="F144" s="330">
        <f t="shared" si="29"/>
        <v>1.1960750296246592E-2</v>
      </c>
      <c r="G144" s="330">
        <f t="shared" si="29"/>
        <v>0</v>
      </c>
      <c r="H144" s="330">
        <f t="shared" si="29"/>
        <v>0</v>
      </c>
      <c r="I144" s="330">
        <f t="shared" si="29"/>
        <v>0</v>
      </c>
      <c r="J144" s="330">
        <f t="shared" si="29"/>
        <v>0</v>
      </c>
      <c r="K144" s="330">
        <f t="shared" si="29"/>
        <v>0</v>
      </c>
      <c r="L144" s="330">
        <f t="shared" si="29"/>
        <v>0</v>
      </c>
      <c r="M144" s="330">
        <f t="shared" si="29"/>
        <v>0</v>
      </c>
      <c r="N144" s="330">
        <f t="shared" si="29"/>
        <v>0</v>
      </c>
      <c r="O144" s="330">
        <f t="shared" si="29"/>
        <v>0</v>
      </c>
      <c r="P144" s="330">
        <f t="shared" si="29"/>
        <v>0</v>
      </c>
      <c r="Q144" s="330">
        <f t="shared" si="29"/>
        <v>0</v>
      </c>
      <c r="R144" s="330">
        <f t="shared" si="29"/>
        <v>0</v>
      </c>
      <c r="S144" s="330">
        <f t="shared" si="29"/>
        <v>0</v>
      </c>
      <c r="T144" s="330">
        <f t="shared" si="29"/>
        <v>0</v>
      </c>
      <c r="U144" s="330">
        <f t="shared" si="29"/>
        <v>0</v>
      </c>
      <c r="V144" s="330">
        <f t="shared" si="29"/>
        <v>0</v>
      </c>
      <c r="W144" s="330">
        <f t="shared" si="29"/>
        <v>0</v>
      </c>
      <c r="X144" s="330">
        <f t="shared" si="29"/>
        <v>0</v>
      </c>
      <c r="Y144" s="330">
        <f t="shared" si="29"/>
        <v>0</v>
      </c>
      <c r="Z144" s="330">
        <f t="shared" si="29"/>
        <v>0</v>
      </c>
      <c r="AA144" s="330">
        <f t="shared" si="29"/>
        <v>0</v>
      </c>
      <c r="AB144" s="330">
        <f t="shared" si="29"/>
        <v>0</v>
      </c>
      <c r="AC144" s="330">
        <f t="shared" si="29"/>
        <v>0</v>
      </c>
      <c r="AD144" s="330">
        <f t="shared" si="29"/>
        <v>0</v>
      </c>
      <c r="AE144" s="330">
        <f t="shared" si="29"/>
        <v>0</v>
      </c>
      <c r="AF144" s="330">
        <f t="shared" si="29"/>
        <v>0</v>
      </c>
      <c r="AG144" s="330">
        <f t="shared" si="29"/>
        <v>0</v>
      </c>
      <c r="AH144" s="330">
        <f t="shared" si="29"/>
        <v>0</v>
      </c>
      <c r="AI144" s="330">
        <f t="shared" si="29"/>
        <v>0</v>
      </c>
      <c r="AJ144" s="330">
        <f t="shared" si="29"/>
        <v>0</v>
      </c>
      <c r="AK144" s="330">
        <f t="shared" si="29"/>
        <v>0</v>
      </c>
      <c r="AL144" s="330">
        <f t="shared" si="29"/>
        <v>0</v>
      </c>
      <c r="AM144" s="330">
        <f t="shared" si="29"/>
        <v>0</v>
      </c>
      <c r="AN144" s="330">
        <f t="shared" si="29"/>
        <v>0</v>
      </c>
      <c r="AO144" s="330">
        <f t="shared" si="29"/>
        <v>0</v>
      </c>
      <c r="AP144" s="330">
        <f t="shared" si="29"/>
        <v>0</v>
      </c>
      <c r="AQ144" s="330">
        <f t="shared" si="29"/>
        <v>0</v>
      </c>
      <c r="AR144" s="330">
        <f t="shared" si="29"/>
        <v>0</v>
      </c>
      <c r="AS144" s="330">
        <f t="shared" si="29"/>
        <v>0</v>
      </c>
      <c r="AT144" s="330">
        <f t="shared" si="29"/>
        <v>0</v>
      </c>
      <c r="AU144" s="330">
        <f t="shared" si="29"/>
        <v>0</v>
      </c>
      <c r="AV144" s="330">
        <f t="shared" si="29"/>
        <v>0</v>
      </c>
      <c r="AW144" s="330">
        <f t="shared" si="29"/>
        <v>0</v>
      </c>
      <c r="AX144" s="330">
        <f t="shared" si="29"/>
        <v>0</v>
      </c>
      <c r="AY144" s="330">
        <f t="shared" si="29"/>
        <v>0</v>
      </c>
      <c r="AZ144" s="330">
        <f t="shared" si="29"/>
        <v>0</v>
      </c>
      <c r="BA144" s="330">
        <f t="shared" si="29"/>
        <v>0</v>
      </c>
      <c r="BB144" s="330">
        <f t="shared" si="29"/>
        <v>0</v>
      </c>
      <c r="BC144" s="330">
        <f t="shared" si="29"/>
        <v>0</v>
      </c>
      <c r="BD144" s="330">
        <f t="shared" si="29"/>
        <v>0</v>
      </c>
      <c r="BE144" s="330">
        <f t="shared" si="29"/>
        <v>0</v>
      </c>
      <c r="BF144" s="330">
        <f t="shared" si="29"/>
        <v>0</v>
      </c>
      <c r="BG144" s="330">
        <f t="shared" si="29"/>
        <v>0</v>
      </c>
      <c r="BH144" s="330">
        <f t="shared" si="29"/>
        <v>0</v>
      </c>
      <c r="BI144" s="330">
        <f t="shared" si="29"/>
        <v>0</v>
      </c>
      <c r="BJ144" s="330">
        <f t="shared" si="29"/>
        <v>0</v>
      </c>
      <c r="BK144" s="330">
        <f t="shared" si="29"/>
        <v>0</v>
      </c>
      <c r="BL144" s="330">
        <f t="shared" si="29"/>
        <v>0</v>
      </c>
    </row>
    <row r="145" spans="2:64" s="337" customFormat="1" x14ac:dyDescent="0.15">
      <c r="C145" s="257" t="s">
        <v>504</v>
      </c>
      <c r="E145" s="330">
        <f t="shared" si="29"/>
        <v>0</v>
      </c>
      <c r="F145" s="330">
        <f t="shared" si="29"/>
        <v>0</v>
      </c>
      <c r="G145" s="330">
        <f t="shared" si="29"/>
        <v>1.1378028317796244E-2</v>
      </c>
      <c r="H145" s="330">
        <f t="shared" si="29"/>
        <v>0</v>
      </c>
      <c r="I145" s="330">
        <f t="shared" si="29"/>
        <v>0</v>
      </c>
      <c r="J145" s="330">
        <f t="shared" si="29"/>
        <v>0</v>
      </c>
      <c r="K145" s="330">
        <f t="shared" si="29"/>
        <v>0</v>
      </c>
      <c r="L145" s="330">
        <f t="shared" si="29"/>
        <v>0</v>
      </c>
      <c r="M145" s="330">
        <f t="shared" si="29"/>
        <v>0</v>
      </c>
      <c r="N145" s="330">
        <f t="shared" si="29"/>
        <v>0</v>
      </c>
      <c r="O145" s="330">
        <f t="shared" si="29"/>
        <v>0</v>
      </c>
      <c r="P145" s="330">
        <f t="shared" si="29"/>
        <v>0</v>
      </c>
      <c r="Q145" s="330">
        <f t="shared" si="29"/>
        <v>0</v>
      </c>
      <c r="R145" s="330">
        <f t="shared" si="29"/>
        <v>0</v>
      </c>
      <c r="S145" s="330">
        <f t="shared" si="29"/>
        <v>0</v>
      </c>
      <c r="T145" s="330">
        <f t="shared" si="29"/>
        <v>0</v>
      </c>
      <c r="U145" s="330">
        <f t="shared" si="29"/>
        <v>0</v>
      </c>
      <c r="V145" s="330">
        <f t="shared" si="29"/>
        <v>0</v>
      </c>
      <c r="W145" s="330">
        <f t="shared" si="29"/>
        <v>0</v>
      </c>
      <c r="X145" s="330">
        <f t="shared" si="29"/>
        <v>0</v>
      </c>
      <c r="Y145" s="330">
        <f t="shared" si="29"/>
        <v>0</v>
      </c>
      <c r="Z145" s="330">
        <f t="shared" si="29"/>
        <v>0</v>
      </c>
      <c r="AA145" s="330">
        <f t="shared" si="29"/>
        <v>0</v>
      </c>
      <c r="AB145" s="330">
        <f t="shared" si="29"/>
        <v>0</v>
      </c>
      <c r="AC145" s="330">
        <f t="shared" si="29"/>
        <v>0</v>
      </c>
      <c r="AD145" s="330">
        <f t="shared" si="29"/>
        <v>0</v>
      </c>
      <c r="AE145" s="330">
        <f t="shared" si="29"/>
        <v>0</v>
      </c>
      <c r="AF145" s="330">
        <f t="shared" si="29"/>
        <v>0</v>
      </c>
      <c r="AG145" s="330">
        <f t="shared" si="29"/>
        <v>0</v>
      </c>
      <c r="AH145" s="330">
        <f t="shared" si="29"/>
        <v>0</v>
      </c>
      <c r="AI145" s="330">
        <f t="shared" si="29"/>
        <v>0</v>
      </c>
      <c r="AJ145" s="330">
        <f t="shared" si="29"/>
        <v>0</v>
      </c>
      <c r="AK145" s="330">
        <f t="shared" si="29"/>
        <v>0</v>
      </c>
      <c r="AL145" s="330">
        <f t="shared" si="29"/>
        <v>0</v>
      </c>
      <c r="AM145" s="330">
        <f t="shared" si="29"/>
        <v>0</v>
      </c>
      <c r="AN145" s="330">
        <f t="shared" si="29"/>
        <v>0</v>
      </c>
      <c r="AO145" s="330">
        <f t="shared" si="29"/>
        <v>0</v>
      </c>
      <c r="AP145" s="330">
        <f t="shared" si="29"/>
        <v>0</v>
      </c>
      <c r="AQ145" s="330">
        <f t="shared" si="29"/>
        <v>0</v>
      </c>
      <c r="AR145" s="330">
        <f t="shared" si="29"/>
        <v>0</v>
      </c>
      <c r="AS145" s="330">
        <f t="shared" si="29"/>
        <v>0</v>
      </c>
      <c r="AT145" s="330">
        <f t="shared" si="29"/>
        <v>0</v>
      </c>
      <c r="AU145" s="330">
        <f t="shared" si="29"/>
        <v>0</v>
      </c>
      <c r="AV145" s="330">
        <f t="shared" si="29"/>
        <v>0</v>
      </c>
      <c r="AW145" s="330">
        <f t="shared" si="29"/>
        <v>0</v>
      </c>
      <c r="AX145" s="330">
        <f t="shared" si="29"/>
        <v>0</v>
      </c>
      <c r="AY145" s="330">
        <f t="shared" si="29"/>
        <v>0</v>
      </c>
      <c r="AZ145" s="330">
        <f t="shared" si="29"/>
        <v>0</v>
      </c>
      <c r="BA145" s="330">
        <f t="shared" si="29"/>
        <v>0</v>
      </c>
      <c r="BB145" s="330">
        <f t="shared" si="29"/>
        <v>0</v>
      </c>
      <c r="BC145" s="330">
        <f t="shared" si="29"/>
        <v>0</v>
      </c>
      <c r="BD145" s="330">
        <f t="shared" si="29"/>
        <v>0</v>
      </c>
      <c r="BE145" s="330">
        <f t="shared" si="29"/>
        <v>0</v>
      </c>
      <c r="BF145" s="330">
        <f t="shared" si="29"/>
        <v>0</v>
      </c>
      <c r="BG145" s="330">
        <f t="shared" si="29"/>
        <v>0</v>
      </c>
      <c r="BH145" s="330">
        <f t="shared" si="29"/>
        <v>0</v>
      </c>
      <c r="BI145" s="330">
        <f t="shared" si="29"/>
        <v>0</v>
      </c>
      <c r="BJ145" s="330">
        <f t="shared" si="29"/>
        <v>0</v>
      </c>
      <c r="BK145" s="330">
        <f t="shared" si="29"/>
        <v>0</v>
      </c>
      <c r="BL145" s="330">
        <f t="shared" si="29"/>
        <v>0</v>
      </c>
    </row>
    <row r="146" spans="2:64" s="337" customFormat="1" x14ac:dyDescent="0.15">
      <c r="C146" s="257" t="s">
        <v>506</v>
      </c>
      <c r="E146" s="330">
        <f t="shared" si="29"/>
        <v>0</v>
      </c>
      <c r="F146" s="330">
        <f t="shared" si="29"/>
        <v>0</v>
      </c>
      <c r="G146" s="330">
        <f t="shared" si="29"/>
        <v>0</v>
      </c>
      <c r="H146" s="330">
        <f t="shared" si="29"/>
        <v>4.0083563582701778E-2</v>
      </c>
      <c r="I146" s="330">
        <f t="shared" si="29"/>
        <v>0</v>
      </c>
      <c r="J146" s="330">
        <f t="shared" si="29"/>
        <v>0</v>
      </c>
      <c r="K146" s="330">
        <f t="shared" si="29"/>
        <v>0</v>
      </c>
      <c r="L146" s="330">
        <f t="shared" si="29"/>
        <v>0</v>
      </c>
      <c r="M146" s="330">
        <f t="shared" si="29"/>
        <v>0</v>
      </c>
      <c r="N146" s="330">
        <f t="shared" si="29"/>
        <v>0</v>
      </c>
      <c r="O146" s="330">
        <f t="shared" si="29"/>
        <v>0</v>
      </c>
      <c r="P146" s="330">
        <f t="shared" si="29"/>
        <v>0</v>
      </c>
      <c r="Q146" s="330">
        <f t="shared" si="29"/>
        <v>0</v>
      </c>
      <c r="R146" s="330">
        <f t="shared" si="29"/>
        <v>0</v>
      </c>
      <c r="S146" s="330">
        <f t="shared" si="29"/>
        <v>0</v>
      </c>
      <c r="T146" s="330">
        <f t="shared" ref="T146:BL154" si="30">IF(T$5&gt;$D$7,0,T29*$F108)</f>
        <v>0</v>
      </c>
      <c r="U146" s="330">
        <f t="shared" si="30"/>
        <v>0</v>
      </c>
      <c r="V146" s="330">
        <f t="shared" si="30"/>
        <v>0</v>
      </c>
      <c r="W146" s="330">
        <f t="shared" si="30"/>
        <v>0</v>
      </c>
      <c r="X146" s="330">
        <f t="shared" si="30"/>
        <v>0</v>
      </c>
      <c r="Y146" s="330">
        <f t="shared" si="30"/>
        <v>0</v>
      </c>
      <c r="Z146" s="330">
        <f t="shared" si="30"/>
        <v>0</v>
      </c>
      <c r="AA146" s="330">
        <f t="shared" si="30"/>
        <v>0</v>
      </c>
      <c r="AB146" s="330">
        <f t="shared" si="30"/>
        <v>0</v>
      </c>
      <c r="AC146" s="330">
        <f t="shared" si="30"/>
        <v>0</v>
      </c>
      <c r="AD146" s="330">
        <f t="shared" si="30"/>
        <v>0</v>
      </c>
      <c r="AE146" s="330">
        <f t="shared" si="30"/>
        <v>0</v>
      </c>
      <c r="AF146" s="330">
        <f t="shared" si="30"/>
        <v>0</v>
      </c>
      <c r="AG146" s="330">
        <f t="shared" si="30"/>
        <v>0</v>
      </c>
      <c r="AH146" s="330">
        <f t="shared" si="30"/>
        <v>0</v>
      </c>
      <c r="AI146" s="330">
        <f t="shared" si="30"/>
        <v>0</v>
      </c>
      <c r="AJ146" s="330">
        <f t="shared" si="30"/>
        <v>0</v>
      </c>
      <c r="AK146" s="330">
        <f t="shared" si="30"/>
        <v>0</v>
      </c>
      <c r="AL146" s="330">
        <f t="shared" si="30"/>
        <v>0</v>
      </c>
      <c r="AM146" s="330">
        <f t="shared" si="30"/>
        <v>0</v>
      </c>
      <c r="AN146" s="330">
        <f t="shared" si="30"/>
        <v>0</v>
      </c>
      <c r="AO146" s="330">
        <f t="shared" si="30"/>
        <v>0</v>
      </c>
      <c r="AP146" s="330">
        <f t="shared" si="30"/>
        <v>0</v>
      </c>
      <c r="AQ146" s="330">
        <f t="shared" si="30"/>
        <v>0</v>
      </c>
      <c r="AR146" s="330">
        <f t="shared" si="30"/>
        <v>0</v>
      </c>
      <c r="AS146" s="330">
        <f t="shared" si="30"/>
        <v>0</v>
      </c>
      <c r="AT146" s="330">
        <f t="shared" si="30"/>
        <v>0</v>
      </c>
      <c r="AU146" s="330">
        <f t="shared" si="30"/>
        <v>0</v>
      </c>
      <c r="AV146" s="330">
        <f t="shared" si="30"/>
        <v>0</v>
      </c>
      <c r="AW146" s="330">
        <f t="shared" si="30"/>
        <v>0</v>
      </c>
      <c r="AX146" s="330">
        <f t="shared" si="30"/>
        <v>0</v>
      </c>
      <c r="AY146" s="330">
        <f t="shared" si="30"/>
        <v>0</v>
      </c>
      <c r="AZ146" s="330">
        <f t="shared" si="30"/>
        <v>0</v>
      </c>
      <c r="BA146" s="330">
        <f t="shared" si="30"/>
        <v>0</v>
      </c>
      <c r="BB146" s="330">
        <f t="shared" si="30"/>
        <v>0</v>
      </c>
      <c r="BC146" s="330">
        <f t="shared" si="30"/>
        <v>0</v>
      </c>
      <c r="BD146" s="330">
        <f t="shared" si="30"/>
        <v>0</v>
      </c>
      <c r="BE146" s="330">
        <f t="shared" si="30"/>
        <v>0</v>
      </c>
      <c r="BF146" s="330">
        <f t="shared" si="30"/>
        <v>0</v>
      </c>
      <c r="BG146" s="330">
        <f t="shared" si="30"/>
        <v>0</v>
      </c>
      <c r="BH146" s="330">
        <f t="shared" si="30"/>
        <v>0</v>
      </c>
      <c r="BI146" s="330">
        <f t="shared" si="30"/>
        <v>0</v>
      </c>
      <c r="BJ146" s="330">
        <f t="shared" si="30"/>
        <v>0</v>
      </c>
      <c r="BK146" s="330">
        <f t="shared" si="30"/>
        <v>0</v>
      </c>
      <c r="BL146" s="330">
        <f t="shared" si="30"/>
        <v>0</v>
      </c>
    </row>
    <row r="147" spans="2:64" s="337" customFormat="1" x14ac:dyDescent="0.15">
      <c r="C147" s="257" t="s">
        <v>507</v>
      </c>
      <c r="E147" s="330">
        <f t="shared" ref="E147:AJ154" si="31">IF(E$5&gt;$D$7,0,E30*$F109)</f>
        <v>0</v>
      </c>
      <c r="F147" s="330">
        <f t="shared" si="31"/>
        <v>0</v>
      </c>
      <c r="G147" s="330">
        <f t="shared" si="31"/>
        <v>0</v>
      </c>
      <c r="H147" s="330">
        <f t="shared" si="31"/>
        <v>0</v>
      </c>
      <c r="I147" s="330">
        <f t="shared" si="31"/>
        <v>3.9660244895555564E-2</v>
      </c>
      <c r="J147" s="330">
        <f t="shared" si="31"/>
        <v>0</v>
      </c>
      <c r="K147" s="330">
        <f t="shared" si="31"/>
        <v>0</v>
      </c>
      <c r="L147" s="330">
        <f t="shared" si="31"/>
        <v>0</v>
      </c>
      <c r="M147" s="330">
        <f t="shared" si="31"/>
        <v>0</v>
      </c>
      <c r="N147" s="330">
        <f t="shared" si="31"/>
        <v>0</v>
      </c>
      <c r="O147" s="330">
        <f t="shared" si="31"/>
        <v>0</v>
      </c>
      <c r="P147" s="330">
        <f t="shared" si="31"/>
        <v>0</v>
      </c>
      <c r="Q147" s="330">
        <f t="shared" si="31"/>
        <v>0</v>
      </c>
      <c r="R147" s="330">
        <f t="shared" si="31"/>
        <v>0</v>
      </c>
      <c r="S147" s="330">
        <f t="shared" si="31"/>
        <v>0</v>
      </c>
      <c r="T147" s="330">
        <f t="shared" si="31"/>
        <v>0</v>
      </c>
      <c r="U147" s="330">
        <f t="shared" si="31"/>
        <v>0</v>
      </c>
      <c r="V147" s="330">
        <f t="shared" si="31"/>
        <v>0</v>
      </c>
      <c r="W147" s="330">
        <f t="shared" si="31"/>
        <v>0</v>
      </c>
      <c r="X147" s="330">
        <f t="shared" si="31"/>
        <v>0</v>
      </c>
      <c r="Y147" s="330">
        <f t="shared" si="31"/>
        <v>0</v>
      </c>
      <c r="Z147" s="330">
        <f t="shared" si="31"/>
        <v>0</v>
      </c>
      <c r="AA147" s="330">
        <f t="shared" si="31"/>
        <v>0</v>
      </c>
      <c r="AB147" s="330">
        <f t="shared" si="31"/>
        <v>0</v>
      </c>
      <c r="AC147" s="330">
        <f t="shared" si="31"/>
        <v>0</v>
      </c>
      <c r="AD147" s="330">
        <f t="shared" si="31"/>
        <v>0</v>
      </c>
      <c r="AE147" s="330">
        <f t="shared" si="31"/>
        <v>0</v>
      </c>
      <c r="AF147" s="330">
        <f t="shared" si="31"/>
        <v>0</v>
      </c>
      <c r="AG147" s="330">
        <f t="shared" si="31"/>
        <v>0</v>
      </c>
      <c r="AH147" s="330">
        <f t="shared" si="31"/>
        <v>0</v>
      </c>
      <c r="AI147" s="330">
        <f t="shared" si="31"/>
        <v>0</v>
      </c>
      <c r="AJ147" s="330">
        <f t="shared" si="31"/>
        <v>0</v>
      </c>
      <c r="AK147" s="330">
        <f t="shared" si="30"/>
        <v>0</v>
      </c>
      <c r="AL147" s="330">
        <f t="shared" si="30"/>
        <v>0</v>
      </c>
      <c r="AM147" s="330">
        <f t="shared" si="30"/>
        <v>0</v>
      </c>
      <c r="AN147" s="330">
        <f t="shared" si="30"/>
        <v>0</v>
      </c>
      <c r="AO147" s="330">
        <f t="shared" si="30"/>
        <v>0</v>
      </c>
      <c r="AP147" s="330">
        <f t="shared" si="30"/>
        <v>0</v>
      </c>
      <c r="AQ147" s="330">
        <f t="shared" si="30"/>
        <v>0</v>
      </c>
      <c r="AR147" s="330">
        <f t="shared" si="30"/>
        <v>0</v>
      </c>
      <c r="AS147" s="330">
        <f t="shared" si="30"/>
        <v>0</v>
      </c>
      <c r="AT147" s="330">
        <f t="shared" si="30"/>
        <v>0</v>
      </c>
      <c r="AU147" s="330">
        <f t="shared" si="30"/>
        <v>0</v>
      </c>
      <c r="AV147" s="330">
        <f t="shared" si="30"/>
        <v>0</v>
      </c>
      <c r="AW147" s="330">
        <f t="shared" si="30"/>
        <v>0</v>
      </c>
      <c r="AX147" s="330">
        <f t="shared" si="30"/>
        <v>0</v>
      </c>
      <c r="AY147" s="330">
        <f t="shared" si="30"/>
        <v>0</v>
      </c>
      <c r="AZ147" s="330">
        <f t="shared" si="30"/>
        <v>0</v>
      </c>
      <c r="BA147" s="330">
        <f t="shared" si="30"/>
        <v>0</v>
      </c>
      <c r="BB147" s="330">
        <f t="shared" si="30"/>
        <v>0</v>
      </c>
      <c r="BC147" s="330">
        <f t="shared" si="30"/>
        <v>0</v>
      </c>
      <c r="BD147" s="330">
        <f t="shared" si="30"/>
        <v>0</v>
      </c>
      <c r="BE147" s="330">
        <f t="shared" si="30"/>
        <v>0</v>
      </c>
      <c r="BF147" s="330">
        <f t="shared" si="30"/>
        <v>0</v>
      </c>
      <c r="BG147" s="330">
        <f t="shared" si="30"/>
        <v>0</v>
      </c>
      <c r="BH147" s="330">
        <f t="shared" si="30"/>
        <v>0</v>
      </c>
      <c r="BI147" s="330">
        <f t="shared" si="30"/>
        <v>0</v>
      </c>
      <c r="BJ147" s="330">
        <f t="shared" si="30"/>
        <v>0</v>
      </c>
      <c r="BK147" s="330">
        <f t="shared" si="30"/>
        <v>0</v>
      </c>
      <c r="BL147" s="330">
        <f t="shared" si="30"/>
        <v>0</v>
      </c>
    </row>
    <row r="148" spans="2:64" s="337" customFormat="1" x14ac:dyDescent="0.15">
      <c r="C148" s="257" t="s">
        <v>508</v>
      </c>
      <c r="E148" s="330">
        <f t="shared" si="31"/>
        <v>0</v>
      </c>
      <c r="F148" s="330">
        <f t="shared" si="31"/>
        <v>0</v>
      </c>
      <c r="G148" s="330">
        <f t="shared" si="31"/>
        <v>0</v>
      </c>
      <c r="H148" s="330">
        <f t="shared" si="31"/>
        <v>0</v>
      </c>
      <c r="I148" s="330">
        <f t="shared" si="31"/>
        <v>0</v>
      </c>
      <c r="J148" s="330">
        <f t="shared" si="31"/>
        <v>3.9263642446600008E-2</v>
      </c>
      <c r="K148" s="330">
        <f t="shared" si="31"/>
        <v>0</v>
      </c>
      <c r="L148" s="330">
        <f t="shared" si="31"/>
        <v>0</v>
      </c>
      <c r="M148" s="330">
        <f t="shared" si="31"/>
        <v>0</v>
      </c>
      <c r="N148" s="330">
        <f t="shared" si="31"/>
        <v>0</v>
      </c>
      <c r="O148" s="330">
        <f t="shared" si="31"/>
        <v>0</v>
      </c>
      <c r="P148" s="330">
        <f t="shared" si="31"/>
        <v>0</v>
      </c>
      <c r="Q148" s="330">
        <f t="shared" si="31"/>
        <v>0</v>
      </c>
      <c r="R148" s="330">
        <f t="shared" si="31"/>
        <v>0</v>
      </c>
      <c r="S148" s="330">
        <f t="shared" si="31"/>
        <v>0</v>
      </c>
      <c r="T148" s="330">
        <f t="shared" si="31"/>
        <v>0</v>
      </c>
      <c r="U148" s="330">
        <f t="shared" si="31"/>
        <v>0</v>
      </c>
      <c r="V148" s="330">
        <f t="shared" si="31"/>
        <v>0</v>
      </c>
      <c r="W148" s="330">
        <f t="shared" si="31"/>
        <v>0</v>
      </c>
      <c r="X148" s="330">
        <f t="shared" si="31"/>
        <v>0</v>
      </c>
      <c r="Y148" s="330">
        <f t="shared" si="31"/>
        <v>0</v>
      </c>
      <c r="Z148" s="330">
        <f t="shared" si="31"/>
        <v>0</v>
      </c>
      <c r="AA148" s="330">
        <f t="shared" si="31"/>
        <v>0</v>
      </c>
      <c r="AB148" s="330">
        <f t="shared" si="31"/>
        <v>0</v>
      </c>
      <c r="AC148" s="330">
        <f t="shared" si="31"/>
        <v>0</v>
      </c>
      <c r="AD148" s="330">
        <f t="shared" si="31"/>
        <v>0</v>
      </c>
      <c r="AE148" s="330">
        <f t="shared" si="31"/>
        <v>0</v>
      </c>
      <c r="AF148" s="330">
        <f t="shared" si="31"/>
        <v>0</v>
      </c>
      <c r="AG148" s="330">
        <f t="shared" si="31"/>
        <v>0</v>
      </c>
      <c r="AH148" s="330">
        <f t="shared" si="31"/>
        <v>0</v>
      </c>
      <c r="AI148" s="330">
        <f t="shared" si="31"/>
        <v>0</v>
      </c>
      <c r="AJ148" s="330">
        <f t="shared" si="31"/>
        <v>0</v>
      </c>
      <c r="AK148" s="330">
        <f t="shared" si="30"/>
        <v>0</v>
      </c>
      <c r="AL148" s="330">
        <f t="shared" si="30"/>
        <v>0</v>
      </c>
      <c r="AM148" s="330">
        <f t="shared" si="30"/>
        <v>0</v>
      </c>
      <c r="AN148" s="330">
        <f t="shared" si="30"/>
        <v>0</v>
      </c>
      <c r="AO148" s="330">
        <f t="shared" si="30"/>
        <v>0</v>
      </c>
      <c r="AP148" s="330">
        <f t="shared" si="30"/>
        <v>0</v>
      </c>
      <c r="AQ148" s="330">
        <f t="shared" si="30"/>
        <v>0</v>
      </c>
      <c r="AR148" s="330">
        <f t="shared" si="30"/>
        <v>0</v>
      </c>
      <c r="AS148" s="330">
        <f t="shared" si="30"/>
        <v>0</v>
      </c>
      <c r="AT148" s="330">
        <f t="shared" si="30"/>
        <v>0</v>
      </c>
      <c r="AU148" s="330">
        <f t="shared" si="30"/>
        <v>0</v>
      </c>
      <c r="AV148" s="330">
        <f t="shared" si="30"/>
        <v>0</v>
      </c>
      <c r="AW148" s="330">
        <f t="shared" si="30"/>
        <v>0</v>
      </c>
      <c r="AX148" s="330">
        <f t="shared" si="30"/>
        <v>0</v>
      </c>
      <c r="AY148" s="330">
        <f t="shared" si="30"/>
        <v>0</v>
      </c>
      <c r="AZ148" s="330">
        <f t="shared" si="30"/>
        <v>0</v>
      </c>
      <c r="BA148" s="330">
        <f t="shared" si="30"/>
        <v>0</v>
      </c>
      <c r="BB148" s="330">
        <f t="shared" si="30"/>
        <v>0</v>
      </c>
      <c r="BC148" s="330">
        <f t="shared" si="30"/>
        <v>0</v>
      </c>
      <c r="BD148" s="330">
        <f t="shared" si="30"/>
        <v>0</v>
      </c>
      <c r="BE148" s="330">
        <f t="shared" si="30"/>
        <v>0</v>
      </c>
      <c r="BF148" s="330">
        <f t="shared" si="30"/>
        <v>0</v>
      </c>
      <c r="BG148" s="330">
        <f t="shared" si="30"/>
        <v>0</v>
      </c>
      <c r="BH148" s="330">
        <f t="shared" si="30"/>
        <v>0</v>
      </c>
      <c r="BI148" s="330">
        <f t="shared" si="30"/>
        <v>0</v>
      </c>
      <c r="BJ148" s="330">
        <f t="shared" si="30"/>
        <v>0</v>
      </c>
      <c r="BK148" s="330">
        <f t="shared" si="30"/>
        <v>0</v>
      </c>
      <c r="BL148" s="330">
        <f t="shared" si="30"/>
        <v>0</v>
      </c>
    </row>
    <row r="149" spans="2:64" s="337" customFormat="1" x14ac:dyDescent="0.15">
      <c r="C149" s="257" t="s">
        <v>510</v>
      </c>
      <c r="E149" s="330">
        <f t="shared" si="31"/>
        <v>0</v>
      </c>
      <c r="F149" s="330">
        <f t="shared" si="31"/>
        <v>0</v>
      </c>
      <c r="G149" s="330">
        <f t="shared" si="31"/>
        <v>0</v>
      </c>
      <c r="H149" s="330">
        <f t="shared" si="31"/>
        <v>0</v>
      </c>
      <c r="I149" s="330">
        <f t="shared" si="31"/>
        <v>0</v>
      </c>
      <c r="J149" s="330">
        <f t="shared" si="31"/>
        <v>0</v>
      </c>
      <c r="K149" s="330">
        <f t="shared" si="31"/>
        <v>9.5262111582247261E-2</v>
      </c>
      <c r="L149" s="330">
        <f t="shared" si="31"/>
        <v>0</v>
      </c>
      <c r="M149" s="330">
        <f t="shared" si="31"/>
        <v>0</v>
      </c>
      <c r="N149" s="330">
        <f t="shared" si="31"/>
        <v>0</v>
      </c>
      <c r="O149" s="330">
        <f t="shared" si="31"/>
        <v>0</v>
      </c>
      <c r="P149" s="330">
        <f t="shared" si="31"/>
        <v>0</v>
      </c>
      <c r="Q149" s="330">
        <f t="shared" si="31"/>
        <v>0</v>
      </c>
      <c r="R149" s="330">
        <f t="shared" si="31"/>
        <v>0</v>
      </c>
      <c r="S149" s="330">
        <f t="shared" si="31"/>
        <v>0</v>
      </c>
      <c r="T149" s="330">
        <f t="shared" si="31"/>
        <v>0</v>
      </c>
      <c r="U149" s="330">
        <f t="shared" si="31"/>
        <v>0</v>
      </c>
      <c r="V149" s="330">
        <f t="shared" si="31"/>
        <v>0</v>
      </c>
      <c r="W149" s="330">
        <f t="shared" si="31"/>
        <v>0</v>
      </c>
      <c r="X149" s="330">
        <f t="shared" si="31"/>
        <v>0</v>
      </c>
      <c r="Y149" s="330">
        <f t="shared" si="31"/>
        <v>0</v>
      </c>
      <c r="Z149" s="330">
        <f t="shared" si="31"/>
        <v>0</v>
      </c>
      <c r="AA149" s="330">
        <f t="shared" si="31"/>
        <v>0</v>
      </c>
      <c r="AB149" s="330">
        <f t="shared" si="31"/>
        <v>0</v>
      </c>
      <c r="AC149" s="330">
        <f t="shared" si="31"/>
        <v>0</v>
      </c>
      <c r="AD149" s="330">
        <f t="shared" si="31"/>
        <v>0</v>
      </c>
      <c r="AE149" s="330">
        <f t="shared" si="31"/>
        <v>0</v>
      </c>
      <c r="AF149" s="330">
        <f t="shared" si="31"/>
        <v>0</v>
      </c>
      <c r="AG149" s="330">
        <f t="shared" si="31"/>
        <v>0</v>
      </c>
      <c r="AH149" s="330">
        <f t="shared" si="31"/>
        <v>0</v>
      </c>
      <c r="AI149" s="330">
        <f t="shared" si="31"/>
        <v>0</v>
      </c>
      <c r="AJ149" s="330">
        <f t="shared" si="31"/>
        <v>0</v>
      </c>
      <c r="AK149" s="330">
        <f t="shared" si="30"/>
        <v>0</v>
      </c>
      <c r="AL149" s="330">
        <f t="shared" si="30"/>
        <v>0</v>
      </c>
      <c r="AM149" s="330">
        <f t="shared" si="30"/>
        <v>0</v>
      </c>
      <c r="AN149" s="330">
        <f t="shared" si="30"/>
        <v>0</v>
      </c>
      <c r="AO149" s="330">
        <f t="shared" si="30"/>
        <v>0</v>
      </c>
      <c r="AP149" s="330">
        <f t="shared" si="30"/>
        <v>0</v>
      </c>
      <c r="AQ149" s="330">
        <f t="shared" si="30"/>
        <v>0</v>
      </c>
      <c r="AR149" s="330">
        <f t="shared" si="30"/>
        <v>0</v>
      </c>
      <c r="AS149" s="330">
        <f t="shared" si="30"/>
        <v>0</v>
      </c>
      <c r="AT149" s="330">
        <f t="shared" si="30"/>
        <v>0</v>
      </c>
      <c r="AU149" s="330">
        <f t="shared" si="30"/>
        <v>0</v>
      </c>
      <c r="AV149" s="330">
        <f t="shared" si="30"/>
        <v>0</v>
      </c>
      <c r="AW149" s="330">
        <f t="shared" si="30"/>
        <v>0</v>
      </c>
      <c r="AX149" s="330">
        <f t="shared" si="30"/>
        <v>0</v>
      </c>
      <c r="AY149" s="330">
        <f t="shared" si="30"/>
        <v>0</v>
      </c>
      <c r="AZ149" s="330">
        <f t="shared" si="30"/>
        <v>0</v>
      </c>
      <c r="BA149" s="330">
        <f t="shared" si="30"/>
        <v>0</v>
      </c>
      <c r="BB149" s="330">
        <f t="shared" si="30"/>
        <v>0</v>
      </c>
      <c r="BC149" s="330">
        <f t="shared" si="30"/>
        <v>0</v>
      </c>
      <c r="BD149" s="330">
        <f t="shared" si="30"/>
        <v>0</v>
      </c>
      <c r="BE149" s="330">
        <f t="shared" si="30"/>
        <v>0</v>
      </c>
      <c r="BF149" s="330">
        <f t="shared" si="30"/>
        <v>0</v>
      </c>
      <c r="BG149" s="330">
        <f t="shared" si="30"/>
        <v>0</v>
      </c>
      <c r="BH149" s="330">
        <f t="shared" si="30"/>
        <v>0</v>
      </c>
      <c r="BI149" s="330">
        <f t="shared" si="30"/>
        <v>0</v>
      </c>
      <c r="BJ149" s="330">
        <f t="shared" si="30"/>
        <v>0</v>
      </c>
      <c r="BK149" s="330">
        <f t="shared" si="30"/>
        <v>0</v>
      </c>
      <c r="BL149" s="330">
        <f t="shared" si="30"/>
        <v>0</v>
      </c>
    </row>
    <row r="150" spans="2:64" s="337" customFormat="1" x14ac:dyDescent="0.15">
      <c r="C150" s="257" t="s">
        <v>511</v>
      </c>
      <c r="E150" s="330">
        <f t="shared" si="31"/>
        <v>0</v>
      </c>
      <c r="F150" s="330">
        <f t="shared" si="31"/>
        <v>0</v>
      </c>
      <c r="G150" s="330">
        <f t="shared" si="31"/>
        <v>0</v>
      </c>
      <c r="H150" s="330">
        <f t="shared" si="31"/>
        <v>0</v>
      </c>
      <c r="I150" s="330">
        <f t="shared" si="31"/>
        <v>0</v>
      </c>
      <c r="J150" s="330">
        <f t="shared" si="31"/>
        <v>0</v>
      </c>
      <c r="K150" s="330">
        <f t="shared" si="31"/>
        <v>0</v>
      </c>
      <c r="L150" s="330">
        <f t="shared" si="31"/>
        <v>0</v>
      </c>
      <c r="M150" s="330">
        <f t="shared" si="31"/>
        <v>0</v>
      </c>
      <c r="N150" s="330">
        <f t="shared" si="31"/>
        <v>0</v>
      </c>
      <c r="O150" s="330">
        <f t="shared" si="31"/>
        <v>0</v>
      </c>
      <c r="P150" s="330">
        <f t="shared" si="31"/>
        <v>0</v>
      </c>
      <c r="Q150" s="330">
        <f t="shared" si="31"/>
        <v>0</v>
      </c>
      <c r="R150" s="330">
        <f t="shared" si="31"/>
        <v>0</v>
      </c>
      <c r="S150" s="330">
        <f t="shared" si="31"/>
        <v>0</v>
      </c>
      <c r="T150" s="330">
        <f t="shared" si="31"/>
        <v>0</v>
      </c>
      <c r="U150" s="330">
        <f t="shared" si="31"/>
        <v>0</v>
      </c>
      <c r="V150" s="330">
        <f t="shared" si="31"/>
        <v>0</v>
      </c>
      <c r="W150" s="330">
        <f t="shared" si="31"/>
        <v>0</v>
      </c>
      <c r="X150" s="330">
        <f t="shared" si="31"/>
        <v>0</v>
      </c>
      <c r="Y150" s="330">
        <f t="shared" si="31"/>
        <v>0</v>
      </c>
      <c r="Z150" s="330">
        <f t="shared" si="31"/>
        <v>0</v>
      </c>
      <c r="AA150" s="330">
        <f t="shared" si="31"/>
        <v>0</v>
      </c>
      <c r="AB150" s="330">
        <f t="shared" si="31"/>
        <v>0</v>
      </c>
      <c r="AC150" s="330">
        <f t="shared" si="31"/>
        <v>0</v>
      </c>
      <c r="AD150" s="330">
        <f t="shared" si="31"/>
        <v>0</v>
      </c>
      <c r="AE150" s="330">
        <f t="shared" si="31"/>
        <v>0</v>
      </c>
      <c r="AF150" s="330">
        <f t="shared" si="31"/>
        <v>0</v>
      </c>
      <c r="AG150" s="330">
        <f t="shared" si="31"/>
        <v>0</v>
      </c>
      <c r="AH150" s="330">
        <f t="shared" si="31"/>
        <v>0</v>
      </c>
      <c r="AI150" s="330">
        <f t="shared" si="31"/>
        <v>0</v>
      </c>
      <c r="AJ150" s="330">
        <f t="shared" si="31"/>
        <v>0</v>
      </c>
      <c r="AK150" s="330">
        <f t="shared" si="30"/>
        <v>0</v>
      </c>
      <c r="AL150" s="330">
        <f t="shared" si="30"/>
        <v>0</v>
      </c>
      <c r="AM150" s="330">
        <f t="shared" si="30"/>
        <v>0</v>
      </c>
      <c r="AN150" s="330">
        <f t="shared" si="30"/>
        <v>0</v>
      </c>
      <c r="AO150" s="330">
        <f t="shared" si="30"/>
        <v>0</v>
      </c>
      <c r="AP150" s="330">
        <f t="shared" si="30"/>
        <v>0</v>
      </c>
      <c r="AQ150" s="330">
        <f t="shared" si="30"/>
        <v>0</v>
      </c>
      <c r="AR150" s="330">
        <f t="shared" si="30"/>
        <v>0</v>
      </c>
      <c r="AS150" s="330">
        <f t="shared" si="30"/>
        <v>0</v>
      </c>
      <c r="AT150" s="330">
        <f t="shared" si="30"/>
        <v>0</v>
      </c>
      <c r="AU150" s="330">
        <f t="shared" si="30"/>
        <v>0</v>
      </c>
      <c r="AV150" s="330">
        <f t="shared" si="30"/>
        <v>0</v>
      </c>
      <c r="AW150" s="330">
        <f t="shared" si="30"/>
        <v>0</v>
      </c>
      <c r="AX150" s="330">
        <f t="shared" si="30"/>
        <v>0</v>
      </c>
      <c r="AY150" s="330">
        <f t="shared" si="30"/>
        <v>0</v>
      </c>
      <c r="AZ150" s="330">
        <f t="shared" si="30"/>
        <v>0</v>
      </c>
      <c r="BA150" s="330">
        <f t="shared" si="30"/>
        <v>0</v>
      </c>
      <c r="BB150" s="330">
        <f t="shared" si="30"/>
        <v>0</v>
      </c>
      <c r="BC150" s="330">
        <f t="shared" si="30"/>
        <v>0</v>
      </c>
      <c r="BD150" s="330">
        <f t="shared" si="30"/>
        <v>0</v>
      </c>
      <c r="BE150" s="330">
        <f t="shared" si="30"/>
        <v>0</v>
      </c>
      <c r="BF150" s="330">
        <f t="shared" si="30"/>
        <v>0</v>
      </c>
      <c r="BG150" s="330">
        <f t="shared" si="30"/>
        <v>0</v>
      </c>
      <c r="BH150" s="330">
        <f t="shared" si="30"/>
        <v>0</v>
      </c>
      <c r="BI150" s="330">
        <f t="shared" si="30"/>
        <v>0</v>
      </c>
      <c r="BJ150" s="330">
        <f t="shared" si="30"/>
        <v>0</v>
      </c>
      <c r="BK150" s="330">
        <f t="shared" si="30"/>
        <v>0</v>
      </c>
      <c r="BL150" s="330">
        <f t="shared" si="30"/>
        <v>0</v>
      </c>
    </row>
    <row r="151" spans="2:64" s="337" customFormat="1" x14ac:dyDescent="0.15">
      <c r="C151" s="257" t="s">
        <v>512</v>
      </c>
      <c r="E151" s="330">
        <f t="shared" si="31"/>
        <v>0</v>
      </c>
      <c r="F151" s="330">
        <f t="shared" si="31"/>
        <v>0</v>
      </c>
      <c r="G151" s="330">
        <f t="shared" si="31"/>
        <v>0</v>
      </c>
      <c r="H151" s="330">
        <f t="shared" si="31"/>
        <v>0</v>
      </c>
      <c r="I151" s="330">
        <f t="shared" si="31"/>
        <v>0</v>
      </c>
      <c r="J151" s="330">
        <f t="shared" si="31"/>
        <v>0</v>
      </c>
      <c r="K151" s="330">
        <f t="shared" si="31"/>
        <v>0</v>
      </c>
      <c r="L151" s="330">
        <f t="shared" si="31"/>
        <v>0</v>
      </c>
      <c r="M151" s="330">
        <f t="shared" si="31"/>
        <v>0</v>
      </c>
      <c r="N151" s="330">
        <f t="shared" si="31"/>
        <v>0</v>
      </c>
      <c r="O151" s="330">
        <f t="shared" si="31"/>
        <v>0</v>
      </c>
      <c r="P151" s="330">
        <f t="shared" si="31"/>
        <v>0</v>
      </c>
      <c r="Q151" s="330">
        <f t="shared" si="31"/>
        <v>0</v>
      </c>
      <c r="R151" s="330">
        <f t="shared" si="31"/>
        <v>0</v>
      </c>
      <c r="S151" s="330">
        <f t="shared" si="31"/>
        <v>0</v>
      </c>
      <c r="T151" s="330">
        <f t="shared" si="31"/>
        <v>0</v>
      </c>
      <c r="U151" s="330">
        <f t="shared" si="31"/>
        <v>0</v>
      </c>
      <c r="V151" s="330">
        <f t="shared" si="31"/>
        <v>0</v>
      </c>
      <c r="W151" s="330">
        <f t="shared" si="31"/>
        <v>0</v>
      </c>
      <c r="X151" s="330">
        <f t="shared" si="31"/>
        <v>0</v>
      </c>
      <c r="Y151" s="330">
        <f t="shared" si="31"/>
        <v>0</v>
      </c>
      <c r="Z151" s="330">
        <f t="shared" si="31"/>
        <v>0</v>
      </c>
      <c r="AA151" s="330">
        <f t="shared" si="31"/>
        <v>0</v>
      </c>
      <c r="AB151" s="330">
        <f t="shared" si="31"/>
        <v>0</v>
      </c>
      <c r="AC151" s="330">
        <f t="shared" si="31"/>
        <v>0</v>
      </c>
      <c r="AD151" s="330">
        <f t="shared" si="31"/>
        <v>0</v>
      </c>
      <c r="AE151" s="330">
        <f t="shared" si="31"/>
        <v>0</v>
      </c>
      <c r="AF151" s="330">
        <f t="shared" si="31"/>
        <v>0</v>
      </c>
      <c r="AG151" s="330">
        <f t="shared" si="31"/>
        <v>0</v>
      </c>
      <c r="AH151" s="330">
        <f t="shared" si="31"/>
        <v>0</v>
      </c>
      <c r="AI151" s="330">
        <f t="shared" si="31"/>
        <v>0</v>
      </c>
      <c r="AJ151" s="330">
        <f t="shared" si="31"/>
        <v>0</v>
      </c>
      <c r="AK151" s="330">
        <f t="shared" si="30"/>
        <v>0</v>
      </c>
      <c r="AL151" s="330">
        <f t="shared" si="30"/>
        <v>0</v>
      </c>
      <c r="AM151" s="330">
        <f t="shared" si="30"/>
        <v>0</v>
      </c>
      <c r="AN151" s="330">
        <f t="shared" si="30"/>
        <v>0</v>
      </c>
      <c r="AO151" s="330">
        <f t="shared" si="30"/>
        <v>0</v>
      </c>
      <c r="AP151" s="330">
        <f t="shared" si="30"/>
        <v>0</v>
      </c>
      <c r="AQ151" s="330">
        <f t="shared" si="30"/>
        <v>0</v>
      </c>
      <c r="AR151" s="330">
        <f t="shared" si="30"/>
        <v>0</v>
      </c>
      <c r="AS151" s="330">
        <f t="shared" si="30"/>
        <v>0</v>
      </c>
      <c r="AT151" s="330">
        <f t="shared" si="30"/>
        <v>0</v>
      </c>
      <c r="AU151" s="330">
        <f t="shared" si="30"/>
        <v>0</v>
      </c>
      <c r="AV151" s="330">
        <f t="shared" si="30"/>
        <v>0</v>
      </c>
      <c r="AW151" s="330">
        <f t="shared" si="30"/>
        <v>0</v>
      </c>
      <c r="AX151" s="330">
        <f t="shared" si="30"/>
        <v>0</v>
      </c>
      <c r="AY151" s="330">
        <f t="shared" si="30"/>
        <v>0</v>
      </c>
      <c r="AZ151" s="330">
        <f t="shared" si="30"/>
        <v>0</v>
      </c>
      <c r="BA151" s="330">
        <f t="shared" si="30"/>
        <v>0</v>
      </c>
      <c r="BB151" s="330">
        <f t="shared" si="30"/>
        <v>0</v>
      </c>
      <c r="BC151" s="330">
        <f t="shared" si="30"/>
        <v>0</v>
      </c>
      <c r="BD151" s="330">
        <f t="shared" si="30"/>
        <v>0</v>
      </c>
      <c r="BE151" s="330">
        <f t="shared" si="30"/>
        <v>0</v>
      </c>
      <c r="BF151" s="330">
        <f t="shared" si="30"/>
        <v>0</v>
      </c>
      <c r="BG151" s="330">
        <f t="shared" si="30"/>
        <v>0</v>
      </c>
      <c r="BH151" s="330">
        <f t="shared" si="30"/>
        <v>0</v>
      </c>
      <c r="BI151" s="330">
        <f t="shared" si="30"/>
        <v>0</v>
      </c>
      <c r="BJ151" s="330">
        <f t="shared" si="30"/>
        <v>0</v>
      </c>
      <c r="BK151" s="330">
        <f t="shared" si="30"/>
        <v>0</v>
      </c>
      <c r="BL151" s="330">
        <f t="shared" si="30"/>
        <v>0</v>
      </c>
    </row>
    <row r="152" spans="2:64" x14ac:dyDescent="0.15">
      <c r="C152" s="257" t="s">
        <v>359</v>
      </c>
      <c r="E152" s="330">
        <f t="shared" si="31"/>
        <v>0</v>
      </c>
      <c r="F152" s="330">
        <f t="shared" si="31"/>
        <v>0</v>
      </c>
      <c r="G152" s="330">
        <f t="shared" si="31"/>
        <v>0</v>
      </c>
      <c r="H152" s="330">
        <f t="shared" si="31"/>
        <v>0</v>
      </c>
      <c r="I152" s="330">
        <f t="shared" si="31"/>
        <v>0</v>
      </c>
      <c r="J152" s="330">
        <f t="shared" si="31"/>
        <v>0</v>
      </c>
      <c r="K152" s="330">
        <f t="shared" si="31"/>
        <v>0</v>
      </c>
      <c r="L152" s="330">
        <f t="shared" si="31"/>
        <v>0</v>
      </c>
      <c r="M152" s="330">
        <f t="shared" si="31"/>
        <v>0</v>
      </c>
      <c r="N152" s="330">
        <f t="shared" si="31"/>
        <v>0</v>
      </c>
      <c r="O152" s="330">
        <f t="shared" si="31"/>
        <v>0</v>
      </c>
      <c r="P152" s="330">
        <f t="shared" si="31"/>
        <v>0</v>
      </c>
      <c r="Q152" s="330">
        <f t="shared" si="31"/>
        <v>0</v>
      </c>
      <c r="R152" s="330">
        <f t="shared" si="31"/>
        <v>0</v>
      </c>
      <c r="S152" s="330">
        <f t="shared" si="31"/>
        <v>0</v>
      </c>
      <c r="T152" s="330">
        <f t="shared" si="31"/>
        <v>0</v>
      </c>
      <c r="U152" s="330">
        <f t="shared" si="31"/>
        <v>0</v>
      </c>
      <c r="V152" s="330">
        <f t="shared" si="31"/>
        <v>0</v>
      </c>
      <c r="W152" s="330">
        <f t="shared" si="31"/>
        <v>0</v>
      </c>
      <c r="X152" s="330">
        <f t="shared" si="31"/>
        <v>0</v>
      </c>
      <c r="Y152" s="330">
        <f t="shared" si="31"/>
        <v>0</v>
      </c>
      <c r="Z152" s="330">
        <f t="shared" si="31"/>
        <v>0</v>
      </c>
      <c r="AA152" s="330">
        <f t="shared" si="31"/>
        <v>0</v>
      </c>
      <c r="AB152" s="330">
        <f t="shared" si="31"/>
        <v>0</v>
      </c>
      <c r="AC152" s="330">
        <f t="shared" si="31"/>
        <v>0</v>
      </c>
      <c r="AD152" s="330">
        <f t="shared" si="31"/>
        <v>0</v>
      </c>
      <c r="AE152" s="330">
        <f t="shared" si="31"/>
        <v>0</v>
      </c>
      <c r="AF152" s="330">
        <f t="shared" si="31"/>
        <v>0</v>
      </c>
      <c r="AG152" s="330">
        <f t="shared" si="31"/>
        <v>0</v>
      </c>
      <c r="AH152" s="330">
        <f t="shared" si="31"/>
        <v>0</v>
      </c>
      <c r="AI152" s="330">
        <f t="shared" si="31"/>
        <v>0</v>
      </c>
      <c r="AJ152" s="330">
        <f t="shared" si="31"/>
        <v>0</v>
      </c>
      <c r="AK152" s="330">
        <f t="shared" si="30"/>
        <v>0</v>
      </c>
      <c r="AL152" s="330">
        <f t="shared" si="30"/>
        <v>0</v>
      </c>
      <c r="AM152" s="330">
        <f t="shared" si="30"/>
        <v>0</v>
      </c>
      <c r="AN152" s="330">
        <f t="shared" si="30"/>
        <v>0</v>
      </c>
      <c r="AO152" s="330">
        <f t="shared" si="30"/>
        <v>0</v>
      </c>
      <c r="AP152" s="330">
        <f t="shared" si="30"/>
        <v>0</v>
      </c>
      <c r="AQ152" s="330">
        <f t="shared" si="30"/>
        <v>0</v>
      </c>
      <c r="AR152" s="330">
        <f t="shared" si="30"/>
        <v>0</v>
      </c>
      <c r="AS152" s="330">
        <f t="shared" si="30"/>
        <v>0</v>
      </c>
      <c r="AT152" s="330">
        <f t="shared" si="30"/>
        <v>0</v>
      </c>
      <c r="AU152" s="330">
        <f t="shared" si="30"/>
        <v>0</v>
      </c>
      <c r="AV152" s="330">
        <f t="shared" si="30"/>
        <v>0</v>
      </c>
      <c r="AW152" s="330">
        <f t="shared" si="30"/>
        <v>0</v>
      </c>
      <c r="AX152" s="330">
        <f t="shared" si="30"/>
        <v>0</v>
      </c>
      <c r="AY152" s="330">
        <f t="shared" si="30"/>
        <v>0</v>
      </c>
      <c r="AZ152" s="330">
        <f t="shared" si="30"/>
        <v>0</v>
      </c>
      <c r="BA152" s="330">
        <f t="shared" si="30"/>
        <v>0</v>
      </c>
      <c r="BB152" s="330">
        <f t="shared" si="30"/>
        <v>0</v>
      </c>
      <c r="BC152" s="330">
        <f t="shared" si="30"/>
        <v>0</v>
      </c>
      <c r="BD152" s="330">
        <f t="shared" si="30"/>
        <v>0</v>
      </c>
      <c r="BE152" s="330">
        <f t="shared" si="30"/>
        <v>0</v>
      </c>
      <c r="BF152" s="330">
        <f t="shared" si="30"/>
        <v>0</v>
      </c>
      <c r="BG152" s="330">
        <f t="shared" si="30"/>
        <v>0</v>
      </c>
      <c r="BH152" s="330">
        <f t="shared" si="30"/>
        <v>0</v>
      </c>
      <c r="BI152" s="330">
        <f t="shared" si="30"/>
        <v>0</v>
      </c>
      <c r="BJ152" s="330">
        <f t="shared" si="30"/>
        <v>0</v>
      </c>
      <c r="BK152" s="330">
        <f t="shared" si="30"/>
        <v>0</v>
      </c>
      <c r="BL152" s="330">
        <f t="shared" si="30"/>
        <v>0</v>
      </c>
    </row>
    <row r="153" spans="2:64" x14ac:dyDescent="0.15">
      <c r="C153" s="257" t="s">
        <v>361</v>
      </c>
      <c r="E153" s="330">
        <f t="shared" si="31"/>
        <v>0</v>
      </c>
      <c r="F153" s="330">
        <f t="shared" si="31"/>
        <v>0</v>
      </c>
      <c r="G153" s="330">
        <f t="shared" si="31"/>
        <v>0</v>
      </c>
      <c r="H153" s="330">
        <f t="shared" si="31"/>
        <v>0</v>
      </c>
      <c r="I153" s="330">
        <f t="shared" si="31"/>
        <v>0</v>
      </c>
      <c r="J153" s="330">
        <f t="shared" si="31"/>
        <v>0</v>
      </c>
      <c r="K153" s="330">
        <f t="shared" si="31"/>
        <v>0</v>
      </c>
      <c r="L153" s="330">
        <f t="shared" si="31"/>
        <v>0</v>
      </c>
      <c r="M153" s="330">
        <f t="shared" si="31"/>
        <v>0</v>
      </c>
      <c r="N153" s="330">
        <f t="shared" si="31"/>
        <v>0</v>
      </c>
      <c r="O153" s="330">
        <f t="shared" si="31"/>
        <v>0</v>
      </c>
      <c r="P153" s="330">
        <f t="shared" si="31"/>
        <v>0</v>
      </c>
      <c r="Q153" s="330">
        <f t="shared" si="31"/>
        <v>0</v>
      </c>
      <c r="R153" s="330">
        <f t="shared" si="31"/>
        <v>0</v>
      </c>
      <c r="S153" s="330">
        <f t="shared" si="31"/>
        <v>0</v>
      </c>
      <c r="T153" s="330">
        <f t="shared" si="31"/>
        <v>0</v>
      </c>
      <c r="U153" s="330">
        <f t="shared" si="31"/>
        <v>0</v>
      </c>
      <c r="V153" s="330">
        <f t="shared" si="31"/>
        <v>0</v>
      </c>
      <c r="W153" s="330">
        <f t="shared" si="31"/>
        <v>0</v>
      </c>
      <c r="X153" s="330">
        <f t="shared" si="31"/>
        <v>0</v>
      </c>
      <c r="Y153" s="330">
        <f t="shared" si="31"/>
        <v>0</v>
      </c>
      <c r="Z153" s="330">
        <f t="shared" si="31"/>
        <v>0</v>
      </c>
      <c r="AA153" s="330">
        <f t="shared" si="31"/>
        <v>0</v>
      </c>
      <c r="AB153" s="330">
        <f t="shared" si="31"/>
        <v>0</v>
      </c>
      <c r="AC153" s="330">
        <f t="shared" si="31"/>
        <v>0</v>
      </c>
      <c r="AD153" s="330">
        <f t="shared" si="31"/>
        <v>0</v>
      </c>
      <c r="AE153" s="330">
        <f t="shared" si="31"/>
        <v>0</v>
      </c>
      <c r="AF153" s="330">
        <f t="shared" si="31"/>
        <v>0</v>
      </c>
      <c r="AG153" s="330">
        <f t="shared" si="31"/>
        <v>0</v>
      </c>
      <c r="AH153" s="330">
        <f t="shared" si="31"/>
        <v>0</v>
      </c>
      <c r="AI153" s="330">
        <f t="shared" si="31"/>
        <v>0</v>
      </c>
      <c r="AJ153" s="330">
        <f t="shared" si="31"/>
        <v>0</v>
      </c>
      <c r="AK153" s="330">
        <f t="shared" si="30"/>
        <v>0</v>
      </c>
      <c r="AL153" s="330">
        <f t="shared" si="30"/>
        <v>0</v>
      </c>
      <c r="AM153" s="330">
        <f t="shared" si="30"/>
        <v>0</v>
      </c>
      <c r="AN153" s="330">
        <f t="shared" si="30"/>
        <v>0</v>
      </c>
      <c r="AO153" s="330">
        <f t="shared" si="30"/>
        <v>0</v>
      </c>
      <c r="AP153" s="330">
        <f t="shared" si="30"/>
        <v>0</v>
      </c>
      <c r="AQ153" s="330">
        <f t="shared" si="30"/>
        <v>0</v>
      </c>
      <c r="AR153" s="330">
        <f t="shared" si="30"/>
        <v>0</v>
      </c>
      <c r="AS153" s="330">
        <f t="shared" si="30"/>
        <v>0</v>
      </c>
      <c r="AT153" s="330">
        <f t="shared" si="30"/>
        <v>0</v>
      </c>
      <c r="AU153" s="330">
        <f t="shared" si="30"/>
        <v>0</v>
      </c>
      <c r="AV153" s="330">
        <f t="shared" si="30"/>
        <v>0</v>
      </c>
      <c r="AW153" s="330">
        <f t="shared" si="30"/>
        <v>0</v>
      </c>
      <c r="AX153" s="330">
        <f t="shared" si="30"/>
        <v>0</v>
      </c>
      <c r="AY153" s="330">
        <f t="shared" si="30"/>
        <v>0</v>
      </c>
      <c r="AZ153" s="330">
        <f t="shared" si="30"/>
        <v>0</v>
      </c>
      <c r="BA153" s="330">
        <f t="shared" si="30"/>
        <v>0</v>
      </c>
      <c r="BB153" s="330">
        <f t="shared" si="30"/>
        <v>0</v>
      </c>
      <c r="BC153" s="330">
        <f t="shared" si="30"/>
        <v>0</v>
      </c>
      <c r="BD153" s="330">
        <f t="shared" si="30"/>
        <v>0</v>
      </c>
      <c r="BE153" s="330">
        <f t="shared" si="30"/>
        <v>0</v>
      </c>
      <c r="BF153" s="330">
        <f t="shared" si="30"/>
        <v>0</v>
      </c>
      <c r="BG153" s="330">
        <f t="shared" si="30"/>
        <v>0</v>
      </c>
      <c r="BH153" s="330">
        <f t="shared" si="30"/>
        <v>0</v>
      </c>
      <c r="BI153" s="330">
        <f t="shared" si="30"/>
        <v>0</v>
      </c>
      <c r="BJ153" s="330">
        <f t="shared" si="30"/>
        <v>0</v>
      </c>
      <c r="BK153" s="330">
        <f t="shared" si="30"/>
        <v>0</v>
      </c>
      <c r="BL153" s="330">
        <f t="shared" si="30"/>
        <v>0</v>
      </c>
    </row>
    <row r="154" spans="2:64" x14ac:dyDescent="0.15">
      <c r="C154" s="257" t="s">
        <v>362</v>
      </c>
      <c r="E154" s="330">
        <f t="shared" si="31"/>
        <v>0</v>
      </c>
      <c r="F154" s="330">
        <f t="shared" si="31"/>
        <v>0</v>
      </c>
      <c r="G154" s="330">
        <f t="shared" si="31"/>
        <v>0</v>
      </c>
      <c r="H154" s="330">
        <f t="shared" si="31"/>
        <v>0</v>
      </c>
      <c r="I154" s="330">
        <f t="shared" si="31"/>
        <v>0</v>
      </c>
      <c r="J154" s="330">
        <f t="shared" si="31"/>
        <v>0</v>
      </c>
      <c r="K154" s="330">
        <f t="shared" si="31"/>
        <v>0</v>
      </c>
      <c r="L154" s="330">
        <f t="shared" si="31"/>
        <v>0</v>
      </c>
      <c r="M154" s="330">
        <f t="shared" si="31"/>
        <v>0</v>
      </c>
      <c r="N154" s="330">
        <f t="shared" si="31"/>
        <v>0</v>
      </c>
      <c r="O154" s="330">
        <f t="shared" si="31"/>
        <v>0</v>
      </c>
      <c r="P154" s="330">
        <f t="shared" si="31"/>
        <v>0</v>
      </c>
      <c r="Q154" s="330">
        <f t="shared" si="31"/>
        <v>0</v>
      </c>
      <c r="R154" s="330">
        <f t="shared" si="31"/>
        <v>0</v>
      </c>
      <c r="S154" s="330">
        <f t="shared" si="31"/>
        <v>0</v>
      </c>
      <c r="T154" s="330">
        <f t="shared" si="31"/>
        <v>0</v>
      </c>
      <c r="U154" s="330">
        <f t="shared" si="31"/>
        <v>0</v>
      </c>
      <c r="V154" s="330">
        <f t="shared" si="31"/>
        <v>0</v>
      </c>
      <c r="W154" s="330">
        <f t="shared" si="31"/>
        <v>0</v>
      </c>
      <c r="X154" s="330">
        <f t="shared" si="31"/>
        <v>0</v>
      </c>
      <c r="Y154" s="330">
        <f t="shared" si="31"/>
        <v>0</v>
      </c>
      <c r="Z154" s="330">
        <f t="shared" si="31"/>
        <v>0</v>
      </c>
      <c r="AA154" s="330">
        <f t="shared" si="31"/>
        <v>0</v>
      </c>
      <c r="AB154" s="330">
        <f t="shared" si="31"/>
        <v>0</v>
      </c>
      <c r="AC154" s="330">
        <f t="shared" si="31"/>
        <v>0</v>
      </c>
      <c r="AD154" s="330">
        <f t="shared" si="31"/>
        <v>0</v>
      </c>
      <c r="AE154" s="330">
        <f t="shared" si="31"/>
        <v>0</v>
      </c>
      <c r="AF154" s="330">
        <f t="shared" si="31"/>
        <v>0</v>
      </c>
      <c r="AG154" s="330">
        <f t="shared" si="31"/>
        <v>0</v>
      </c>
      <c r="AH154" s="330">
        <f t="shared" si="31"/>
        <v>0</v>
      </c>
      <c r="AI154" s="330">
        <f t="shared" si="31"/>
        <v>0</v>
      </c>
      <c r="AJ154" s="330">
        <f>IF(AJ$5&gt;$D$7,0,AJ37*$F116)</f>
        <v>0</v>
      </c>
      <c r="AK154" s="330">
        <f t="shared" si="30"/>
        <v>0</v>
      </c>
      <c r="AL154" s="330">
        <f t="shared" si="30"/>
        <v>0</v>
      </c>
      <c r="AM154" s="330">
        <f t="shared" si="30"/>
        <v>0</v>
      </c>
      <c r="AN154" s="330">
        <f t="shared" si="30"/>
        <v>0</v>
      </c>
      <c r="AO154" s="330">
        <f t="shared" si="30"/>
        <v>0</v>
      </c>
      <c r="AP154" s="330">
        <f t="shared" si="30"/>
        <v>0</v>
      </c>
      <c r="AQ154" s="330">
        <f t="shared" si="30"/>
        <v>0</v>
      </c>
      <c r="AR154" s="330">
        <f t="shared" si="30"/>
        <v>0</v>
      </c>
      <c r="AS154" s="330">
        <f t="shared" si="30"/>
        <v>0</v>
      </c>
      <c r="AT154" s="330">
        <f t="shared" si="30"/>
        <v>0</v>
      </c>
      <c r="AU154" s="330">
        <f t="shared" si="30"/>
        <v>0</v>
      </c>
      <c r="AV154" s="330">
        <f t="shared" si="30"/>
        <v>0</v>
      </c>
      <c r="AW154" s="330">
        <f t="shared" si="30"/>
        <v>0</v>
      </c>
      <c r="AX154" s="330">
        <f t="shared" si="30"/>
        <v>0</v>
      </c>
      <c r="AY154" s="330">
        <f t="shared" ref="AY154:BL154" si="32">IF(AY$5&gt;$D$7,0,AY37*$F116)</f>
        <v>0</v>
      </c>
      <c r="AZ154" s="330">
        <f t="shared" si="32"/>
        <v>0</v>
      </c>
      <c r="BA154" s="330">
        <f t="shared" si="32"/>
        <v>0</v>
      </c>
      <c r="BB154" s="330">
        <f t="shared" si="32"/>
        <v>0</v>
      </c>
      <c r="BC154" s="330">
        <f t="shared" si="32"/>
        <v>0</v>
      </c>
      <c r="BD154" s="330">
        <f t="shared" si="32"/>
        <v>0</v>
      </c>
      <c r="BE154" s="330">
        <f t="shared" si="32"/>
        <v>0</v>
      </c>
      <c r="BF154" s="330">
        <f t="shared" si="32"/>
        <v>0</v>
      </c>
      <c r="BG154" s="330">
        <f t="shared" si="32"/>
        <v>0</v>
      </c>
      <c r="BH154" s="330">
        <f t="shared" si="32"/>
        <v>0</v>
      </c>
      <c r="BI154" s="330">
        <f t="shared" si="32"/>
        <v>0</v>
      </c>
      <c r="BJ154" s="330">
        <f t="shared" si="32"/>
        <v>0</v>
      </c>
      <c r="BK154" s="330">
        <f t="shared" si="32"/>
        <v>0</v>
      </c>
      <c r="BL154" s="330">
        <f t="shared" si="32"/>
        <v>0</v>
      </c>
    </row>
    <row r="155" spans="2:64" x14ac:dyDescent="0.15">
      <c r="C155" s="257" t="s">
        <v>363</v>
      </c>
      <c r="E155" s="330">
        <f t="shared" ref="E155:BL156" si="33">IF(E$5&gt;$D$7,0,E38*$F117)</f>
        <v>0</v>
      </c>
      <c r="F155" s="330">
        <f t="shared" si="33"/>
        <v>0</v>
      </c>
      <c r="G155" s="330">
        <f t="shared" si="33"/>
        <v>0</v>
      </c>
      <c r="H155" s="330">
        <f t="shared" si="33"/>
        <v>0</v>
      </c>
      <c r="I155" s="330">
        <f t="shared" si="33"/>
        <v>0</v>
      </c>
      <c r="J155" s="330">
        <f t="shared" si="33"/>
        <v>0</v>
      </c>
      <c r="K155" s="330">
        <f t="shared" si="33"/>
        <v>0</v>
      </c>
      <c r="L155" s="330">
        <f t="shared" si="33"/>
        <v>0</v>
      </c>
      <c r="M155" s="330">
        <f t="shared" si="33"/>
        <v>0</v>
      </c>
      <c r="N155" s="330">
        <f t="shared" si="33"/>
        <v>0</v>
      </c>
      <c r="O155" s="330">
        <f t="shared" si="33"/>
        <v>0</v>
      </c>
      <c r="P155" s="330">
        <f t="shared" si="33"/>
        <v>0</v>
      </c>
      <c r="Q155" s="330">
        <f t="shared" si="33"/>
        <v>0</v>
      </c>
      <c r="R155" s="330">
        <f t="shared" si="33"/>
        <v>0</v>
      </c>
      <c r="S155" s="330">
        <f t="shared" si="33"/>
        <v>0</v>
      </c>
      <c r="T155" s="330">
        <f t="shared" si="33"/>
        <v>0</v>
      </c>
      <c r="U155" s="330">
        <f t="shared" si="33"/>
        <v>0</v>
      </c>
      <c r="V155" s="330">
        <f t="shared" si="33"/>
        <v>0</v>
      </c>
      <c r="W155" s="330">
        <f t="shared" si="33"/>
        <v>0</v>
      </c>
      <c r="X155" s="330">
        <f t="shared" si="33"/>
        <v>0</v>
      </c>
      <c r="Y155" s="330">
        <f t="shared" si="33"/>
        <v>0</v>
      </c>
      <c r="Z155" s="330">
        <f t="shared" si="33"/>
        <v>0</v>
      </c>
      <c r="AA155" s="330">
        <f t="shared" si="33"/>
        <v>0</v>
      </c>
      <c r="AB155" s="330">
        <f t="shared" si="33"/>
        <v>0</v>
      </c>
      <c r="AC155" s="330">
        <f t="shared" si="33"/>
        <v>0</v>
      </c>
      <c r="AD155" s="330">
        <f t="shared" si="33"/>
        <v>0</v>
      </c>
      <c r="AE155" s="330">
        <f t="shared" si="33"/>
        <v>0</v>
      </c>
      <c r="AF155" s="330">
        <f t="shared" si="33"/>
        <v>0</v>
      </c>
      <c r="AG155" s="330">
        <f t="shared" si="33"/>
        <v>0</v>
      </c>
      <c r="AH155" s="330">
        <f t="shared" si="33"/>
        <v>0</v>
      </c>
      <c r="AI155" s="330">
        <f t="shared" si="33"/>
        <v>0</v>
      </c>
      <c r="AJ155" s="330">
        <f t="shared" si="33"/>
        <v>0</v>
      </c>
      <c r="AK155" s="330">
        <f t="shared" si="33"/>
        <v>0</v>
      </c>
      <c r="AL155" s="330">
        <f t="shared" si="33"/>
        <v>0</v>
      </c>
      <c r="AM155" s="330">
        <f t="shared" si="33"/>
        <v>0</v>
      </c>
      <c r="AN155" s="330">
        <f t="shared" si="33"/>
        <v>0</v>
      </c>
      <c r="AO155" s="330">
        <f t="shared" si="33"/>
        <v>0</v>
      </c>
      <c r="AP155" s="330">
        <f t="shared" si="33"/>
        <v>0</v>
      </c>
      <c r="AQ155" s="330">
        <f t="shared" si="33"/>
        <v>0</v>
      </c>
      <c r="AR155" s="330">
        <f t="shared" si="33"/>
        <v>0</v>
      </c>
      <c r="AS155" s="330">
        <f t="shared" si="33"/>
        <v>0</v>
      </c>
      <c r="AT155" s="330">
        <f t="shared" si="33"/>
        <v>0</v>
      </c>
      <c r="AU155" s="330">
        <f t="shared" si="33"/>
        <v>0</v>
      </c>
      <c r="AV155" s="330">
        <f t="shared" si="33"/>
        <v>0</v>
      </c>
      <c r="AW155" s="330">
        <f t="shared" si="33"/>
        <v>0</v>
      </c>
      <c r="AX155" s="330">
        <f t="shared" si="33"/>
        <v>0</v>
      </c>
      <c r="AY155" s="330">
        <f t="shared" si="33"/>
        <v>0</v>
      </c>
      <c r="AZ155" s="330">
        <f t="shared" si="33"/>
        <v>0</v>
      </c>
      <c r="BA155" s="330">
        <f t="shared" si="33"/>
        <v>0</v>
      </c>
      <c r="BB155" s="330">
        <f t="shared" si="33"/>
        <v>0</v>
      </c>
      <c r="BC155" s="330">
        <f t="shared" si="33"/>
        <v>0</v>
      </c>
      <c r="BD155" s="330">
        <f t="shared" si="33"/>
        <v>0</v>
      </c>
      <c r="BE155" s="330">
        <f t="shared" si="33"/>
        <v>0</v>
      </c>
      <c r="BF155" s="330">
        <f t="shared" si="33"/>
        <v>0</v>
      </c>
      <c r="BG155" s="330">
        <f t="shared" si="33"/>
        <v>0</v>
      </c>
      <c r="BH155" s="330">
        <f t="shared" si="33"/>
        <v>0</v>
      </c>
      <c r="BI155" s="330">
        <f t="shared" si="33"/>
        <v>0</v>
      </c>
      <c r="BJ155" s="330">
        <f t="shared" si="33"/>
        <v>0</v>
      </c>
      <c r="BK155" s="330">
        <f t="shared" si="33"/>
        <v>0</v>
      </c>
      <c r="BL155" s="330">
        <f t="shared" si="33"/>
        <v>0</v>
      </c>
    </row>
    <row r="156" spans="2:64" x14ac:dyDescent="0.15">
      <c r="C156" s="257" t="s">
        <v>515</v>
      </c>
      <c r="E156" s="330">
        <f t="shared" si="33"/>
        <v>0</v>
      </c>
      <c r="F156" s="330">
        <f t="shared" si="33"/>
        <v>0</v>
      </c>
      <c r="G156" s="330">
        <f t="shared" si="33"/>
        <v>0</v>
      </c>
      <c r="H156" s="330">
        <f t="shared" si="33"/>
        <v>0</v>
      </c>
      <c r="I156" s="330">
        <f t="shared" si="33"/>
        <v>0</v>
      </c>
      <c r="J156" s="330">
        <f t="shared" si="33"/>
        <v>0</v>
      </c>
      <c r="K156" s="330">
        <f t="shared" si="33"/>
        <v>0</v>
      </c>
      <c r="L156" s="330">
        <f t="shared" si="33"/>
        <v>0</v>
      </c>
      <c r="M156" s="330">
        <f t="shared" si="33"/>
        <v>0</v>
      </c>
      <c r="N156" s="330">
        <f t="shared" si="33"/>
        <v>0</v>
      </c>
      <c r="O156" s="330">
        <f t="shared" si="33"/>
        <v>0</v>
      </c>
      <c r="P156" s="330">
        <f t="shared" si="33"/>
        <v>0</v>
      </c>
      <c r="Q156" s="330">
        <f t="shared" si="33"/>
        <v>0</v>
      </c>
      <c r="R156" s="330">
        <f t="shared" si="33"/>
        <v>0</v>
      </c>
      <c r="S156" s="330">
        <f t="shared" si="33"/>
        <v>0</v>
      </c>
      <c r="T156" s="330">
        <f t="shared" si="33"/>
        <v>0</v>
      </c>
      <c r="U156" s="330">
        <f t="shared" si="33"/>
        <v>0</v>
      </c>
      <c r="V156" s="330">
        <f t="shared" si="33"/>
        <v>0</v>
      </c>
      <c r="W156" s="330">
        <f t="shared" si="33"/>
        <v>0</v>
      </c>
      <c r="X156" s="330">
        <f t="shared" si="33"/>
        <v>0</v>
      </c>
      <c r="Y156" s="330">
        <f t="shared" si="33"/>
        <v>0</v>
      </c>
      <c r="Z156" s="330">
        <f t="shared" si="33"/>
        <v>0</v>
      </c>
      <c r="AA156" s="330">
        <f t="shared" si="33"/>
        <v>0</v>
      </c>
      <c r="AB156" s="330">
        <f t="shared" si="33"/>
        <v>0</v>
      </c>
      <c r="AC156" s="330">
        <f t="shared" si="33"/>
        <v>0</v>
      </c>
      <c r="AD156" s="330">
        <f t="shared" si="33"/>
        <v>0</v>
      </c>
      <c r="AE156" s="330">
        <f t="shared" si="33"/>
        <v>0</v>
      </c>
      <c r="AF156" s="330">
        <f t="shared" si="33"/>
        <v>0</v>
      </c>
      <c r="AG156" s="330">
        <f t="shared" si="33"/>
        <v>0</v>
      </c>
      <c r="AH156" s="330">
        <f t="shared" si="33"/>
        <v>0</v>
      </c>
      <c r="AI156" s="330">
        <f t="shared" si="33"/>
        <v>0</v>
      </c>
      <c r="AJ156" s="330">
        <f t="shared" si="33"/>
        <v>0</v>
      </c>
      <c r="AK156" s="330">
        <f t="shared" si="33"/>
        <v>0</v>
      </c>
      <c r="AL156" s="330">
        <f t="shared" si="33"/>
        <v>0</v>
      </c>
      <c r="AM156" s="330">
        <f t="shared" si="33"/>
        <v>0</v>
      </c>
      <c r="AN156" s="330">
        <f t="shared" si="33"/>
        <v>0</v>
      </c>
      <c r="AO156" s="330">
        <f t="shared" si="33"/>
        <v>0</v>
      </c>
      <c r="AP156" s="330">
        <f t="shared" si="33"/>
        <v>0</v>
      </c>
      <c r="AQ156" s="330">
        <f t="shared" si="33"/>
        <v>0</v>
      </c>
      <c r="AR156" s="330">
        <f t="shared" si="33"/>
        <v>0</v>
      </c>
      <c r="AS156" s="330">
        <f t="shared" si="33"/>
        <v>0</v>
      </c>
      <c r="AT156" s="330">
        <f t="shared" si="33"/>
        <v>0</v>
      </c>
      <c r="AU156" s="330">
        <f t="shared" si="33"/>
        <v>0</v>
      </c>
      <c r="AV156" s="330">
        <f t="shared" si="33"/>
        <v>0</v>
      </c>
      <c r="AW156" s="330">
        <f t="shared" si="33"/>
        <v>0</v>
      </c>
      <c r="AX156" s="330">
        <f t="shared" si="33"/>
        <v>0</v>
      </c>
      <c r="AY156" s="330">
        <f t="shared" si="33"/>
        <v>0</v>
      </c>
      <c r="AZ156" s="330">
        <f t="shared" si="33"/>
        <v>0</v>
      </c>
      <c r="BA156" s="330">
        <f t="shared" si="33"/>
        <v>0</v>
      </c>
      <c r="BB156" s="330">
        <f t="shared" si="33"/>
        <v>0</v>
      </c>
      <c r="BC156" s="330">
        <f t="shared" si="33"/>
        <v>0</v>
      </c>
      <c r="BD156" s="330">
        <f t="shared" si="33"/>
        <v>0</v>
      </c>
      <c r="BE156" s="330">
        <f t="shared" si="33"/>
        <v>0</v>
      </c>
      <c r="BF156" s="330">
        <f t="shared" si="33"/>
        <v>0</v>
      </c>
      <c r="BG156" s="330">
        <f t="shared" si="33"/>
        <v>0</v>
      </c>
      <c r="BH156" s="330">
        <f t="shared" si="33"/>
        <v>0</v>
      </c>
      <c r="BI156" s="330">
        <f t="shared" si="33"/>
        <v>0</v>
      </c>
      <c r="BJ156" s="330">
        <f t="shared" si="33"/>
        <v>0</v>
      </c>
      <c r="BK156" s="330">
        <f t="shared" si="33"/>
        <v>0</v>
      </c>
      <c r="BL156" s="330">
        <f t="shared" si="33"/>
        <v>0</v>
      </c>
    </row>
    <row r="157" spans="2:64" x14ac:dyDescent="0.15">
      <c r="C157" s="257" t="s">
        <v>540</v>
      </c>
      <c r="E157" s="335">
        <f t="shared" ref="E157:BL157" si="34">IF(E$5&gt;$D$7,0,IF(E$5=$D$7,E42,SUM(E142:E156)))</f>
        <v>1.5044968926096343E-2</v>
      </c>
      <c r="F157" s="335">
        <f t="shared" si="34"/>
        <v>1.1960750296246592E-2</v>
      </c>
      <c r="G157" s="335">
        <f t="shared" si="34"/>
        <v>1.1378028317796244E-2</v>
      </c>
      <c r="H157" s="335">
        <f t="shared" si="34"/>
        <v>4.0083563582701778E-2</v>
      </c>
      <c r="I157" s="335">
        <f t="shared" si="34"/>
        <v>3.9660244895555564E-2</v>
      </c>
      <c r="J157" s="335">
        <f t="shared" si="34"/>
        <v>3.9263642446600008E-2</v>
      </c>
      <c r="K157" s="335">
        <f t="shared" si="34"/>
        <v>0.18770859425073352</v>
      </c>
      <c r="L157" s="335">
        <f t="shared" si="34"/>
        <v>0</v>
      </c>
      <c r="M157" s="335">
        <f t="shared" si="34"/>
        <v>0</v>
      </c>
      <c r="N157" s="335">
        <f t="shared" si="34"/>
        <v>0</v>
      </c>
      <c r="O157" s="335">
        <f t="shared" si="34"/>
        <v>0</v>
      </c>
      <c r="P157" s="335">
        <f t="shared" si="34"/>
        <v>0</v>
      </c>
      <c r="Q157" s="335">
        <f t="shared" si="34"/>
        <v>0</v>
      </c>
      <c r="R157" s="335">
        <f t="shared" si="34"/>
        <v>0</v>
      </c>
      <c r="S157" s="335">
        <f t="shared" si="34"/>
        <v>0</v>
      </c>
      <c r="T157" s="335">
        <f t="shared" si="34"/>
        <v>0</v>
      </c>
      <c r="U157" s="335">
        <f t="shared" si="34"/>
        <v>0</v>
      </c>
      <c r="V157" s="335">
        <f t="shared" si="34"/>
        <v>0</v>
      </c>
      <c r="W157" s="335">
        <f t="shared" si="34"/>
        <v>0</v>
      </c>
      <c r="X157" s="335">
        <f t="shared" si="34"/>
        <v>0</v>
      </c>
      <c r="Y157" s="335">
        <f t="shared" si="34"/>
        <v>0</v>
      </c>
      <c r="Z157" s="335">
        <f t="shared" si="34"/>
        <v>0</v>
      </c>
      <c r="AA157" s="335">
        <f t="shared" si="34"/>
        <v>0</v>
      </c>
      <c r="AB157" s="335">
        <f t="shared" si="34"/>
        <v>0</v>
      </c>
      <c r="AC157" s="335">
        <f t="shared" si="34"/>
        <v>0</v>
      </c>
      <c r="AD157" s="335">
        <f t="shared" si="34"/>
        <v>0</v>
      </c>
      <c r="AE157" s="335">
        <f t="shared" si="34"/>
        <v>0</v>
      </c>
      <c r="AF157" s="335">
        <f t="shared" si="34"/>
        <v>0</v>
      </c>
      <c r="AG157" s="335">
        <f t="shared" si="34"/>
        <v>0</v>
      </c>
      <c r="AH157" s="335">
        <f t="shared" si="34"/>
        <v>0</v>
      </c>
      <c r="AI157" s="335">
        <f t="shared" si="34"/>
        <v>0</v>
      </c>
      <c r="AJ157" s="335">
        <f t="shared" si="34"/>
        <v>0</v>
      </c>
      <c r="AK157" s="335">
        <f t="shared" si="34"/>
        <v>0</v>
      </c>
      <c r="AL157" s="335">
        <f t="shared" si="34"/>
        <v>0</v>
      </c>
      <c r="AM157" s="335">
        <f t="shared" si="34"/>
        <v>0</v>
      </c>
      <c r="AN157" s="335">
        <f t="shared" si="34"/>
        <v>0</v>
      </c>
      <c r="AO157" s="335">
        <f t="shared" si="34"/>
        <v>0</v>
      </c>
      <c r="AP157" s="335">
        <f t="shared" si="34"/>
        <v>0</v>
      </c>
      <c r="AQ157" s="335">
        <f t="shared" si="34"/>
        <v>0</v>
      </c>
      <c r="AR157" s="335">
        <f t="shared" si="34"/>
        <v>0</v>
      </c>
      <c r="AS157" s="335">
        <f t="shared" si="34"/>
        <v>0</v>
      </c>
      <c r="AT157" s="335">
        <f t="shared" si="34"/>
        <v>0</v>
      </c>
      <c r="AU157" s="335">
        <f t="shared" si="34"/>
        <v>0</v>
      </c>
      <c r="AV157" s="335">
        <f t="shared" si="34"/>
        <v>0</v>
      </c>
      <c r="AW157" s="335">
        <f t="shared" si="34"/>
        <v>0</v>
      </c>
      <c r="AX157" s="335">
        <f t="shared" si="34"/>
        <v>0</v>
      </c>
      <c r="AY157" s="335">
        <f t="shared" si="34"/>
        <v>0</v>
      </c>
      <c r="AZ157" s="335">
        <f t="shared" si="34"/>
        <v>0</v>
      </c>
      <c r="BA157" s="335">
        <f t="shared" si="34"/>
        <v>0</v>
      </c>
      <c r="BB157" s="335">
        <f t="shared" si="34"/>
        <v>0</v>
      </c>
      <c r="BC157" s="335">
        <f t="shared" si="34"/>
        <v>0</v>
      </c>
      <c r="BD157" s="335">
        <f t="shared" si="34"/>
        <v>0</v>
      </c>
      <c r="BE157" s="335">
        <f t="shared" si="34"/>
        <v>0</v>
      </c>
      <c r="BF157" s="335">
        <f t="shared" si="34"/>
        <v>0</v>
      </c>
      <c r="BG157" s="335">
        <f t="shared" si="34"/>
        <v>0</v>
      </c>
      <c r="BH157" s="335">
        <f t="shared" si="34"/>
        <v>0</v>
      </c>
      <c r="BI157" s="335">
        <f t="shared" si="34"/>
        <v>0</v>
      </c>
      <c r="BJ157" s="335">
        <f t="shared" si="34"/>
        <v>0</v>
      </c>
      <c r="BK157" s="335">
        <f t="shared" si="34"/>
        <v>0</v>
      </c>
      <c r="BL157" s="335">
        <f t="shared" si="34"/>
        <v>0</v>
      </c>
    </row>
    <row r="158" spans="2:64" x14ac:dyDescent="0.15">
      <c r="C158" s="337" t="s">
        <v>539</v>
      </c>
      <c r="D158" s="422"/>
      <c r="E158" s="422">
        <f t="shared" ref="E158:BL158" si="35">-IF(E$5&gt;$D$7,0,E157-D157)</f>
        <v>-1.5044968926096343E-2</v>
      </c>
      <c r="F158" s="422">
        <f t="shared" si="35"/>
        <v>3.0842186298497502E-3</v>
      </c>
      <c r="G158" s="422">
        <f t="shared" si="35"/>
        <v>5.8272197845034811E-4</v>
      </c>
      <c r="H158" s="422">
        <f t="shared" si="35"/>
        <v>-2.8705535264905532E-2</v>
      </c>
      <c r="I158" s="422">
        <f t="shared" si="35"/>
        <v>4.2331868714621385E-4</v>
      </c>
      <c r="J158" s="422">
        <f t="shared" si="35"/>
        <v>3.9660244895555613E-4</v>
      </c>
      <c r="K158" s="422">
        <f t="shared" si="35"/>
        <v>-0.14844495180413353</v>
      </c>
      <c r="L158" s="422">
        <f t="shared" si="35"/>
        <v>0</v>
      </c>
      <c r="M158" s="422">
        <f t="shared" si="35"/>
        <v>0</v>
      </c>
      <c r="N158" s="422">
        <f t="shared" si="35"/>
        <v>0</v>
      </c>
      <c r="O158" s="422">
        <f t="shared" si="35"/>
        <v>0</v>
      </c>
      <c r="P158" s="422">
        <f t="shared" si="35"/>
        <v>0</v>
      </c>
      <c r="Q158" s="422">
        <f t="shared" si="35"/>
        <v>0</v>
      </c>
      <c r="R158" s="422">
        <f t="shared" si="35"/>
        <v>0</v>
      </c>
      <c r="S158" s="422">
        <f t="shared" si="35"/>
        <v>0</v>
      </c>
      <c r="T158" s="422">
        <f t="shared" si="35"/>
        <v>0</v>
      </c>
      <c r="U158" s="422">
        <f t="shared" si="35"/>
        <v>0</v>
      </c>
      <c r="V158" s="422">
        <f t="shared" si="35"/>
        <v>0</v>
      </c>
      <c r="W158" s="422">
        <f t="shared" si="35"/>
        <v>0</v>
      </c>
      <c r="X158" s="422">
        <f t="shared" si="35"/>
        <v>0</v>
      </c>
      <c r="Y158" s="422">
        <f t="shared" si="35"/>
        <v>0</v>
      </c>
      <c r="Z158" s="422">
        <f t="shared" si="35"/>
        <v>0</v>
      </c>
      <c r="AA158" s="422">
        <f t="shared" si="35"/>
        <v>0</v>
      </c>
      <c r="AB158" s="422">
        <f t="shared" si="35"/>
        <v>0</v>
      </c>
      <c r="AC158" s="422">
        <f t="shared" si="35"/>
        <v>0</v>
      </c>
      <c r="AD158" s="422">
        <f t="shared" si="35"/>
        <v>0</v>
      </c>
      <c r="AE158" s="422">
        <f t="shared" si="35"/>
        <v>0</v>
      </c>
      <c r="AF158" s="422">
        <f t="shared" si="35"/>
        <v>0</v>
      </c>
      <c r="AG158" s="422">
        <f t="shared" si="35"/>
        <v>0</v>
      </c>
      <c r="AH158" s="422">
        <f t="shared" si="35"/>
        <v>0</v>
      </c>
      <c r="AI158" s="422">
        <f t="shared" si="35"/>
        <v>0</v>
      </c>
      <c r="AJ158" s="422">
        <f t="shared" si="35"/>
        <v>0</v>
      </c>
      <c r="AK158" s="422">
        <f t="shared" si="35"/>
        <v>0</v>
      </c>
      <c r="AL158" s="422">
        <f t="shared" si="35"/>
        <v>0</v>
      </c>
      <c r="AM158" s="422">
        <f t="shared" si="35"/>
        <v>0</v>
      </c>
      <c r="AN158" s="422">
        <f t="shared" si="35"/>
        <v>0</v>
      </c>
      <c r="AO158" s="422">
        <f t="shared" si="35"/>
        <v>0</v>
      </c>
      <c r="AP158" s="422">
        <f t="shared" si="35"/>
        <v>0</v>
      </c>
      <c r="AQ158" s="422">
        <f t="shared" si="35"/>
        <v>0</v>
      </c>
      <c r="AR158" s="422">
        <f t="shared" si="35"/>
        <v>0</v>
      </c>
      <c r="AS158" s="422">
        <f t="shared" si="35"/>
        <v>0</v>
      </c>
      <c r="AT158" s="422">
        <f t="shared" si="35"/>
        <v>0</v>
      </c>
      <c r="AU158" s="422">
        <f t="shared" si="35"/>
        <v>0</v>
      </c>
      <c r="AV158" s="422">
        <f t="shared" si="35"/>
        <v>0</v>
      </c>
      <c r="AW158" s="422">
        <f t="shared" si="35"/>
        <v>0</v>
      </c>
      <c r="AX158" s="422">
        <f t="shared" si="35"/>
        <v>0</v>
      </c>
      <c r="AY158" s="422">
        <f t="shared" si="35"/>
        <v>0</v>
      </c>
      <c r="AZ158" s="422">
        <f t="shared" si="35"/>
        <v>0</v>
      </c>
      <c r="BA158" s="422">
        <f t="shared" si="35"/>
        <v>0</v>
      </c>
      <c r="BB158" s="422">
        <f t="shared" si="35"/>
        <v>0</v>
      </c>
      <c r="BC158" s="422">
        <f t="shared" si="35"/>
        <v>0</v>
      </c>
      <c r="BD158" s="422">
        <f t="shared" si="35"/>
        <v>0</v>
      </c>
      <c r="BE158" s="422">
        <f t="shared" si="35"/>
        <v>0</v>
      </c>
      <c r="BF158" s="422">
        <f t="shared" si="35"/>
        <v>0</v>
      </c>
      <c r="BG158" s="422">
        <f t="shared" si="35"/>
        <v>0</v>
      </c>
      <c r="BH158" s="422">
        <f t="shared" si="35"/>
        <v>0</v>
      </c>
      <c r="BI158" s="422">
        <f t="shared" si="35"/>
        <v>0</v>
      </c>
      <c r="BJ158" s="422">
        <f t="shared" si="35"/>
        <v>0</v>
      </c>
      <c r="BK158" s="422">
        <f t="shared" si="35"/>
        <v>0</v>
      </c>
      <c r="BL158" s="422">
        <f t="shared" si="35"/>
        <v>0</v>
      </c>
    </row>
    <row r="160" spans="2:64" x14ac:dyDescent="0.15">
      <c r="B160" s="337" t="s">
        <v>543</v>
      </c>
      <c r="Y160" s="257" t="s">
        <v>542</v>
      </c>
    </row>
    <row r="161" spans="2:64" s="337" customFormat="1" x14ac:dyDescent="0.15">
      <c r="C161" s="337" t="s">
        <v>539</v>
      </c>
    </row>
    <row r="162" spans="2:64" s="337" customFormat="1" x14ac:dyDescent="0.15">
      <c r="C162" s="257" t="s">
        <v>500</v>
      </c>
      <c r="E162" s="330">
        <f t="shared" ref="E162:BL166" si="36">IF(E$5&gt;$D$7,0,E25*$G104)</f>
        <v>0</v>
      </c>
      <c r="F162" s="330">
        <f t="shared" si="36"/>
        <v>0</v>
      </c>
      <c r="G162" s="330">
        <f t="shared" si="36"/>
        <v>0</v>
      </c>
      <c r="H162" s="330">
        <f t="shared" si="36"/>
        <v>0</v>
      </c>
      <c r="I162" s="330">
        <f t="shared" si="36"/>
        <v>0</v>
      </c>
      <c r="J162" s="330">
        <f t="shared" si="36"/>
        <v>0</v>
      </c>
      <c r="K162" s="330">
        <f t="shared" si="36"/>
        <v>0</v>
      </c>
      <c r="L162" s="330">
        <f t="shared" si="36"/>
        <v>0</v>
      </c>
      <c r="M162" s="330">
        <f t="shared" si="36"/>
        <v>0</v>
      </c>
      <c r="N162" s="330">
        <f t="shared" si="36"/>
        <v>0</v>
      </c>
      <c r="O162" s="330">
        <f t="shared" si="36"/>
        <v>0</v>
      </c>
      <c r="P162" s="330">
        <f t="shared" si="36"/>
        <v>0</v>
      </c>
      <c r="Q162" s="330">
        <f t="shared" si="36"/>
        <v>0</v>
      </c>
      <c r="R162" s="330">
        <f t="shared" si="36"/>
        <v>0</v>
      </c>
      <c r="S162" s="330">
        <f t="shared" si="36"/>
        <v>0</v>
      </c>
      <c r="T162" s="330">
        <f t="shared" si="36"/>
        <v>0</v>
      </c>
      <c r="U162" s="330">
        <f t="shared" si="36"/>
        <v>0</v>
      </c>
      <c r="V162" s="330">
        <f t="shared" si="36"/>
        <v>0</v>
      </c>
      <c r="W162" s="330">
        <f t="shared" si="36"/>
        <v>0</v>
      </c>
      <c r="X162" s="330">
        <f t="shared" si="36"/>
        <v>0</v>
      </c>
      <c r="Y162" s="330">
        <f t="shared" si="36"/>
        <v>0</v>
      </c>
      <c r="Z162" s="330">
        <f t="shared" si="36"/>
        <v>0</v>
      </c>
      <c r="AA162" s="330">
        <f t="shared" si="36"/>
        <v>0</v>
      </c>
      <c r="AB162" s="330">
        <f t="shared" si="36"/>
        <v>0</v>
      </c>
      <c r="AC162" s="330">
        <f t="shared" si="36"/>
        <v>0</v>
      </c>
      <c r="AD162" s="330">
        <f t="shared" si="36"/>
        <v>0</v>
      </c>
      <c r="AE162" s="330">
        <f t="shared" si="36"/>
        <v>0</v>
      </c>
      <c r="AF162" s="330">
        <f t="shared" si="36"/>
        <v>0</v>
      </c>
      <c r="AG162" s="330">
        <f t="shared" si="36"/>
        <v>0</v>
      </c>
      <c r="AH162" s="330">
        <f t="shared" si="36"/>
        <v>0</v>
      </c>
      <c r="AI162" s="330">
        <f t="shared" si="36"/>
        <v>0</v>
      </c>
      <c r="AJ162" s="330">
        <f t="shared" si="36"/>
        <v>0</v>
      </c>
      <c r="AK162" s="330">
        <f t="shared" si="36"/>
        <v>0</v>
      </c>
      <c r="AL162" s="330">
        <f t="shared" si="36"/>
        <v>0</v>
      </c>
      <c r="AM162" s="330">
        <f t="shared" si="36"/>
        <v>0</v>
      </c>
      <c r="AN162" s="330">
        <f t="shared" si="36"/>
        <v>0</v>
      </c>
      <c r="AO162" s="330">
        <f t="shared" si="36"/>
        <v>0</v>
      </c>
      <c r="AP162" s="330">
        <f t="shared" si="36"/>
        <v>0</v>
      </c>
      <c r="AQ162" s="330">
        <f t="shared" si="36"/>
        <v>0</v>
      </c>
      <c r="AR162" s="330">
        <f t="shared" si="36"/>
        <v>0</v>
      </c>
      <c r="AS162" s="330">
        <f t="shared" si="36"/>
        <v>0</v>
      </c>
      <c r="AT162" s="330">
        <f t="shared" si="36"/>
        <v>0</v>
      </c>
      <c r="AU162" s="330">
        <f t="shared" si="36"/>
        <v>0</v>
      </c>
      <c r="AV162" s="330">
        <f t="shared" si="36"/>
        <v>0</v>
      </c>
      <c r="AW162" s="330">
        <f t="shared" si="36"/>
        <v>0</v>
      </c>
      <c r="AX162" s="330">
        <f t="shared" si="36"/>
        <v>0</v>
      </c>
      <c r="AY162" s="330">
        <f t="shared" si="36"/>
        <v>0</v>
      </c>
      <c r="AZ162" s="330">
        <f t="shared" si="36"/>
        <v>0</v>
      </c>
      <c r="BA162" s="330">
        <f t="shared" si="36"/>
        <v>0</v>
      </c>
      <c r="BB162" s="330">
        <f t="shared" si="36"/>
        <v>0</v>
      </c>
      <c r="BC162" s="330">
        <f t="shared" si="36"/>
        <v>0</v>
      </c>
      <c r="BD162" s="330">
        <f t="shared" si="36"/>
        <v>0</v>
      </c>
      <c r="BE162" s="330">
        <f t="shared" si="36"/>
        <v>0</v>
      </c>
      <c r="BF162" s="330">
        <f t="shared" si="36"/>
        <v>0</v>
      </c>
      <c r="BG162" s="330">
        <f t="shared" si="36"/>
        <v>0</v>
      </c>
      <c r="BH162" s="330">
        <f t="shared" si="36"/>
        <v>0</v>
      </c>
      <c r="BI162" s="330">
        <f t="shared" si="36"/>
        <v>0</v>
      </c>
      <c r="BJ162" s="330">
        <f t="shared" si="36"/>
        <v>0</v>
      </c>
      <c r="BK162" s="330">
        <f t="shared" si="36"/>
        <v>0</v>
      </c>
      <c r="BL162" s="330">
        <f t="shared" si="36"/>
        <v>0</v>
      </c>
    </row>
    <row r="163" spans="2:64" s="337" customFormat="1" x14ac:dyDescent="0.15">
      <c r="C163" s="257" t="s">
        <v>502</v>
      </c>
      <c r="E163" s="330">
        <f t="shared" si="36"/>
        <v>1.5044968926096343E-2</v>
      </c>
      <c r="F163" s="330">
        <f t="shared" si="36"/>
        <v>0</v>
      </c>
      <c r="G163" s="330">
        <f t="shared" si="36"/>
        <v>0</v>
      </c>
      <c r="H163" s="330">
        <f t="shared" si="36"/>
        <v>0</v>
      </c>
      <c r="I163" s="330">
        <f t="shared" si="36"/>
        <v>0</v>
      </c>
      <c r="J163" s="330">
        <f t="shared" si="36"/>
        <v>0</v>
      </c>
      <c r="K163" s="330">
        <f t="shared" si="36"/>
        <v>0</v>
      </c>
      <c r="L163" s="330">
        <f t="shared" si="36"/>
        <v>0</v>
      </c>
      <c r="M163" s="330">
        <f t="shared" si="36"/>
        <v>0</v>
      </c>
      <c r="N163" s="330">
        <f t="shared" si="36"/>
        <v>0</v>
      </c>
      <c r="O163" s="330">
        <f t="shared" si="36"/>
        <v>0</v>
      </c>
      <c r="P163" s="330">
        <f t="shared" si="36"/>
        <v>0</v>
      </c>
      <c r="Q163" s="330">
        <f t="shared" si="36"/>
        <v>0</v>
      </c>
      <c r="R163" s="330">
        <f t="shared" si="36"/>
        <v>0</v>
      </c>
      <c r="S163" s="330">
        <f t="shared" si="36"/>
        <v>0</v>
      </c>
      <c r="T163" s="330">
        <f t="shared" si="36"/>
        <v>0</v>
      </c>
      <c r="U163" s="330">
        <f t="shared" si="36"/>
        <v>0</v>
      </c>
      <c r="V163" s="330">
        <f t="shared" si="36"/>
        <v>0</v>
      </c>
      <c r="W163" s="330">
        <f t="shared" si="36"/>
        <v>0</v>
      </c>
      <c r="X163" s="330">
        <f t="shared" si="36"/>
        <v>0</v>
      </c>
      <c r="Y163" s="330">
        <f t="shared" si="36"/>
        <v>0</v>
      </c>
      <c r="Z163" s="330">
        <f t="shared" si="36"/>
        <v>0</v>
      </c>
      <c r="AA163" s="330">
        <f t="shared" si="36"/>
        <v>0</v>
      </c>
      <c r="AB163" s="330">
        <f t="shared" si="36"/>
        <v>0</v>
      </c>
      <c r="AC163" s="330">
        <f t="shared" si="36"/>
        <v>0</v>
      </c>
      <c r="AD163" s="330">
        <f t="shared" si="36"/>
        <v>0</v>
      </c>
      <c r="AE163" s="330">
        <f t="shared" si="36"/>
        <v>0</v>
      </c>
      <c r="AF163" s="330">
        <f t="shared" si="36"/>
        <v>0</v>
      </c>
      <c r="AG163" s="330">
        <f t="shared" si="36"/>
        <v>0</v>
      </c>
      <c r="AH163" s="330">
        <f t="shared" si="36"/>
        <v>0</v>
      </c>
      <c r="AI163" s="330">
        <f t="shared" si="36"/>
        <v>0</v>
      </c>
      <c r="AJ163" s="330">
        <f t="shared" si="36"/>
        <v>0</v>
      </c>
      <c r="AK163" s="330">
        <f t="shared" si="36"/>
        <v>0</v>
      </c>
      <c r="AL163" s="330">
        <f t="shared" si="36"/>
        <v>0</v>
      </c>
      <c r="AM163" s="330">
        <f t="shared" si="36"/>
        <v>0</v>
      </c>
      <c r="AN163" s="330">
        <f t="shared" si="36"/>
        <v>0</v>
      </c>
      <c r="AO163" s="330">
        <f t="shared" si="36"/>
        <v>0</v>
      </c>
      <c r="AP163" s="330">
        <f t="shared" si="36"/>
        <v>0</v>
      </c>
      <c r="AQ163" s="330">
        <f t="shared" si="36"/>
        <v>0</v>
      </c>
      <c r="AR163" s="330">
        <f t="shared" si="36"/>
        <v>0</v>
      </c>
      <c r="AS163" s="330">
        <f t="shared" si="36"/>
        <v>0</v>
      </c>
      <c r="AT163" s="330">
        <f t="shared" si="36"/>
        <v>0</v>
      </c>
      <c r="AU163" s="330">
        <f t="shared" si="36"/>
        <v>0</v>
      </c>
      <c r="AV163" s="330">
        <f t="shared" si="36"/>
        <v>0</v>
      </c>
      <c r="AW163" s="330">
        <f t="shared" si="36"/>
        <v>0</v>
      </c>
      <c r="AX163" s="330">
        <f t="shared" si="36"/>
        <v>0</v>
      </c>
      <c r="AY163" s="330">
        <f t="shared" si="36"/>
        <v>0</v>
      </c>
      <c r="AZ163" s="330">
        <f t="shared" si="36"/>
        <v>0</v>
      </c>
      <c r="BA163" s="330">
        <f t="shared" si="36"/>
        <v>0</v>
      </c>
      <c r="BB163" s="330">
        <f t="shared" si="36"/>
        <v>0</v>
      </c>
      <c r="BC163" s="330">
        <f t="shared" si="36"/>
        <v>0</v>
      </c>
      <c r="BD163" s="330">
        <f t="shared" si="36"/>
        <v>0</v>
      </c>
      <c r="BE163" s="330">
        <f t="shared" si="36"/>
        <v>0</v>
      </c>
      <c r="BF163" s="330">
        <f t="shared" si="36"/>
        <v>0</v>
      </c>
      <c r="BG163" s="330">
        <f t="shared" si="36"/>
        <v>0</v>
      </c>
      <c r="BH163" s="330">
        <f t="shared" si="36"/>
        <v>0</v>
      </c>
      <c r="BI163" s="330">
        <f t="shared" si="36"/>
        <v>0</v>
      </c>
      <c r="BJ163" s="330">
        <f t="shared" si="36"/>
        <v>0</v>
      </c>
      <c r="BK163" s="330">
        <f t="shared" si="36"/>
        <v>0</v>
      </c>
      <c r="BL163" s="330">
        <f t="shared" si="36"/>
        <v>0</v>
      </c>
    </row>
    <row r="164" spans="2:64" s="337" customFormat="1" x14ac:dyDescent="0.15">
      <c r="C164" s="257" t="s">
        <v>503</v>
      </c>
      <c r="E164" s="330">
        <f t="shared" si="36"/>
        <v>0</v>
      </c>
      <c r="F164" s="330">
        <f t="shared" si="36"/>
        <v>1.1960750296246592E-2</v>
      </c>
      <c r="G164" s="330">
        <f t="shared" si="36"/>
        <v>0</v>
      </c>
      <c r="H164" s="330">
        <f t="shared" si="36"/>
        <v>0</v>
      </c>
      <c r="I164" s="330">
        <f t="shared" si="36"/>
        <v>0</v>
      </c>
      <c r="J164" s="330">
        <f t="shared" si="36"/>
        <v>0</v>
      </c>
      <c r="K164" s="330">
        <f t="shared" si="36"/>
        <v>0</v>
      </c>
      <c r="L164" s="330">
        <f t="shared" si="36"/>
        <v>0</v>
      </c>
      <c r="M164" s="330">
        <f t="shared" si="36"/>
        <v>0</v>
      </c>
      <c r="N164" s="330">
        <f t="shared" si="36"/>
        <v>0</v>
      </c>
      <c r="O164" s="330">
        <f t="shared" si="36"/>
        <v>0</v>
      </c>
      <c r="P164" s="330">
        <f t="shared" si="36"/>
        <v>0</v>
      </c>
      <c r="Q164" s="330">
        <f t="shared" si="36"/>
        <v>0</v>
      </c>
      <c r="R164" s="330">
        <f t="shared" si="36"/>
        <v>0</v>
      </c>
      <c r="S164" s="330">
        <f t="shared" si="36"/>
        <v>0</v>
      </c>
      <c r="T164" s="330">
        <f t="shared" si="36"/>
        <v>0</v>
      </c>
      <c r="U164" s="330">
        <f t="shared" si="36"/>
        <v>0</v>
      </c>
      <c r="V164" s="330">
        <f t="shared" si="36"/>
        <v>0</v>
      </c>
      <c r="W164" s="330">
        <f t="shared" si="36"/>
        <v>0</v>
      </c>
      <c r="X164" s="330">
        <f t="shared" si="36"/>
        <v>0</v>
      </c>
      <c r="Y164" s="330">
        <f t="shared" si="36"/>
        <v>0</v>
      </c>
      <c r="Z164" s="330">
        <f t="shared" si="36"/>
        <v>0</v>
      </c>
      <c r="AA164" s="330">
        <f t="shared" si="36"/>
        <v>0</v>
      </c>
      <c r="AB164" s="330">
        <f t="shared" si="36"/>
        <v>0</v>
      </c>
      <c r="AC164" s="330">
        <f t="shared" si="36"/>
        <v>0</v>
      </c>
      <c r="AD164" s="330">
        <f t="shared" si="36"/>
        <v>0</v>
      </c>
      <c r="AE164" s="330">
        <f t="shared" si="36"/>
        <v>0</v>
      </c>
      <c r="AF164" s="330">
        <f t="shared" si="36"/>
        <v>0</v>
      </c>
      <c r="AG164" s="330">
        <f t="shared" si="36"/>
        <v>0</v>
      </c>
      <c r="AH164" s="330">
        <f t="shared" si="36"/>
        <v>0</v>
      </c>
      <c r="AI164" s="330">
        <f t="shared" si="36"/>
        <v>0</v>
      </c>
      <c r="AJ164" s="330">
        <f t="shared" si="36"/>
        <v>0</v>
      </c>
      <c r="AK164" s="330">
        <f t="shared" si="36"/>
        <v>0</v>
      </c>
      <c r="AL164" s="330">
        <f t="shared" si="36"/>
        <v>0</v>
      </c>
      <c r="AM164" s="330">
        <f t="shared" si="36"/>
        <v>0</v>
      </c>
      <c r="AN164" s="330">
        <f t="shared" si="36"/>
        <v>0</v>
      </c>
      <c r="AO164" s="330">
        <f t="shared" si="36"/>
        <v>0</v>
      </c>
      <c r="AP164" s="330">
        <f t="shared" si="36"/>
        <v>0</v>
      </c>
      <c r="AQ164" s="330">
        <f t="shared" si="36"/>
        <v>0</v>
      </c>
      <c r="AR164" s="330">
        <f t="shared" si="36"/>
        <v>0</v>
      </c>
      <c r="AS164" s="330">
        <f t="shared" si="36"/>
        <v>0</v>
      </c>
      <c r="AT164" s="330">
        <f t="shared" si="36"/>
        <v>0</v>
      </c>
      <c r="AU164" s="330">
        <f t="shared" si="36"/>
        <v>0</v>
      </c>
      <c r="AV164" s="330">
        <f t="shared" si="36"/>
        <v>0</v>
      </c>
      <c r="AW164" s="330">
        <f t="shared" si="36"/>
        <v>0</v>
      </c>
      <c r="AX164" s="330">
        <f t="shared" si="36"/>
        <v>0</v>
      </c>
      <c r="AY164" s="330">
        <f t="shared" si="36"/>
        <v>0</v>
      </c>
      <c r="AZ164" s="330">
        <f t="shared" si="36"/>
        <v>0</v>
      </c>
      <c r="BA164" s="330">
        <f t="shared" si="36"/>
        <v>0</v>
      </c>
      <c r="BB164" s="330">
        <f t="shared" si="36"/>
        <v>0</v>
      </c>
      <c r="BC164" s="330">
        <f t="shared" si="36"/>
        <v>0</v>
      </c>
      <c r="BD164" s="330">
        <f t="shared" si="36"/>
        <v>0</v>
      </c>
      <c r="BE164" s="330">
        <f t="shared" si="36"/>
        <v>0</v>
      </c>
      <c r="BF164" s="330">
        <f t="shared" si="36"/>
        <v>0</v>
      </c>
      <c r="BG164" s="330">
        <f t="shared" si="36"/>
        <v>0</v>
      </c>
      <c r="BH164" s="330">
        <f t="shared" si="36"/>
        <v>0</v>
      </c>
      <c r="BI164" s="330">
        <f t="shared" si="36"/>
        <v>0</v>
      </c>
      <c r="BJ164" s="330">
        <f t="shared" si="36"/>
        <v>0</v>
      </c>
      <c r="BK164" s="330">
        <f t="shared" si="36"/>
        <v>0</v>
      </c>
      <c r="BL164" s="330">
        <f t="shared" si="36"/>
        <v>0</v>
      </c>
    </row>
    <row r="165" spans="2:64" s="337" customFormat="1" x14ac:dyDescent="0.15">
      <c r="C165" s="257" t="s">
        <v>504</v>
      </c>
      <c r="E165" s="330">
        <f t="shared" si="36"/>
        <v>0</v>
      </c>
      <c r="F165" s="330">
        <f t="shared" si="36"/>
        <v>0</v>
      </c>
      <c r="G165" s="330">
        <f t="shared" si="36"/>
        <v>1.1378028317796244E-2</v>
      </c>
      <c r="H165" s="330">
        <f t="shared" si="36"/>
        <v>0</v>
      </c>
      <c r="I165" s="330">
        <f t="shared" si="36"/>
        <v>0</v>
      </c>
      <c r="J165" s="330">
        <f t="shared" si="36"/>
        <v>0</v>
      </c>
      <c r="K165" s="330">
        <f t="shared" si="36"/>
        <v>0</v>
      </c>
      <c r="L165" s="330">
        <f t="shared" si="36"/>
        <v>0</v>
      </c>
      <c r="M165" s="330">
        <f t="shared" si="36"/>
        <v>0</v>
      </c>
      <c r="N165" s="330">
        <f t="shared" si="36"/>
        <v>0</v>
      </c>
      <c r="O165" s="330">
        <f t="shared" si="36"/>
        <v>0</v>
      </c>
      <c r="P165" s="330">
        <f t="shared" si="36"/>
        <v>0</v>
      </c>
      <c r="Q165" s="330">
        <f t="shared" si="36"/>
        <v>0</v>
      </c>
      <c r="R165" s="330">
        <f t="shared" si="36"/>
        <v>0</v>
      </c>
      <c r="S165" s="330">
        <f t="shared" si="36"/>
        <v>0</v>
      </c>
      <c r="T165" s="330">
        <f t="shared" si="36"/>
        <v>0</v>
      </c>
      <c r="U165" s="330">
        <f t="shared" si="36"/>
        <v>0</v>
      </c>
      <c r="V165" s="330">
        <f t="shared" si="36"/>
        <v>0</v>
      </c>
      <c r="W165" s="330">
        <f t="shared" si="36"/>
        <v>0</v>
      </c>
      <c r="X165" s="330">
        <f t="shared" si="36"/>
        <v>0</v>
      </c>
      <c r="Y165" s="330">
        <f t="shared" si="36"/>
        <v>0</v>
      </c>
      <c r="Z165" s="330">
        <f t="shared" si="36"/>
        <v>0</v>
      </c>
      <c r="AA165" s="330">
        <f t="shared" si="36"/>
        <v>0</v>
      </c>
      <c r="AB165" s="330">
        <f t="shared" si="36"/>
        <v>0</v>
      </c>
      <c r="AC165" s="330">
        <f t="shared" si="36"/>
        <v>0</v>
      </c>
      <c r="AD165" s="330">
        <f t="shared" si="36"/>
        <v>0</v>
      </c>
      <c r="AE165" s="330">
        <f t="shared" si="36"/>
        <v>0</v>
      </c>
      <c r="AF165" s="330">
        <f t="shared" si="36"/>
        <v>0</v>
      </c>
      <c r="AG165" s="330">
        <f t="shared" si="36"/>
        <v>0</v>
      </c>
      <c r="AH165" s="330">
        <f t="shared" si="36"/>
        <v>0</v>
      </c>
      <c r="AI165" s="330">
        <f t="shared" si="36"/>
        <v>0</v>
      </c>
      <c r="AJ165" s="330">
        <f t="shared" si="36"/>
        <v>0</v>
      </c>
      <c r="AK165" s="330">
        <f t="shared" si="36"/>
        <v>0</v>
      </c>
      <c r="AL165" s="330">
        <f t="shared" si="36"/>
        <v>0</v>
      </c>
      <c r="AM165" s="330">
        <f t="shared" si="36"/>
        <v>0</v>
      </c>
      <c r="AN165" s="330">
        <f t="shared" si="36"/>
        <v>0</v>
      </c>
      <c r="AO165" s="330">
        <f t="shared" si="36"/>
        <v>0</v>
      </c>
      <c r="AP165" s="330">
        <f t="shared" si="36"/>
        <v>0</v>
      </c>
      <c r="AQ165" s="330">
        <f t="shared" si="36"/>
        <v>0</v>
      </c>
      <c r="AR165" s="330">
        <f t="shared" si="36"/>
        <v>0</v>
      </c>
      <c r="AS165" s="330">
        <f t="shared" si="36"/>
        <v>0</v>
      </c>
      <c r="AT165" s="330">
        <f t="shared" si="36"/>
        <v>0</v>
      </c>
      <c r="AU165" s="330">
        <f t="shared" si="36"/>
        <v>0</v>
      </c>
      <c r="AV165" s="330">
        <f t="shared" si="36"/>
        <v>0</v>
      </c>
      <c r="AW165" s="330">
        <f t="shared" si="36"/>
        <v>0</v>
      </c>
      <c r="AX165" s="330">
        <f t="shared" si="36"/>
        <v>0</v>
      </c>
      <c r="AY165" s="330">
        <f t="shared" si="36"/>
        <v>0</v>
      </c>
      <c r="AZ165" s="330">
        <f t="shared" si="36"/>
        <v>0</v>
      </c>
      <c r="BA165" s="330">
        <f t="shared" si="36"/>
        <v>0</v>
      </c>
      <c r="BB165" s="330">
        <f t="shared" si="36"/>
        <v>0</v>
      </c>
      <c r="BC165" s="330">
        <f t="shared" si="36"/>
        <v>0</v>
      </c>
      <c r="BD165" s="330">
        <f t="shared" si="36"/>
        <v>0</v>
      </c>
      <c r="BE165" s="330">
        <f t="shared" si="36"/>
        <v>0</v>
      </c>
      <c r="BF165" s="330">
        <f t="shared" si="36"/>
        <v>0</v>
      </c>
      <c r="BG165" s="330">
        <f t="shared" si="36"/>
        <v>0</v>
      </c>
      <c r="BH165" s="330">
        <f t="shared" si="36"/>
        <v>0</v>
      </c>
      <c r="BI165" s="330">
        <f t="shared" si="36"/>
        <v>0</v>
      </c>
      <c r="BJ165" s="330">
        <f t="shared" si="36"/>
        <v>0</v>
      </c>
      <c r="BK165" s="330">
        <f t="shared" si="36"/>
        <v>0</v>
      </c>
      <c r="BL165" s="330">
        <f t="shared" si="36"/>
        <v>0</v>
      </c>
    </row>
    <row r="166" spans="2:64" s="337" customFormat="1" x14ac:dyDescent="0.15">
      <c r="C166" s="257" t="s">
        <v>506</v>
      </c>
      <c r="E166" s="330">
        <f t="shared" si="36"/>
        <v>0</v>
      </c>
      <c r="F166" s="330">
        <f t="shared" si="36"/>
        <v>0</v>
      </c>
      <c r="G166" s="330">
        <f t="shared" si="36"/>
        <v>0</v>
      </c>
      <c r="H166" s="330">
        <f t="shared" si="36"/>
        <v>4.0083563582701778E-2</v>
      </c>
      <c r="I166" s="330">
        <f t="shared" si="36"/>
        <v>0</v>
      </c>
      <c r="J166" s="330">
        <f t="shared" si="36"/>
        <v>0</v>
      </c>
      <c r="K166" s="330">
        <f t="shared" si="36"/>
        <v>0</v>
      </c>
      <c r="L166" s="330">
        <f t="shared" si="36"/>
        <v>0</v>
      </c>
      <c r="M166" s="330">
        <f t="shared" si="36"/>
        <v>0</v>
      </c>
      <c r="N166" s="330">
        <f t="shared" si="36"/>
        <v>0</v>
      </c>
      <c r="O166" s="330">
        <f t="shared" si="36"/>
        <v>0</v>
      </c>
      <c r="P166" s="330">
        <f t="shared" si="36"/>
        <v>0</v>
      </c>
      <c r="Q166" s="330">
        <f t="shared" si="36"/>
        <v>0</v>
      </c>
      <c r="R166" s="330">
        <f t="shared" si="36"/>
        <v>0</v>
      </c>
      <c r="S166" s="330">
        <f t="shared" si="36"/>
        <v>0</v>
      </c>
      <c r="T166" s="330">
        <f t="shared" ref="T166:BL170" si="37">IF(T$5&gt;$D$7,0,T29*$G108)</f>
        <v>0</v>
      </c>
      <c r="U166" s="330">
        <f t="shared" si="37"/>
        <v>0</v>
      </c>
      <c r="V166" s="330">
        <f t="shared" si="37"/>
        <v>0</v>
      </c>
      <c r="W166" s="330">
        <f t="shared" si="37"/>
        <v>0</v>
      </c>
      <c r="X166" s="330">
        <f t="shared" si="37"/>
        <v>0</v>
      </c>
      <c r="Y166" s="330">
        <f t="shared" si="37"/>
        <v>0</v>
      </c>
      <c r="Z166" s="330">
        <f t="shared" si="37"/>
        <v>0</v>
      </c>
      <c r="AA166" s="330">
        <f t="shared" si="37"/>
        <v>0</v>
      </c>
      <c r="AB166" s="330">
        <f t="shared" si="37"/>
        <v>0</v>
      </c>
      <c r="AC166" s="330">
        <f t="shared" si="37"/>
        <v>0</v>
      </c>
      <c r="AD166" s="330">
        <f t="shared" si="37"/>
        <v>0</v>
      </c>
      <c r="AE166" s="330">
        <f t="shared" si="37"/>
        <v>0</v>
      </c>
      <c r="AF166" s="330">
        <f t="shared" si="37"/>
        <v>0</v>
      </c>
      <c r="AG166" s="330">
        <f t="shared" si="37"/>
        <v>0</v>
      </c>
      <c r="AH166" s="330">
        <f t="shared" si="37"/>
        <v>0</v>
      </c>
      <c r="AI166" s="330">
        <f t="shared" si="37"/>
        <v>0</v>
      </c>
      <c r="AJ166" s="330">
        <f t="shared" si="37"/>
        <v>0</v>
      </c>
      <c r="AK166" s="330">
        <f t="shared" si="37"/>
        <v>0</v>
      </c>
      <c r="AL166" s="330">
        <f t="shared" si="37"/>
        <v>0</v>
      </c>
      <c r="AM166" s="330">
        <f t="shared" si="37"/>
        <v>0</v>
      </c>
      <c r="AN166" s="330">
        <f t="shared" si="37"/>
        <v>0</v>
      </c>
      <c r="AO166" s="330">
        <f t="shared" si="37"/>
        <v>0</v>
      </c>
      <c r="AP166" s="330">
        <f t="shared" si="37"/>
        <v>0</v>
      </c>
      <c r="AQ166" s="330">
        <f t="shared" si="37"/>
        <v>0</v>
      </c>
      <c r="AR166" s="330">
        <f t="shared" si="37"/>
        <v>0</v>
      </c>
      <c r="AS166" s="330">
        <f t="shared" si="37"/>
        <v>0</v>
      </c>
      <c r="AT166" s="330">
        <f t="shared" si="37"/>
        <v>0</v>
      </c>
      <c r="AU166" s="330">
        <f t="shared" si="37"/>
        <v>0</v>
      </c>
      <c r="AV166" s="330">
        <f t="shared" si="37"/>
        <v>0</v>
      </c>
      <c r="AW166" s="330">
        <f t="shared" si="37"/>
        <v>0</v>
      </c>
      <c r="AX166" s="330">
        <f t="shared" si="37"/>
        <v>0</v>
      </c>
      <c r="AY166" s="330">
        <f t="shared" si="37"/>
        <v>0</v>
      </c>
      <c r="AZ166" s="330">
        <f t="shared" si="37"/>
        <v>0</v>
      </c>
      <c r="BA166" s="330">
        <f t="shared" si="37"/>
        <v>0</v>
      </c>
      <c r="BB166" s="330">
        <f t="shared" si="37"/>
        <v>0</v>
      </c>
      <c r="BC166" s="330">
        <f t="shared" si="37"/>
        <v>0</v>
      </c>
      <c r="BD166" s="330">
        <f t="shared" si="37"/>
        <v>0</v>
      </c>
      <c r="BE166" s="330">
        <f t="shared" si="37"/>
        <v>0</v>
      </c>
      <c r="BF166" s="330">
        <f t="shared" si="37"/>
        <v>0</v>
      </c>
      <c r="BG166" s="330">
        <f t="shared" si="37"/>
        <v>0</v>
      </c>
      <c r="BH166" s="330">
        <f t="shared" si="37"/>
        <v>0</v>
      </c>
      <c r="BI166" s="330">
        <f t="shared" si="37"/>
        <v>0</v>
      </c>
      <c r="BJ166" s="330">
        <f t="shared" si="37"/>
        <v>0</v>
      </c>
      <c r="BK166" s="330">
        <f t="shared" si="37"/>
        <v>0</v>
      </c>
      <c r="BL166" s="330">
        <f t="shared" si="37"/>
        <v>0</v>
      </c>
    </row>
    <row r="167" spans="2:64" s="337" customFormat="1" x14ac:dyDescent="0.15">
      <c r="C167" s="257" t="s">
        <v>507</v>
      </c>
      <c r="E167" s="330">
        <f t="shared" ref="E167:AJ170" si="38">IF(E$5&gt;$D$7,0,E30*$G109)</f>
        <v>0</v>
      </c>
      <c r="F167" s="330">
        <f t="shared" si="38"/>
        <v>0</v>
      </c>
      <c r="G167" s="330">
        <f t="shared" si="38"/>
        <v>0</v>
      </c>
      <c r="H167" s="330">
        <f t="shared" si="38"/>
        <v>0</v>
      </c>
      <c r="I167" s="330">
        <f t="shared" si="38"/>
        <v>3.9660244895555564E-2</v>
      </c>
      <c r="J167" s="330">
        <f t="shared" si="38"/>
        <v>0</v>
      </c>
      <c r="K167" s="330">
        <f t="shared" si="38"/>
        <v>0</v>
      </c>
      <c r="L167" s="330">
        <f t="shared" si="38"/>
        <v>0</v>
      </c>
      <c r="M167" s="330">
        <f t="shared" si="38"/>
        <v>0</v>
      </c>
      <c r="N167" s="330">
        <f t="shared" si="38"/>
        <v>0</v>
      </c>
      <c r="O167" s="330">
        <f t="shared" si="38"/>
        <v>0</v>
      </c>
      <c r="P167" s="330">
        <f t="shared" si="38"/>
        <v>0</v>
      </c>
      <c r="Q167" s="330">
        <f t="shared" si="38"/>
        <v>0</v>
      </c>
      <c r="R167" s="330">
        <f t="shared" si="38"/>
        <v>0</v>
      </c>
      <c r="S167" s="330">
        <f t="shared" si="38"/>
        <v>0</v>
      </c>
      <c r="T167" s="330">
        <f t="shared" si="38"/>
        <v>0</v>
      </c>
      <c r="U167" s="330">
        <f t="shared" si="38"/>
        <v>0</v>
      </c>
      <c r="V167" s="330">
        <f t="shared" si="38"/>
        <v>0</v>
      </c>
      <c r="W167" s="330">
        <f t="shared" si="38"/>
        <v>0</v>
      </c>
      <c r="X167" s="330">
        <f t="shared" si="38"/>
        <v>0</v>
      </c>
      <c r="Y167" s="330">
        <f t="shared" si="38"/>
        <v>0</v>
      </c>
      <c r="Z167" s="330">
        <f t="shared" si="38"/>
        <v>0</v>
      </c>
      <c r="AA167" s="330">
        <f t="shared" si="38"/>
        <v>0</v>
      </c>
      <c r="AB167" s="330">
        <f t="shared" si="38"/>
        <v>0</v>
      </c>
      <c r="AC167" s="330">
        <f t="shared" si="38"/>
        <v>0</v>
      </c>
      <c r="AD167" s="330">
        <f t="shared" si="38"/>
        <v>0</v>
      </c>
      <c r="AE167" s="330">
        <f t="shared" si="38"/>
        <v>0</v>
      </c>
      <c r="AF167" s="330">
        <f t="shared" si="38"/>
        <v>0</v>
      </c>
      <c r="AG167" s="330">
        <f t="shared" si="38"/>
        <v>0</v>
      </c>
      <c r="AH167" s="330">
        <f t="shared" si="38"/>
        <v>0</v>
      </c>
      <c r="AI167" s="330">
        <f t="shared" si="38"/>
        <v>0</v>
      </c>
      <c r="AJ167" s="330">
        <f t="shared" si="38"/>
        <v>0</v>
      </c>
      <c r="AK167" s="330">
        <f t="shared" si="37"/>
        <v>0</v>
      </c>
      <c r="AL167" s="330">
        <f t="shared" si="37"/>
        <v>0</v>
      </c>
      <c r="AM167" s="330">
        <f t="shared" si="37"/>
        <v>0</v>
      </c>
      <c r="AN167" s="330">
        <f t="shared" si="37"/>
        <v>0</v>
      </c>
      <c r="AO167" s="330">
        <f t="shared" si="37"/>
        <v>0</v>
      </c>
      <c r="AP167" s="330">
        <f t="shared" si="37"/>
        <v>0</v>
      </c>
      <c r="AQ167" s="330">
        <f t="shared" si="37"/>
        <v>0</v>
      </c>
      <c r="AR167" s="330">
        <f t="shared" si="37"/>
        <v>0</v>
      </c>
      <c r="AS167" s="330">
        <f t="shared" si="37"/>
        <v>0</v>
      </c>
      <c r="AT167" s="330">
        <f t="shared" si="37"/>
        <v>0</v>
      </c>
      <c r="AU167" s="330">
        <f t="shared" si="37"/>
        <v>0</v>
      </c>
      <c r="AV167" s="330">
        <f t="shared" si="37"/>
        <v>0</v>
      </c>
      <c r="AW167" s="330">
        <f t="shared" si="37"/>
        <v>0</v>
      </c>
      <c r="AX167" s="330">
        <f t="shared" si="37"/>
        <v>0</v>
      </c>
      <c r="AY167" s="330">
        <f t="shared" si="37"/>
        <v>0</v>
      </c>
      <c r="AZ167" s="330">
        <f t="shared" si="37"/>
        <v>0</v>
      </c>
      <c r="BA167" s="330">
        <f t="shared" si="37"/>
        <v>0</v>
      </c>
      <c r="BB167" s="330">
        <f t="shared" si="37"/>
        <v>0</v>
      </c>
      <c r="BC167" s="330">
        <f t="shared" si="37"/>
        <v>0</v>
      </c>
      <c r="BD167" s="330">
        <f t="shared" si="37"/>
        <v>0</v>
      </c>
      <c r="BE167" s="330">
        <f t="shared" si="37"/>
        <v>0</v>
      </c>
      <c r="BF167" s="330">
        <f t="shared" si="37"/>
        <v>0</v>
      </c>
      <c r="BG167" s="330">
        <f t="shared" si="37"/>
        <v>0</v>
      </c>
      <c r="BH167" s="330">
        <f t="shared" si="37"/>
        <v>0</v>
      </c>
      <c r="BI167" s="330">
        <f t="shared" si="37"/>
        <v>0</v>
      </c>
      <c r="BJ167" s="330">
        <f t="shared" si="37"/>
        <v>0</v>
      </c>
      <c r="BK167" s="330">
        <f t="shared" si="37"/>
        <v>0</v>
      </c>
      <c r="BL167" s="330">
        <f t="shared" si="37"/>
        <v>0</v>
      </c>
    </row>
    <row r="168" spans="2:64" s="337" customFormat="1" x14ac:dyDescent="0.15">
      <c r="C168" s="257" t="s">
        <v>508</v>
      </c>
      <c r="E168" s="330">
        <f t="shared" si="38"/>
        <v>0</v>
      </c>
      <c r="F168" s="330">
        <f t="shared" si="38"/>
        <v>0</v>
      </c>
      <c r="G168" s="330">
        <f t="shared" si="38"/>
        <v>0</v>
      </c>
      <c r="H168" s="330">
        <f t="shared" si="38"/>
        <v>0</v>
      </c>
      <c r="I168" s="330">
        <f t="shared" si="38"/>
        <v>0</v>
      </c>
      <c r="J168" s="330">
        <f t="shared" si="38"/>
        <v>3.9263642446600008E-2</v>
      </c>
      <c r="K168" s="330">
        <f t="shared" si="38"/>
        <v>0</v>
      </c>
      <c r="L168" s="330">
        <f t="shared" si="38"/>
        <v>0</v>
      </c>
      <c r="M168" s="330">
        <f t="shared" si="38"/>
        <v>0</v>
      </c>
      <c r="N168" s="330">
        <f t="shared" si="38"/>
        <v>0</v>
      </c>
      <c r="O168" s="330">
        <f t="shared" si="38"/>
        <v>0</v>
      </c>
      <c r="P168" s="330">
        <f t="shared" si="38"/>
        <v>0</v>
      </c>
      <c r="Q168" s="330">
        <f t="shared" si="38"/>
        <v>0</v>
      </c>
      <c r="R168" s="330">
        <f t="shared" si="38"/>
        <v>0</v>
      </c>
      <c r="S168" s="330">
        <f t="shared" si="38"/>
        <v>0</v>
      </c>
      <c r="T168" s="330">
        <f t="shared" si="38"/>
        <v>0</v>
      </c>
      <c r="U168" s="330">
        <f t="shared" si="38"/>
        <v>0</v>
      </c>
      <c r="V168" s="330">
        <f t="shared" si="38"/>
        <v>0</v>
      </c>
      <c r="W168" s="330">
        <f t="shared" si="38"/>
        <v>0</v>
      </c>
      <c r="X168" s="330">
        <f t="shared" si="38"/>
        <v>0</v>
      </c>
      <c r="Y168" s="330">
        <f t="shared" si="38"/>
        <v>0</v>
      </c>
      <c r="Z168" s="330">
        <f t="shared" si="38"/>
        <v>0</v>
      </c>
      <c r="AA168" s="330">
        <f t="shared" si="38"/>
        <v>0</v>
      </c>
      <c r="AB168" s="330">
        <f t="shared" si="38"/>
        <v>0</v>
      </c>
      <c r="AC168" s="330">
        <f t="shared" si="38"/>
        <v>0</v>
      </c>
      <c r="AD168" s="330">
        <f t="shared" si="38"/>
        <v>0</v>
      </c>
      <c r="AE168" s="330">
        <f t="shared" si="38"/>
        <v>0</v>
      </c>
      <c r="AF168" s="330">
        <f t="shared" si="38"/>
        <v>0</v>
      </c>
      <c r="AG168" s="330">
        <f t="shared" si="38"/>
        <v>0</v>
      </c>
      <c r="AH168" s="330">
        <f t="shared" si="38"/>
        <v>0</v>
      </c>
      <c r="AI168" s="330">
        <f t="shared" si="38"/>
        <v>0</v>
      </c>
      <c r="AJ168" s="330">
        <f t="shared" si="38"/>
        <v>0</v>
      </c>
      <c r="AK168" s="330">
        <f t="shared" si="37"/>
        <v>0</v>
      </c>
      <c r="AL168" s="330">
        <f t="shared" si="37"/>
        <v>0</v>
      </c>
      <c r="AM168" s="330">
        <f t="shared" si="37"/>
        <v>0</v>
      </c>
      <c r="AN168" s="330">
        <f t="shared" si="37"/>
        <v>0</v>
      </c>
      <c r="AO168" s="330">
        <f t="shared" si="37"/>
        <v>0</v>
      </c>
      <c r="AP168" s="330">
        <f t="shared" si="37"/>
        <v>0</v>
      </c>
      <c r="AQ168" s="330">
        <f t="shared" si="37"/>
        <v>0</v>
      </c>
      <c r="AR168" s="330">
        <f t="shared" si="37"/>
        <v>0</v>
      </c>
      <c r="AS168" s="330">
        <f t="shared" si="37"/>
        <v>0</v>
      </c>
      <c r="AT168" s="330">
        <f t="shared" si="37"/>
        <v>0</v>
      </c>
      <c r="AU168" s="330">
        <f t="shared" si="37"/>
        <v>0</v>
      </c>
      <c r="AV168" s="330">
        <f t="shared" si="37"/>
        <v>0</v>
      </c>
      <c r="AW168" s="330">
        <f t="shared" si="37"/>
        <v>0</v>
      </c>
      <c r="AX168" s="330">
        <f t="shared" si="37"/>
        <v>0</v>
      </c>
      <c r="AY168" s="330">
        <f t="shared" si="37"/>
        <v>0</v>
      </c>
      <c r="AZ168" s="330">
        <f t="shared" si="37"/>
        <v>0</v>
      </c>
      <c r="BA168" s="330">
        <f t="shared" si="37"/>
        <v>0</v>
      </c>
      <c r="BB168" s="330">
        <f t="shared" si="37"/>
        <v>0</v>
      </c>
      <c r="BC168" s="330">
        <f t="shared" si="37"/>
        <v>0</v>
      </c>
      <c r="BD168" s="330">
        <f t="shared" si="37"/>
        <v>0</v>
      </c>
      <c r="BE168" s="330">
        <f t="shared" si="37"/>
        <v>0</v>
      </c>
      <c r="BF168" s="330">
        <f t="shared" si="37"/>
        <v>0</v>
      </c>
      <c r="BG168" s="330">
        <f t="shared" si="37"/>
        <v>0</v>
      </c>
      <c r="BH168" s="330">
        <f t="shared" si="37"/>
        <v>0</v>
      </c>
      <c r="BI168" s="330">
        <f t="shared" si="37"/>
        <v>0</v>
      </c>
      <c r="BJ168" s="330">
        <f t="shared" si="37"/>
        <v>0</v>
      </c>
      <c r="BK168" s="330">
        <f t="shared" si="37"/>
        <v>0</v>
      </c>
      <c r="BL168" s="330">
        <f t="shared" si="37"/>
        <v>0</v>
      </c>
    </row>
    <row r="169" spans="2:64" s="337" customFormat="1" x14ac:dyDescent="0.15">
      <c r="C169" s="257" t="s">
        <v>510</v>
      </c>
      <c r="E169" s="330">
        <f t="shared" si="38"/>
        <v>0</v>
      </c>
      <c r="F169" s="330">
        <f t="shared" si="38"/>
        <v>0</v>
      </c>
      <c r="G169" s="330">
        <f t="shared" si="38"/>
        <v>0</v>
      </c>
      <c r="H169" s="330">
        <f t="shared" si="38"/>
        <v>0</v>
      </c>
      <c r="I169" s="330">
        <f t="shared" si="38"/>
        <v>0</v>
      </c>
      <c r="J169" s="330">
        <f t="shared" si="38"/>
        <v>0</v>
      </c>
      <c r="K169" s="330">
        <f t="shared" si="38"/>
        <v>9.5262111582247261E-2</v>
      </c>
      <c r="L169" s="330">
        <f t="shared" si="38"/>
        <v>0</v>
      </c>
      <c r="M169" s="330">
        <f t="shared" si="38"/>
        <v>0</v>
      </c>
      <c r="N169" s="330">
        <f t="shared" si="38"/>
        <v>0</v>
      </c>
      <c r="O169" s="330">
        <f t="shared" si="38"/>
        <v>0</v>
      </c>
      <c r="P169" s="330">
        <f t="shared" si="38"/>
        <v>0</v>
      </c>
      <c r="Q169" s="330">
        <f t="shared" si="38"/>
        <v>0</v>
      </c>
      <c r="R169" s="330">
        <f t="shared" si="38"/>
        <v>0</v>
      </c>
      <c r="S169" s="330">
        <f t="shared" si="38"/>
        <v>0</v>
      </c>
      <c r="T169" s="330">
        <f t="shared" si="38"/>
        <v>0</v>
      </c>
      <c r="U169" s="330">
        <f t="shared" si="38"/>
        <v>0</v>
      </c>
      <c r="V169" s="330">
        <f t="shared" si="38"/>
        <v>0</v>
      </c>
      <c r="W169" s="330">
        <f t="shared" si="38"/>
        <v>0</v>
      </c>
      <c r="X169" s="330">
        <f t="shared" si="38"/>
        <v>0</v>
      </c>
      <c r="Y169" s="330">
        <f t="shared" si="38"/>
        <v>0</v>
      </c>
      <c r="Z169" s="330">
        <f t="shared" si="38"/>
        <v>0</v>
      </c>
      <c r="AA169" s="330">
        <f t="shared" si="38"/>
        <v>0</v>
      </c>
      <c r="AB169" s="330">
        <f t="shared" si="38"/>
        <v>0</v>
      </c>
      <c r="AC169" s="330">
        <f t="shared" si="38"/>
        <v>0</v>
      </c>
      <c r="AD169" s="330">
        <f t="shared" si="38"/>
        <v>0</v>
      </c>
      <c r="AE169" s="330">
        <f t="shared" si="38"/>
        <v>0</v>
      </c>
      <c r="AF169" s="330">
        <f t="shared" si="38"/>
        <v>0</v>
      </c>
      <c r="AG169" s="330">
        <f t="shared" si="38"/>
        <v>0</v>
      </c>
      <c r="AH169" s="330">
        <f t="shared" si="38"/>
        <v>0</v>
      </c>
      <c r="AI169" s="330">
        <f t="shared" si="38"/>
        <v>0</v>
      </c>
      <c r="AJ169" s="330">
        <f t="shared" si="38"/>
        <v>0</v>
      </c>
      <c r="AK169" s="330">
        <f t="shared" si="37"/>
        <v>0</v>
      </c>
      <c r="AL169" s="330">
        <f t="shared" si="37"/>
        <v>0</v>
      </c>
      <c r="AM169" s="330">
        <f t="shared" si="37"/>
        <v>0</v>
      </c>
      <c r="AN169" s="330">
        <f t="shared" si="37"/>
        <v>0</v>
      </c>
      <c r="AO169" s="330">
        <f t="shared" si="37"/>
        <v>0</v>
      </c>
      <c r="AP169" s="330">
        <f t="shared" si="37"/>
        <v>0</v>
      </c>
      <c r="AQ169" s="330">
        <f t="shared" si="37"/>
        <v>0</v>
      </c>
      <c r="AR169" s="330">
        <f t="shared" si="37"/>
        <v>0</v>
      </c>
      <c r="AS169" s="330">
        <f t="shared" si="37"/>
        <v>0</v>
      </c>
      <c r="AT169" s="330">
        <f t="shared" si="37"/>
        <v>0</v>
      </c>
      <c r="AU169" s="330">
        <f t="shared" si="37"/>
        <v>0</v>
      </c>
      <c r="AV169" s="330">
        <f t="shared" si="37"/>
        <v>0</v>
      </c>
      <c r="AW169" s="330">
        <f t="shared" si="37"/>
        <v>0</v>
      </c>
      <c r="AX169" s="330">
        <f t="shared" si="37"/>
        <v>0</v>
      </c>
      <c r="AY169" s="330">
        <f t="shared" si="37"/>
        <v>0</v>
      </c>
      <c r="AZ169" s="330">
        <f t="shared" si="37"/>
        <v>0</v>
      </c>
      <c r="BA169" s="330">
        <f t="shared" si="37"/>
        <v>0</v>
      </c>
      <c r="BB169" s="330">
        <f t="shared" si="37"/>
        <v>0</v>
      </c>
      <c r="BC169" s="330">
        <f t="shared" si="37"/>
        <v>0</v>
      </c>
      <c r="BD169" s="330">
        <f t="shared" si="37"/>
        <v>0</v>
      </c>
      <c r="BE169" s="330">
        <f t="shared" si="37"/>
        <v>0</v>
      </c>
      <c r="BF169" s="330">
        <f t="shared" si="37"/>
        <v>0</v>
      </c>
      <c r="BG169" s="330">
        <f t="shared" si="37"/>
        <v>0</v>
      </c>
      <c r="BH169" s="330">
        <f t="shared" si="37"/>
        <v>0</v>
      </c>
      <c r="BI169" s="330">
        <f t="shared" si="37"/>
        <v>0</v>
      </c>
      <c r="BJ169" s="330">
        <f t="shared" si="37"/>
        <v>0</v>
      </c>
      <c r="BK169" s="330">
        <f t="shared" si="37"/>
        <v>0</v>
      </c>
      <c r="BL169" s="330">
        <f t="shared" si="37"/>
        <v>0</v>
      </c>
    </row>
    <row r="170" spans="2:64" s="337" customFormat="1" x14ac:dyDescent="0.15">
      <c r="C170" s="257" t="s">
        <v>511</v>
      </c>
      <c r="E170" s="330">
        <f t="shared" si="38"/>
        <v>0</v>
      </c>
      <c r="F170" s="330">
        <f t="shared" si="38"/>
        <v>0</v>
      </c>
      <c r="G170" s="330">
        <f t="shared" si="38"/>
        <v>0</v>
      </c>
      <c r="H170" s="330">
        <f t="shared" si="38"/>
        <v>0</v>
      </c>
      <c r="I170" s="330">
        <f t="shared" si="38"/>
        <v>0</v>
      </c>
      <c r="J170" s="330">
        <f t="shared" si="38"/>
        <v>0</v>
      </c>
      <c r="K170" s="330">
        <f t="shared" si="38"/>
        <v>0</v>
      </c>
      <c r="L170" s="330">
        <f t="shared" si="38"/>
        <v>0</v>
      </c>
      <c r="M170" s="330">
        <f t="shared" si="38"/>
        <v>0</v>
      </c>
      <c r="N170" s="330">
        <f t="shared" si="38"/>
        <v>0</v>
      </c>
      <c r="O170" s="330">
        <f t="shared" si="38"/>
        <v>0</v>
      </c>
      <c r="P170" s="330">
        <f t="shared" si="38"/>
        <v>0</v>
      </c>
      <c r="Q170" s="330">
        <f t="shared" si="38"/>
        <v>0</v>
      </c>
      <c r="R170" s="330">
        <f t="shared" si="38"/>
        <v>0</v>
      </c>
      <c r="S170" s="330">
        <f t="shared" si="38"/>
        <v>0</v>
      </c>
      <c r="T170" s="330">
        <f t="shared" si="38"/>
        <v>0</v>
      </c>
      <c r="U170" s="330">
        <f t="shared" si="38"/>
        <v>0</v>
      </c>
      <c r="V170" s="330">
        <f t="shared" si="38"/>
        <v>0</v>
      </c>
      <c r="W170" s="330">
        <f t="shared" si="38"/>
        <v>0</v>
      </c>
      <c r="X170" s="330">
        <f t="shared" si="38"/>
        <v>0</v>
      </c>
      <c r="Y170" s="330">
        <f t="shared" si="38"/>
        <v>0</v>
      </c>
      <c r="Z170" s="330">
        <f t="shared" si="38"/>
        <v>0</v>
      </c>
      <c r="AA170" s="330">
        <f t="shared" si="38"/>
        <v>0</v>
      </c>
      <c r="AB170" s="330">
        <f t="shared" si="38"/>
        <v>0</v>
      </c>
      <c r="AC170" s="330">
        <f t="shared" si="38"/>
        <v>0</v>
      </c>
      <c r="AD170" s="330">
        <f t="shared" si="38"/>
        <v>0</v>
      </c>
      <c r="AE170" s="330">
        <f t="shared" si="38"/>
        <v>0</v>
      </c>
      <c r="AF170" s="330">
        <f t="shared" si="38"/>
        <v>0</v>
      </c>
      <c r="AG170" s="330">
        <f t="shared" si="38"/>
        <v>0</v>
      </c>
      <c r="AH170" s="330">
        <f t="shared" si="38"/>
        <v>0</v>
      </c>
      <c r="AI170" s="330">
        <f t="shared" si="38"/>
        <v>0</v>
      </c>
      <c r="AJ170" s="330">
        <f t="shared" si="38"/>
        <v>0</v>
      </c>
      <c r="AK170" s="330">
        <f t="shared" si="37"/>
        <v>0</v>
      </c>
      <c r="AL170" s="330">
        <f t="shared" si="37"/>
        <v>0</v>
      </c>
      <c r="AM170" s="330">
        <f t="shared" si="37"/>
        <v>0</v>
      </c>
      <c r="AN170" s="330">
        <f t="shared" si="37"/>
        <v>0</v>
      </c>
      <c r="AO170" s="330">
        <f t="shared" si="37"/>
        <v>0</v>
      </c>
      <c r="AP170" s="330">
        <f t="shared" si="37"/>
        <v>0</v>
      </c>
      <c r="AQ170" s="330">
        <f t="shared" si="37"/>
        <v>0</v>
      </c>
      <c r="AR170" s="330">
        <f t="shared" si="37"/>
        <v>0</v>
      </c>
      <c r="AS170" s="330">
        <f t="shared" si="37"/>
        <v>0</v>
      </c>
      <c r="AT170" s="330">
        <f t="shared" si="37"/>
        <v>0</v>
      </c>
      <c r="AU170" s="330">
        <f t="shared" si="37"/>
        <v>0</v>
      </c>
      <c r="AV170" s="330">
        <f t="shared" si="37"/>
        <v>0</v>
      </c>
      <c r="AW170" s="330">
        <f t="shared" si="37"/>
        <v>0</v>
      </c>
      <c r="AX170" s="330">
        <f t="shared" si="37"/>
        <v>0</v>
      </c>
      <c r="AY170" s="330">
        <f t="shared" si="37"/>
        <v>0</v>
      </c>
      <c r="AZ170" s="330">
        <f t="shared" si="37"/>
        <v>0</v>
      </c>
      <c r="BA170" s="330">
        <f t="shared" si="37"/>
        <v>0</v>
      </c>
      <c r="BB170" s="330">
        <f t="shared" si="37"/>
        <v>0</v>
      </c>
      <c r="BC170" s="330">
        <f t="shared" si="37"/>
        <v>0</v>
      </c>
      <c r="BD170" s="330">
        <f t="shared" si="37"/>
        <v>0</v>
      </c>
      <c r="BE170" s="330">
        <f t="shared" si="37"/>
        <v>0</v>
      </c>
      <c r="BF170" s="330">
        <f t="shared" si="37"/>
        <v>0</v>
      </c>
      <c r="BG170" s="330">
        <f t="shared" si="37"/>
        <v>0</v>
      </c>
      <c r="BH170" s="330">
        <f t="shared" si="37"/>
        <v>0</v>
      </c>
      <c r="BI170" s="330">
        <f t="shared" si="37"/>
        <v>0</v>
      </c>
      <c r="BJ170" s="330">
        <f t="shared" si="37"/>
        <v>0</v>
      </c>
      <c r="BK170" s="330">
        <f t="shared" si="37"/>
        <v>0</v>
      </c>
      <c r="BL170" s="330">
        <f t="shared" si="37"/>
        <v>0</v>
      </c>
    </row>
    <row r="171" spans="2:64" s="337" customFormat="1" x14ac:dyDescent="0.15">
      <c r="C171" s="257" t="s">
        <v>544</v>
      </c>
      <c r="E171" s="330">
        <f t="shared" ref="E171:BL171" si="39">IF(E5&gt;$D$7,0,D171+D170)</f>
        <v>0</v>
      </c>
      <c r="F171" s="330">
        <f t="shared" si="39"/>
        <v>0</v>
      </c>
      <c r="G171" s="330">
        <f t="shared" si="39"/>
        <v>0</v>
      </c>
      <c r="H171" s="330">
        <f t="shared" si="39"/>
        <v>0</v>
      </c>
      <c r="I171" s="330">
        <f t="shared" si="39"/>
        <v>0</v>
      </c>
      <c r="J171" s="330">
        <f t="shared" si="39"/>
        <v>0</v>
      </c>
      <c r="K171" s="330">
        <f t="shared" si="39"/>
        <v>0</v>
      </c>
      <c r="L171" s="330">
        <f t="shared" si="39"/>
        <v>0</v>
      </c>
      <c r="M171" s="330">
        <f t="shared" si="39"/>
        <v>0</v>
      </c>
      <c r="N171" s="330">
        <f t="shared" si="39"/>
        <v>0</v>
      </c>
      <c r="O171" s="330">
        <f t="shared" si="39"/>
        <v>0</v>
      </c>
      <c r="P171" s="330">
        <f t="shared" si="39"/>
        <v>0</v>
      </c>
      <c r="Q171" s="330">
        <f t="shared" si="39"/>
        <v>0</v>
      </c>
      <c r="R171" s="330">
        <f t="shared" si="39"/>
        <v>0</v>
      </c>
      <c r="S171" s="330">
        <f t="shared" si="39"/>
        <v>0</v>
      </c>
      <c r="T171" s="330">
        <f t="shared" si="39"/>
        <v>0</v>
      </c>
      <c r="U171" s="330">
        <f t="shared" si="39"/>
        <v>0</v>
      </c>
      <c r="V171" s="330">
        <f t="shared" si="39"/>
        <v>0</v>
      </c>
      <c r="W171" s="330">
        <f t="shared" si="39"/>
        <v>0</v>
      </c>
      <c r="X171" s="330">
        <f t="shared" si="39"/>
        <v>0</v>
      </c>
      <c r="Y171" s="330">
        <f t="shared" si="39"/>
        <v>0</v>
      </c>
      <c r="Z171" s="330">
        <f t="shared" si="39"/>
        <v>0</v>
      </c>
      <c r="AA171" s="330">
        <f t="shared" si="39"/>
        <v>0</v>
      </c>
      <c r="AB171" s="330">
        <f t="shared" si="39"/>
        <v>0</v>
      </c>
      <c r="AC171" s="330">
        <f t="shared" si="39"/>
        <v>0</v>
      </c>
      <c r="AD171" s="330">
        <f t="shared" si="39"/>
        <v>0</v>
      </c>
      <c r="AE171" s="330">
        <f t="shared" si="39"/>
        <v>0</v>
      </c>
      <c r="AF171" s="330">
        <f t="shared" si="39"/>
        <v>0</v>
      </c>
      <c r="AG171" s="330">
        <f t="shared" si="39"/>
        <v>0</v>
      </c>
      <c r="AH171" s="330">
        <f t="shared" si="39"/>
        <v>0</v>
      </c>
      <c r="AI171" s="330">
        <f t="shared" si="39"/>
        <v>0</v>
      </c>
      <c r="AJ171" s="330">
        <f t="shared" si="39"/>
        <v>0</v>
      </c>
      <c r="AK171" s="330">
        <f t="shared" si="39"/>
        <v>0</v>
      </c>
      <c r="AL171" s="330">
        <f t="shared" si="39"/>
        <v>0</v>
      </c>
      <c r="AM171" s="330">
        <f t="shared" si="39"/>
        <v>0</v>
      </c>
      <c r="AN171" s="330">
        <f t="shared" si="39"/>
        <v>0</v>
      </c>
      <c r="AO171" s="330">
        <f t="shared" si="39"/>
        <v>0</v>
      </c>
      <c r="AP171" s="330">
        <f t="shared" si="39"/>
        <v>0</v>
      </c>
      <c r="AQ171" s="330">
        <f t="shared" si="39"/>
        <v>0</v>
      </c>
      <c r="AR171" s="330">
        <f t="shared" si="39"/>
        <v>0</v>
      </c>
      <c r="AS171" s="330">
        <f t="shared" si="39"/>
        <v>0</v>
      </c>
      <c r="AT171" s="330">
        <f t="shared" si="39"/>
        <v>0</v>
      </c>
      <c r="AU171" s="330">
        <f t="shared" si="39"/>
        <v>0</v>
      </c>
      <c r="AV171" s="330">
        <f t="shared" si="39"/>
        <v>0</v>
      </c>
      <c r="AW171" s="330">
        <f t="shared" si="39"/>
        <v>0</v>
      </c>
      <c r="AX171" s="330">
        <f t="shared" si="39"/>
        <v>0</v>
      </c>
      <c r="AY171" s="330">
        <f t="shared" si="39"/>
        <v>0</v>
      </c>
      <c r="AZ171" s="330">
        <f t="shared" si="39"/>
        <v>0</v>
      </c>
      <c r="BA171" s="330">
        <f t="shared" si="39"/>
        <v>0</v>
      </c>
      <c r="BB171" s="330">
        <f t="shared" si="39"/>
        <v>0</v>
      </c>
      <c r="BC171" s="330">
        <f t="shared" si="39"/>
        <v>0</v>
      </c>
      <c r="BD171" s="330">
        <f t="shared" si="39"/>
        <v>0</v>
      </c>
      <c r="BE171" s="330">
        <f t="shared" si="39"/>
        <v>0</v>
      </c>
      <c r="BF171" s="330">
        <f t="shared" si="39"/>
        <v>0</v>
      </c>
      <c r="BG171" s="330">
        <f t="shared" si="39"/>
        <v>0</v>
      </c>
      <c r="BH171" s="330">
        <f t="shared" si="39"/>
        <v>0</v>
      </c>
      <c r="BI171" s="330">
        <f t="shared" si="39"/>
        <v>0</v>
      </c>
      <c r="BJ171" s="330">
        <f t="shared" si="39"/>
        <v>0</v>
      </c>
      <c r="BK171" s="330">
        <f t="shared" si="39"/>
        <v>0</v>
      </c>
      <c r="BL171" s="330">
        <f t="shared" si="39"/>
        <v>0</v>
      </c>
    </row>
    <row r="172" spans="2:64" x14ac:dyDescent="0.15">
      <c r="C172" s="257" t="s">
        <v>540</v>
      </c>
      <c r="E172" s="335">
        <f>IF(E$5&gt;$D$7,0,IF(E$5=$D$7,E42,SUM(E162:E171)))</f>
        <v>1.5044968926096343E-2</v>
      </c>
      <c r="F172" s="335">
        <f t="shared" ref="F172:BL172" si="40">IF(F$5&gt;$D$7,0,IF(F$5=$D$7,F42,SUM(F162:F171)))</f>
        <v>1.1960750296246592E-2</v>
      </c>
      <c r="G172" s="335">
        <f t="shared" si="40"/>
        <v>1.1378028317796244E-2</v>
      </c>
      <c r="H172" s="335">
        <f t="shared" si="40"/>
        <v>4.0083563582701778E-2</v>
      </c>
      <c r="I172" s="335">
        <f t="shared" si="40"/>
        <v>3.9660244895555564E-2</v>
      </c>
      <c r="J172" s="335">
        <f t="shared" si="40"/>
        <v>3.9263642446600008E-2</v>
      </c>
      <c r="K172" s="335">
        <f t="shared" si="40"/>
        <v>0.18770859425073352</v>
      </c>
      <c r="L172" s="335">
        <f t="shared" si="40"/>
        <v>0</v>
      </c>
      <c r="M172" s="335">
        <f t="shared" si="40"/>
        <v>0</v>
      </c>
      <c r="N172" s="335">
        <f t="shared" si="40"/>
        <v>0</v>
      </c>
      <c r="O172" s="335">
        <f t="shared" si="40"/>
        <v>0</v>
      </c>
      <c r="P172" s="335">
        <f t="shared" si="40"/>
        <v>0</v>
      </c>
      <c r="Q172" s="335">
        <f t="shared" si="40"/>
        <v>0</v>
      </c>
      <c r="R172" s="335">
        <f t="shared" si="40"/>
        <v>0</v>
      </c>
      <c r="S172" s="335">
        <f t="shared" si="40"/>
        <v>0</v>
      </c>
      <c r="T172" s="335">
        <f t="shared" si="40"/>
        <v>0</v>
      </c>
      <c r="U172" s="335">
        <f t="shared" si="40"/>
        <v>0</v>
      </c>
      <c r="V172" s="335">
        <f t="shared" si="40"/>
        <v>0</v>
      </c>
      <c r="W172" s="335">
        <f t="shared" si="40"/>
        <v>0</v>
      </c>
      <c r="X172" s="335">
        <f t="shared" si="40"/>
        <v>0</v>
      </c>
      <c r="Y172" s="335">
        <f t="shared" si="40"/>
        <v>0</v>
      </c>
      <c r="Z172" s="335">
        <f t="shared" si="40"/>
        <v>0</v>
      </c>
      <c r="AA172" s="335">
        <f t="shared" si="40"/>
        <v>0</v>
      </c>
      <c r="AB172" s="335">
        <f t="shared" si="40"/>
        <v>0</v>
      </c>
      <c r="AC172" s="335">
        <f t="shared" si="40"/>
        <v>0</v>
      </c>
      <c r="AD172" s="335">
        <f t="shared" si="40"/>
        <v>0</v>
      </c>
      <c r="AE172" s="335">
        <f t="shared" si="40"/>
        <v>0</v>
      </c>
      <c r="AF172" s="335">
        <f t="shared" si="40"/>
        <v>0</v>
      </c>
      <c r="AG172" s="335">
        <f t="shared" si="40"/>
        <v>0</v>
      </c>
      <c r="AH172" s="335">
        <f t="shared" si="40"/>
        <v>0</v>
      </c>
      <c r="AI172" s="335">
        <f t="shared" si="40"/>
        <v>0</v>
      </c>
      <c r="AJ172" s="335">
        <f t="shared" si="40"/>
        <v>0</v>
      </c>
      <c r="AK172" s="335">
        <f t="shared" si="40"/>
        <v>0</v>
      </c>
      <c r="AL172" s="335">
        <f t="shared" si="40"/>
        <v>0</v>
      </c>
      <c r="AM172" s="335">
        <f t="shared" si="40"/>
        <v>0</v>
      </c>
      <c r="AN172" s="335">
        <f t="shared" si="40"/>
        <v>0</v>
      </c>
      <c r="AO172" s="335">
        <f t="shared" si="40"/>
        <v>0</v>
      </c>
      <c r="AP172" s="335">
        <f t="shared" si="40"/>
        <v>0</v>
      </c>
      <c r="AQ172" s="335">
        <f t="shared" si="40"/>
        <v>0</v>
      </c>
      <c r="AR172" s="335">
        <f t="shared" si="40"/>
        <v>0</v>
      </c>
      <c r="AS172" s="335">
        <f t="shared" si="40"/>
        <v>0</v>
      </c>
      <c r="AT172" s="335">
        <f t="shared" si="40"/>
        <v>0</v>
      </c>
      <c r="AU172" s="335">
        <f t="shared" si="40"/>
        <v>0</v>
      </c>
      <c r="AV172" s="335">
        <f t="shared" si="40"/>
        <v>0</v>
      </c>
      <c r="AW172" s="335">
        <f t="shared" si="40"/>
        <v>0</v>
      </c>
      <c r="AX172" s="335">
        <f t="shared" si="40"/>
        <v>0</v>
      </c>
      <c r="AY172" s="335">
        <f t="shared" si="40"/>
        <v>0</v>
      </c>
      <c r="AZ172" s="335">
        <f t="shared" si="40"/>
        <v>0</v>
      </c>
      <c r="BA172" s="335">
        <f t="shared" si="40"/>
        <v>0</v>
      </c>
      <c r="BB172" s="335">
        <f t="shared" si="40"/>
        <v>0</v>
      </c>
      <c r="BC172" s="335">
        <f t="shared" si="40"/>
        <v>0</v>
      </c>
      <c r="BD172" s="335">
        <f t="shared" si="40"/>
        <v>0</v>
      </c>
      <c r="BE172" s="335">
        <f t="shared" si="40"/>
        <v>0</v>
      </c>
      <c r="BF172" s="335">
        <f t="shared" si="40"/>
        <v>0</v>
      </c>
      <c r="BG172" s="335">
        <f t="shared" si="40"/>
        <v>0</v>
      </c>
      <c r="BH172" s="335">
        <f t="shared" si="40"/>
        <v>0</v>
      </c>
      <c r="BI172" s="335">
        <f t="shared" si="40"/>
        <v>0</v>
      </c>
      <c r="BJ172" s="335">
        <f t="shared" si="40"/>
        <v>0</v>
      </c>
      <c r="BK172" s="335">
        <f t="shared" si="40"/>
        <v>0</v>
      </c>
      <c r="BL172" s="335">
        <f t="shared" si="40"/>
        <v>0</v>
      </c>
    </row>
    <row r="173" spans="2:64" x14ac:dyDescent="0.15">
      <c r="C173" s="337" t="s">
        <v>539</v>
      </c>
      <c r="D173" s="422"/>
      <c r="E173" s="422">
        <f t="shared" ref="E173:BL173" si="41">-IF(E$5&gt;$D$7,0,E172-D172)</f>
        <v>-1.5044968926096343E-2</v>
      </c>
      <c r="F173" s="422">
        <f t="shared" si="41"/>
        <v>3.0842186298497502E-3</v>
      </c>
      <c r="G173" s="422">
        <f t="shared" si="41"/>
        <v>5.8272197845034811E-4</v>
      </c>
      <c r="H173" s="422">
        <f t="shared" si="41"/>
        <v>-2.8705535264905532E-2</v>
      </c>
      <c r="I173" s="422">
        <f t="shared" si="41"/>
        <v>4.2331868714621385E-4</v>
      </c>
      <c r="J173" s="422">
        <f t="shared" si="41"/>
        <v>3.9660244895555613E-4</v>
      </c>
      <c r="K173" s="422">
        <f t="shared" si="41"/>
        <v>-0.14844495180413353</v>
      </c>
      <c r="L173" s="422">
        <f t="shared" si="41"/>
        <v>0</v>
      </c>
      <c r="M173" s="422">
        <f t="shared" si="41"/>
        <v>0</v>
      </c>
      <c r="N173" s="422">
        <f t="shared" si="41"/>
        <v>0</v>
      </c>
      <c r="O173" s="422">
        <f t="shared" si="41"/>
        <v>0</v>
      </c>
      <c r="P173" s="422">
        <f t="shared" si="41"/>
        <v>0</v>
      </c>
      <c r="Q173" s="422">
        <f t="shared" si="41"/>
        <v>0</v>
      </c>
      <c r="R173" s="422">
        <f t="shared" si="41"/>
        <v>0</v>
      </c>
      <c r="S173" s="422">
        <f t="shared" si="41"/>
        <v>0</v>
      </c>
      <c r="T173" s="422">
        <f t="shared" si="41"/>
        <v>0</v>
      </c>
      <c r="U173" s="422">
        <f t="shared" si="41"/>
        <v>0</v>
      </c>
      <c r="V173" s="422">
        <f t="shared" si="41"/>
        <v>0</v>
      </c>
      <c r="W173" s="422">
        <f t="shared" si="41"/>
        <v>0</v>
      </c>
      <c r="X173" s="422">
        <f t="shared" si="41"/>
        <v>0</v>
      </c>
      <c r="Y173" s="422">
        <f t="shared" si="41"/>
        <v>0</v>
      </c>
      <c r="Z173" s="422">
        <f t="shared" si="41"/>
        <v>0</v>
      </c>
      <c r="AA173" s="422">
        <f t="shared" si="41"/>
        <v>0</v>
      </c>
      <c r="AB173" s="422">
        <f t="shared" si="41"/>
        <v>0</v>
      </c>
      <c r="AC173" s="422">
        <f t="shared" si="41"/>
        <v>0</v>
      </c>
      <c r="AD173" s="422">
        <f t="shared" si="41"/>
        <v>0</v>
      </c>
      <c r="AE173" s="422">
        <f t="shared" si="41"/>
        <v>0</v>
      </c>
      <c r="AF173" s="422">
        <f t="shared" si="41"/>
        <v>0</v>
      </c>
      <c r="AG173" s="422">
        <f t="shared" si="41"/>
        <v>0</v>
      </c>
      <c r="AH173" s="422">
        <f t="shared" si="41"/>
        <v>0</v>
      </c>
      <c r="AI173" s="422">
        <f t="shared" si="41"/>
        <v>0</v>
      </c>
      <c r="AJ173" s="422">
        <f t="shared" si="41"/>
        <v>0</v>
      </c>
      <c r="AK173" s="422">
        <f t="shared" si="41"/>
        <v>0</v>
      </c>
      <c r="AL173" s="422">
        <f t="shared" si="41"/>
        <v>0</v>
      </c>
      <c r="AM173" s="422">
        <f t="shared" si="41"/>
        <v>0</v>
      </c>
      <c r="AN173" s="422">
        <f t="shared" si="41"/>
        <v>0</v>
      </c>
      <c r="AO173" s="422">
        <f t="shared" si="41"/>
        <v>0</v>
      </c>
      <c r="AP173" s="422">
        <f t="shared" si="41"/>
        <v>0</v>
      </c>
      <c r="AQ173" s="422">
        <f t="shared" si="41"/>
        <v>0</v>
      </c>
      <c r="AR173" s="422">
        <f t="shared" si="41"/>
        <v>0</v>
      </c>
      <c r="AS173" s="422">
        <f t="shared" si="41"/>
        <v>0</v>
      </c>
      <c r="AT173" s="422">
        <f t="shared" si="41"/>
        <v>0</v>
      </c>
      <c r="AU173" s="422">
        <f t="shared" si="41"/>
        <v>0</v>
      </c>
      <c r="AV173" s="422">
        <f t="shared" si="41"/>
        <v>0</v>
      </c>
      <c r="AW173" s="422">
        <f t="shared" si="41"/>
        <v>0</v>
      </c>
      <c r="AX173" s="422">
        <f t="shared" si="41"/>
        <v>0</v>
      </c>
      <c r="AY173" s="422">
        <f t="shared" si="41"/>
        <v>0</v>
      </c>
      <c r="AZ173" s="422">
        <f t="shared" si="41"/>
        <v>0</v>
      </c>
      <c r="BA173" s="422">
        <f t="shared" si="41"/>
        <v>0</v>
      </c>
      <c r="BB173" s="422">
        <f t="shared" si="41"/>
        <v>0</v>
      </c>
      <c r="BC173" s="422">
        <f t="shared" si="41"/>
        <v>0</v>
      </c>
      <c r="BD173" s="422">
        <f t="shared" si="41"/>
        <v>0</v>
      </c>
      <c r="BE173" s="422">
        <f t="shared" si="41"/>
        <v>0</v>
      </c>
      <c r="BF173" s="422">
        <f t="shared" si="41"/>
        <v>0</v>
      </c>
      <c r="BG173" s="422">
        <f t="shared" si="41"/>
        <v>0</v>
      </c>
      <c r="BH173" s="422">
        <f t="shared" si="41"/>
        <v>0</v>
      </c>
      <c r="BI173" s="422">
        <f t="shared" si="41"/>
        <v>0</v>
      </c>
      <c r="BJ173" s="422">
        <f t="shared" si="41"/>
        <v>0</v>
      </c>
      <c r="BK173" s="422">
        <f t="shared" si="41"/>
        <v>0</v>
      </c>
      <c r="BL173" s="422">
        <f t="shared" si="41"/>
        <v>0</v>
      </c>
    </row>
    <row r="175" spans="2:64" x14ac:dyDescent="0.15">
      <c r="B175" s="337" t="s">
        <v>539</v>
      </c>
      <c r="C175" s="337"/>
      <c r="D175" s="330"/>
      <c r="E175" s="422" cm="1">
        <f t="array" ref="E175">_xlfn.IFS(Leadsheet!$G$4="IFRS",SAP_Speadsheet!E138,AND(Leadsheet!$G$4="VAS",Leadsheet!$G$5="DPD360+"),SAP_Speadsheet!E158,AND(Leadsheet!$G$4="VAS",Leadsheet!$G$5="DPD180+"),SAP_Speadsheet!E173)</f>
        <v>-0.17376625862934639</v>
      </c>
      <c r="F175" s="422" cm="1">
        <f t="array" ref="F175">_xlfn.IFS(Leadsheet!$G$4="IFRS",SAP_Speadsheet!F138,AND(Leadsheet!$G$4="VAS",Leadsheet!$G$5="DPD360+"),SAP_Speadsheet!F158,AND(Leadsheet!$G$4="VAS",Leadsheet!$G$5="DPD180+"),SAP_Speadsheet!F173)</f>
        <v>-2.7755575615628914E-17</v>
      </c>
      <c r="G175" s="422" cm="1">
        <f t="array" ref="G175">_xlfn.IFS(Leadsheet!$G$4="IFRS",SAP_Speadsheet!G138,AND(Leadsheet!$G$4="VAS",Leadsheet!$G$5="DPD360+"),SAP_Speadsheet!G158,AND(Leadsheet!$G$4="VAS",Leadsheet!$G$5="DPD180+"),SAP_Speadsheet!G173)</f>
        <v>2.7755575615628914E-17</v>
      </c>
      <c r="H175" s="422" cm="1">
        <f t="array" ref="H175">_xlfn.IFS(Leadsheet!$G$4="IFRS",SAP_Speadsheet!H138,AND(Leadsheet!$G$4="VAS",Leadsheet!$G$5="DPD360+"),SAP_Speadsheet!H158,AND(Leadsheet!$G$4="VAS",Leadsheet!$G$5="DPD180+"),SAP_Speadsheet!H173)</f>
        <v>2.7755575615628914E-17</v>
      </c>
      <c r="I175" s="422" cm="1">
        <f t="array" ref="I175">_xlfn.IFS(Leadsheet!$G$4="IFRS",SAP_Speadsheet!I138,AND(Leadsheet!$G$4="VAS",Leadsheet!$G$5="DPD360+"),SAP_Speadsheet!I158,AND(Leadsheet!$G$4="VAS",Leadsheet!$G$5="DPD180+"),SAP_Speadsheet!I173)</f>
        <v>-2.7755575615628914E-17</v>
      </c>
      <c r="J175" s="422" cm="1">
        <f t="array" ref="J175">_xlfn.IFS(Leadsheet!$G$4="IFRS",SAP_Speadsheet!J138,AND(Leadsheet!$G$4="VAS",Leadsheet!$G$5="DPD360+"),SAP_Speadsheet!J158,AND(Leadsheet!$G$4="VAS",Leadsheet!$G$5="DPD180+"),SAP_Speadsheet!J173)</f>
        <v>0</v>
      </c>
      <c r="K175" s="422" cm="1">
        <f t="array" ref="K175">_xlfn.IFS(Leadsheet!$G$4="IFRS",SAP_Speadsheet!K138,AND(Leadsheet!$G$4="VAS",Leadsheet!$G$5="DPD360+"),SAP_Speadsheet!K158,AND(Leadsheet!$G$4="VAS",Leadsheet!$G$5="DPD180+"),SAP_Speadsheet!K173)</f>
        <v>0</v>
      </c>
      <c r="L175" s="422" cm="1">
        <f t="array" ref="L175">_xlfn.IFS(Leadsheet!$G$4="IFRS",SAP_Speadsheet!L138,AND(Leadsheet!$G$4="VAS",Leadsheet!$G$5="DPD360+"),SAP_Speadsheet!L158,AND(Leadsheet!$G$4="VAS",Leadsheet!$G$5="DPD180+"),SAP_Speadsheet!L173)</f>
        <v>0</v>
      </c>
      <c r="M175" s="422" cm="1">
        <f t="array" ref="M175">_xlfn.IFS(Leadsheet!$G$4="IFRS",SAP_Speadsheet!M138,AND(Leadsheet!$G$4="VAS",Leadsheet!$G$5="DPD360+"),SAP_Speadsheet!M158,AND(Leadsheet!$G$4="VAS",Leadsheet!$G$5="DPD180+"),SAP_Speadsheet!M173)</f>
        <v>0</v>
      </c>
      <c r="N175" s="422" cm="1">
        <f t="array" ref="N175">_xlfn.IFS(Leadsheet!$G$4="IFRS",SAP_Speadsheet!N138,AND(Leadsheet!$G$4="VAS",Leadsheet!$G$5="DPD360+"),SAP_Speadsheet!N158,AND(Leadsheet!$G$4="VAS",Leadsheet!$G$5="DPD180+"),SAP_Speadsheet!N173)</f>
        <v>0</v>
      </c>
      <c r="O175" s="422" cm="1">
        <f t="array" ref="O175">_xlfn.IFS(Leadsheet!$G$4="IFRS",SAP_Speadsheet!O138,AND(Leadsheet!$G$4="VAS",Leadsheet!$G$5="DPD360+"),SAP_Speadsheet!O158,AND(Leadsheet!$G$4="VAS",Leadsheet!$G$5="DPD180+"),SAP_Speadsheet!O173)</f>
        <v>0</v>
      </c>
      <c r="P175" s="422" cm="1">
        <f t="array" ref="P175">_xlfn.IFS(Leadsheet!$G$4="IFRS",SAP_Speadsheet!P138,AND(Leadsheet!$G$4="VAS",Leadsheet!$G$5="DPD360+"),SAP_Speadsheet!P158,AND(Leadsheet!$G$4="VAS",Leadsheet!$G$5="DPD180+"),SAP_Speadsheet!P173)</f>
        <v>0</v>
      </c>
      <c r="Q175" s="422" cm="1">
        <f t="array" ref="Q175">_xlfn.IFS(Leadsheet!$G$4="IFRS",SAP_Speadsheet!Q138,AND(Leadsheet!$G$4="VAS",Leadsheet!$G$5="DPD360+"),SAP_Speadsheet!Q158,AND(Leadsheet!$G$4="VAS",Leadsheet!$G$5="DPD180+"),SAP_Speadsheet!Q173)</f>
        <v>0</v>
      </c>
      <c r="R175" s="422" cm="1">
        <f t="array" ref="R175">_xlfn.IFS(Leadsheet!$G$4="IFRS",SAP_Speadsheet!R138,AND(Leadsheet!$G$4="VAS",Leadsheet!$G$5="DPD360+"),SAP_Speadsheet!R158,AND(Leadsheet!$G$4="VAS",Leadsheet!$G$5="DPD180+"),SAP_Speadsheet!R173)</f>
        <v>0</v>
      </c>
      <c r="S175" s="422" cm="1">
        <f t="array" ref="S175">_xlfn.IFS(Leadsheet!$G$4="IFRS",SAP_Speadsheet!S138,AND(Leadsheet!$G$4="VAS",Leadsheet!$G$5="DPD360+"),SAP_Speadsheet!S158,AND(Leadsheet!$G$4="VAS",Leadsheet!$G$5="DPD180+"),SAP_Speadsheet!S173)</f>
        <v>0</v>
      </c>
      <c r="T175" s="422" cm="1">
        <f t="array" ref="T175">_xlfn.IFS(Leadsheet!$G$4="IFRS",SAP_Speadsheet!T138,AND(Leadsheet!$G$4="VAS",Leadsheet!$G$5="DPD360+"),SAP_Speadsheet!T158,AND(Leadsheet!$G$4="VAS",Leadsheet!$G$5="DPD180+"),SAP_Speadsheet!T173)</f>
        <v>0</v>
      </c>
      <c r="U175" s="422" cm="1">
        <f t="array" ref="U175">_xlfn.IFS(Leadsheet!$G$4="IFRS",SAP_Speadsheet!U138,AND(Leadsheet!$G$4="VAS",Leadsheet!$G$5="DPD360+"),SAP_Speadsheet!U158,AND(Leadsheet!$G$4="VAS",Leadsheet!$G$5="DPD180+"),SAP_Speadsheet!U173)</f>
        <v>0</v>
      </c>
      <c r="V175" s="422" cm="1">
        <f t="array" ref="V175">_xlfn.IFS(Leadsheet!$G$4="IFRS",SAP_Speadsheet!V138,AND(Leadsheet!$G$4="VAS",Leadsheet!$G$5="DPD360+"),SAP_Speadsheet!V158,AND(Leadsheet!$G$4="VAS",Leadsheet!$G$5="DPD180+"),SAP_Speadsheet!V173)</f>
        <v>0</v>
      </c>
      <c r="W175" s="422" cm="1">
        <f t="array" ref="W175">_xlfn.IFS(Leadsheet!$G$4="IFRS",SAP_Speadsheet!W138,AND(Leadsheet!$G$4="VAS",Leadsheet!$G$5="DPD360+"),SAP_Speadsheet!W158,AND(Leadsheet!$G$4="VAS",Leadsheet!$G$5="DPD180+"),SAP_Speadsheet!W173)</f>
        <v>0</v>
      </c>
      <c r="X175" s="422" cm="1">
        <f t="array" ref="X175">_xlfn.IFS(Leadsheet!$G$4="IFRS",SAP_Speadsheet!X138,AND(Leadsheet!$G$4="VAS",Leadsheet!$G$5="DPD360+"),SAP_Speadsheet!X158,AND(Leadsheet!$G$4="VAS",Leadsheet!$G$5="DPD180+"),SAP_Speadsheet!X173)</f>
        <v>0</v>
      </c>
      <c r="Y175" s="422" cm="1">
        <f t="array" ref="Y175">_xlfn.IFS(Leadsheet!$G$4="IFRS",SAP_Speadsheet!Y138,AND(Leadsheet!$G$4="VAS",Leadsheet!$G$5="DPD360+"),SAP_Speadsheet!Y158,AND(Leadsheet!$G$4="VAS",Leadsheet!$G$5="DPD180+"),SAP_Speadsheet!Y173)</f>
        <v>0</v>
      </c>
      <c r="Z175" s="422" cm="1">
        <f t="array" ref="Z175">_xlfn.IFS(Leadsheet!$G$4="IFRS",SAP_Speadsheet!Z138,AND(Leadsheet!$G$4="VAS",Leadsheet!$G$5="DPD360+"),SAP_Speadsheet!Z158,AND(Leadsheet!$G$4="VAS",Leadsheet!$G$5="DPD180+"),SAP_Speadsheet!Z173)</f>
        <v>0</v>
      </c>
      <c r="AA175" s="422" cm="1">
        <f t="array" ref="AA175">_xlfn.IFS(Leadsheet!$G$4="IFRS",SAP_Speadsheet!AA138,AND(Leadsheet!$G$4="VAS",Leadsheet!$G$5="DPD360+"),SAP_Speadsheet!AA158,AND(Leadsheet!$G$4="VAS",Leadsheet!$G$5="DPD180+"),SAP_Speadsheet!AA173)</f>
        <v>0</v>
      </c>
      <c r="AB175" s="422" cm="1">
        <f t="array" ref="AB175">_xlfn.IFS(Leadsheet!$G$4="IFRS",SAP_Speadsheet!AB138,AND(Leadsheet!$G$4="VAS",Leadsheet!$G$5="DPD360+"),SAP_Speadsheet!AB158,AND(Leadsheet!$G$4="VAS",Leadsheet!$G$5="DPD180+"),SAP_Speadsheet!AB173)</f>
        <v>0</v>
      </c>
      <c r="AC175" s="422" cm="1">
        <f t="array" ref="AC175">_xlfn.IFS(Leadsheet!$G$4="IFRS",SAP_Speadsheet!AC138,AND(Leadsheet!$G$4="VAS",Leadsheet!$G$5="DPD360+"),SAP_Speadsheet!AC158,AND(Leadsheet!$G$4="VAS",Leadsheet!$G$5="DPD180+"),SAP_Speadsheet!AC173)</f>
        <v>0</v>
      </c>
      <c r="AD175" s="422" cm="1">
        <f t="array" ref="AD175">_xlfn.IFS(Leadsheet!$G$4="IFRS",SAP_Speadsheet!AD138,AND(Leadsheet!$G$4="VAS",Leadsheet!$G$5="DPD360+"),SAP_Speadsheet!AD158,AND(Leadsheet!$G$4="VAS",Leadsheet!$G$5="DPD180+"),SAP_Speadsheet!AD173)</f>
        <v>0</v>
      </c>
      <c r="AE175" s="422" cm="1">
        <f t="array" ref="AE175">_xlfn.IFS(Leadsheet!$G$4="IFRS",SAP_Speadsheet!AE138,AND(Leadsheet!$G$4="VAS",Leadsheet!$G$5="DPD360+"),SAP_Speadsheet!AE158,AND(Leadsheet!$G$4="VAS",Leadsheet!$G$5="DPD180+"),SAP_Speadsheet!AE173)</f>
        <v>0</v>
      </c>
      <c r="AF175" s="422" cm="1">
        <f t="array" ref="AF175">_xlfn.IFS(Leadsheet!$G$4="IFRS",SAP_Speadsheet!AF138,AND(Leadsheet!$G$4="VAS",Leadsheet!$G$5="DPD360+"),SAP_Speadsheet!AF158,AND(Leadsheet!$G$4="VAS",Leadsheet!$G$5="DPD180+"),SAP_Speadsheet!AF173)</f>
        <v>0</v>
      </c>
      <c r="AG175" s="422" cm="1">
        <f t="array" ref="AG175">_xlfn.IFS(Leadsheet!$G$4="IFRS",SAP_Speadsheet!AG138,AND(Leadsheet!$G$4="VAS",Leadsheet!$G$5="DPD360+"),SAP_Speadsheet!AG158,AND(Leadsheet!$G$4="VAS",Leadsheet!$G$5="DPD180+"),SAP_Speadsheet!AG173)</f>
        <v>0</v>
      </c>
      <c r="AH175" s="422" cm="1">
        <f t="array" ref="AH175">_xlfn.IFS(Leadsheet!$G$4="IFRS",SAP_Speadsheet!AH138,AND(Leadsheet!$G$4="VAS",Leadsheet!$G$5="DPD360+"),SAP_Speadsheet!AH158,AND(Leadsheet!$G$4="VAS",Leadsheet!$G$5="DPD180+"),SAP_Speadsheet!AH173)</f>
        <v>0</v>
      </c>
      <c r="AI175" s="422" cm="1">
        <f t="array" ref="AI175">_xlfn.IFS(Leadsheet!$G$4="IFRS",SAP_Speadsheet!AI138,AND(Leadsheet!$G$4="VAS",Leadsheet!$G$5="DPD360+"),SAP_Speadsheet!AI158,AND(Leadsheet!$G$4="VAS",Leadsheet!$G$5="DPD180+"),SAP_Speadsheet!AI173)</f>
        <v>0</v>
      </c>
      <c r="AJ175" s="422" cm="1">
        <f t="array" ref="AJ175">_xlfn.IFS(Leadsheet!$G$4="IFRS",SAP_Speadsheet!AJ138,AND(Leadsheet!$G$4="VAS",Leadsheet!$G$5="DPD360+"),SAP_Speadsheet!AJ158,AND(Leadsheet!$G$4="VAS",Leadsheet!$G$5="DPD180+"),SAP_Speadsheet!AJ173)</f>
        <v>0</v>
      </c>
      <c r="AK175" s="422" cm="1">
        <f t="array" ref="AK175">_xlfn.IFS(Leadsheet!$G$4="IFRS",SAP_Speadsheet!AK138,AND(Leadsheet!$G$4="VAS",Leadsheet!$G$5="DPD360+"),SAP_Speadsheet!AK158,AND(Leadsheet!$G$4="VAS",Leadsheet!$G$5="DPD180+"),SAP_Speadsheet!AK173)</f>
        <v>0</v>
      </c>
      <c r="AL175" s="422" cm="1">
        <f t="array" ref="AL175">_xlfn.IFS(Leadsheet!$G$4="IFRS",SAP_Speadsheet!AL138,AND(Leadsheet!$G$4="VAS",Leadsheet!$G$5="DPD360+"),SAP_Speadsheet!AL158,AND(Leadsheet!$G$4="VAS",Leadsheet!$G$5="DPD180+"),SAP_Speadsheet!AL173)</f>
        <v>0</v>
      </c>
      <c r="AM175" s="422" cm="1">
        <f t="array" ref="AM175">_xlfn.IFS(Leadsheet!$G$4="IFRS",SAP_Speadsheet!AM138,AND(Leadsheet!$G$4="VAS",Leadsheet!$G$5="DPD360+"),SAP_Speadsheet!AM158,AND(Leadsheet!$G$4="VAS",Leadsheet!$G$5="DPD180+"),SAP_Speadsheet!AM173)</f>
        <v>0</v>
      </c>
      <c r="AN175" s="422" cm="1">
        <f t="array" ref="AN175">_xlfn.IFS(Leadsheet!$G$4="IFRS",SAP_Speadsheet!AN138,AND(Leadsheet!$G$4="VAS",Leadsheet!$G$5="DPD360+"),SAP_Speadsheet!AN158,AND(Leadsheet!$G$4="VAS",Leadsheet!$G$5="DPD180+"),SAP_Speadsheet!AN173)</f>
        <v>0</v>
      </c>
      <c r="AO175" s="422" cm="1">
        <f t="array" ref="AO175">_xlfn.IFS(Leadsheet!$G$4="IFRS",SAP_Speadsheet!AO138,AND(Leadsheet!$G$4="VAS",Leadsheet!$G$5="DPD360+"),SAP_Speadsheet!AO158,AND(Leadsheet!$G$4="VAS",Leadsheet!$G$5="DPD180+"),SAP_Speadsheet!AO173)</f>
        <v>0</v>
      </c>
      <c r="AP175" s="422" cm="1">
        <f t="array" ref="AP175">_xlfn.IFS(Leadsheet!$G$4="IFRS",SAP_Speadsheet!AP138,AND(Leadsheet!$G$4="VAS",Leadsheet!$G$5="DPD360+"),SAP_Speadsheet!AP158,AND(Leadsheet!$G$4="VAS",Leadsheet!$G$5="DPD180+"),SAP_Speadsheet!AP173)</f>
        <v>0</v>
      </c>
      <c r="AQ175" s="422" cm="1">
        <f t="array" ref="AQ175">_xlfn.IFS(Leadsheet!$G$4="IFRS",SAP_Speadsheet!AQ138,AND(Leadsheet!$G$4="VAS",Leadsheet!$G$5="DPD360+"),SAP_Speadsheet!AQ158,AND(Leadsheet!$G$4="VAS",Leadsheet!$G$5="DPD180+"),SAP_Speadsheet!AQ173)</f>
        <v>0</v>
      </c>
      <c r="AR175" s="422" cm="1">
        <f t="array" ref="AR175">_xlfn.IFS(Leadsheet!$G$4="IFRS",SAP_Speadsheet!AR138,AND(Leadsheet!$G$4="VAS",Leadsheet!$G$5="DPD360+"),SAP_Speadsheet!AR158,AND(Leadsheet!$G$4="VAS",Leadsheet!$G$5="DPD180+"),SAP_Speadsheet!AR173)</f>
        <v>0</v>
      </c>
      <c r="AS175" s="422" cm="1">
        <f t="array" ref="AS175">_xlfn.IFS(Leadsheet!$G$4="IFRS",SAP_Speadsheet!AS138,AND(Leadsheet!$G$4="VAS",Leadsheet!$G$5="DPD360+"),SAP_Speadsheet!AS158,AND(Leadsheet!$G$4="VAS",Leadsheet!$G$5="DPD180+"),SAP_Speadsheet!AS173)</f>
        <v>0</v>
      </c>
      <c r="AT175" s="422" cm="1">
        <f t="array" ref="AT175">_xlfn.IFS(Leadsheet!$G$4="IFRS",SAP_Speadsheet!AT138,AND(Leadsheet!$G$4="VAS",Leadsheet!$G$5="DPD360+"),SAP_Speadsheet!AT158,AND(Leadsheet!$G$4="VAS",Leadsheet!$G$5="DPD180+"),SAP_Speadsheet!AT173)</f>
        <v>0</v>
      </c>
      <c r="AU175" s="422" cm="1">
        <f t="array" ref="AU175">_xlfn.IFS(Leadsheet!$G$4="IFRS",SAP_Speadsheet!AU138,AND(Leadsheet!$G$4="VAS",Leadsheet!$G$5="DPD360+"),SAP_Speadsheet!AU158,AND(Leadsheet!$G$4="VAS",Leadsheet!$G$5="DPD180+"),SAP_Speadsheet!AU173)</f>
        <v>0</v>
      </c>
      <c r="AV175" s="422" cm="1">
        <f t="array" ref="AV175">_xlfn.IFS(Leadsheet!$G$4="IFRS",SAP_Speadsheet!AV138,AND(Leadsheet!$G$4="VAS",Leadsheet!$G$5="DPD360+"),SAP_Speadsheet!AV158,AND(Leadsheet!$G$4="VAS",Leadsheet!$G$5="DPD180+"),SAP_Speadsheet!AV173)</f>
        <v>0</v>
      </c>
      <c r="AW175" s="422" cm="1">
        <f t="array" ref="AW175">_xlfn.IFS(Leadsheet!$G$4="IFRS",SAP_Speadsheet!AW138,AND(Leadsheet!$G$4="VAS",Leadsheet!$G$5="DPD360+"),SAP_Speadsheet!AW158,AND(Leadsheet!$G$4="VAS",Leadsheet!$G$5="DPD180+"),SAP_Speadsheet!AW173)</f>
        <v>0</v>
      </c>
      <c r="AX175" s="422" cm="1">
        <f t="array" ref="AX175">_xlfn.IFS(Leadsheet!$G$4="IFRS",SAP_Speadsheet!AX138,AND(Leadsheet!$G$4="VAS",Leadsheet!$G$5="DPD360+"),SAP_Speadsheet!AX158,AND(Leadsheet!$G$4="VAS",Leadsheet!$G$5="DPD180+"),SAP_Speadsheet!AX173)</f>
        <v>0</v>
      </c>
      <c r="AY175" s="422" cm="1">
        <f t="array" ref="AY175">_xlfn.IFS(Leadsheet!$G$4="IFRS",SAP_Speadsheet!AY138,AND(Leadsheet!$G$4="VAS",Leadsheet!$G$5="DPD360+"),SAP_Speadsheet!AY158,AND(Leadsheet!$G$4="VAS",Leadsheet!$G$5="DPD180+"),SAP_Speadsheet!AY173)</f>
        <v>0</v>
      </c>
      <c r="AZ175" s="422" cm="1">
        <f t="array" ref="AZ175">_xlfn.IFS(Leadsheet!$G$4="IFRS",SAP_Speadsheet!AZ138,AND(Leadsheet!$G$4="VAS",Leadsheet!$G$5="DPD360+"),SAP_Speadsheet!AZ158,AND(Leadsheet!$G$4="VAS",Leadsheet!$G$5="DPD180+"),SAP_Speadsheet!AZ173)</f>
        <v>0</v>
      </c>
      <c r="BA175" s="422" cm="1">
        <f t="array" ref="BA175">_xlfn.IFS(Leadsheet!$G$4="IFRS",SAP_Speadsheet!BA138,AND(Leadsheet!$G$4="VAS",Leadsheet!$G$5="DPD360+"),SAP_Speadsheet!BA158,AND(Leadsheet!$G$4="VAS",Leadsheet!$G$5="DPD180+"),SAP_Speadsheet!BA173)</f>
        <v>0</v>
      </c>
      <c r="BB175" s="422" cm="1">
        <f t="array" ref="BB175">_xlfn.IFS(Leadsheet!$G$4="IFRS",SAP_Speadsheet!BB138,AND(Leadsheet!$G$4="VAS",Leadsheet!$G$5="DPD360+"),SAP_Speadsheet!BB158,AND(Leadsheet!$G$4="VAS",Leadsheet!$G$5="DPD180+"),SAP_Speadsheet!BB173)</f>
        <v>0</v>
      </c>
      <c r="BC175" s="422" cm="1">
        <f t="array" ref="BC175">_xlfn.IFS(Leadsheet!$G$4="IFRS",SAP_Speadsheet!BC138,AND(Leadsheet!$G$4="VAS",Leadsheet!$G$5="DPD360+"),SAP_Speadsheet!BC158,AND(Leadsheet!$G$4="VAS",Leadsheet!$G$5="DPD180+"),SAP_Speadsheet!BC173)</f>
        <v>0</v>
      </c>
      <c r="BD175" s="422" cm="1">
        <f t="array" ref="BD175">_xlfn.IFS(Leadsheet!$G$4="IFRS",SAP_Speadsheet!BD138,AND(Leadsheet!$G$4="VAS",Leadsheet!$G$5="DPD360+"),SAP_Speadsheet!BD158,AND(Leadsheet!$G$4="VAS",Leadsheet!$G$5="DPD180+"),SAP_Speadsheet!BD173)</f>
        <v>0</v>
      </c>
      <c r="BE175" s="422" cm="1">
        <f t="array" ref="BE175">_xlfn.IFS(Leadsheet!$G$4="IFRS",SAP_Speadsheet!BE138,AND(Leadsheet!$G$4="VAS",Leadsheet!$G$5="DPD360+"),SAP_Speadsheet!BE158,AND(Leadsheet!$G$4="VAS",Leadsheet!$G$5="DPD180+"),SAP_Speadsheet!BE173)</f>
        <v>0</v>
      </c>
      <c r="BF175" s="422" cm="1">
        <f t="array" ref="BF175">_xlfn.IFS(Leadsheet!$G$4="IFRS",SAP_Speadsheet!BF138,AND(Leadsheet!$G$4="VAS",Leadsheet!$G$5="DPD360+"),SAP_Speadsheet!BF158,AND(Leadsheet!$G$4="VAS",Leadsheet!$G$5="DPD180+"),SAP_Speadsheet!BF173)</f>
        <v>0</v>
      </c>
      <c r="BG175" s="422" cm="1">
        <f t="array" ref="BG175">_xlfn.IFS(Leadsheet!$G$4="IFRS",SAP_Speadsheet!BG138,AND(Leadsheet!$G$4="VAS",Leadsheet!$G$5="DPD360+"),SAP_Speadsheet!BG158,AND(Leadsheet!$G$4="VAS",Leadsheet!$G$5="DPD180+"),SAP_Speadsheet!BG173)</f>
        <v>0</v>
      </c>
      <c r="BH175" s="422" cm="1">
        <f t="array" ref="BH175">_xlfn.IFS(Leadsheet!$G$4="IFRS",SAP_Speadsheet!BH138,AND(Leadsheet!$G$4="VAS",Leadsheet!$G$5="DPD360+"),SAP_Speadsheet!BH158,AND(Leadsheet!$G$4="VAS",Leadsheet!$G$5="DPD180+"),SAP_Speadsheet!BH173)</f>
        <v>0</v>
      </c>
      <c r="BI175" s="422" cm="1">
        <f t="array" ref="BI175">_xlfn.IFS(Leadsheet!$G$4="IFRS",SAP_Speadsheet!BI138,AND(Leadsheet!$G$4="VAS",Leadsheet!$G$5="DPD360+"),SAP_Speadsheet!BI158,AND(Leadsheet!$G$4="VAS",Leadsheet!$G$5="DPD180+"),SAP_Speadsheet!BI173)</f>
        <v>0</v>
      </c>
      <c r="BJ175" s="422" cm="1">
        <f t="array" ref="BJ175">_xlfn.IFS(Leadsheet!$G$4="IFRS",SAP_Speadsheet!BJ138,AND(Leadsheet!$G$4="VAS",Leadsheet!$G$5="DPD360+"),SAP_Speadsheet!BJ158,AND(Leadsheet!$G$4="VAS",Leadsheet!$G$5="DPD180+"),SAP_Speadsheet!BJ173)</f>
        <v>0</v>
      </c>
      <c r="BK175" s="422" cm="1">
        <f t="array" ref="BK175">_xlfn.IFS(Leadsheet!$G$4="IFRS",SAP_Speadsheet!BK138,AND(Leadsheet!$G$4="VAS",Leadsheet!$G$5="DPD360+"),SAP_Speadsheet!BK158,AND(Leadsheet!$G$4="VAS",Leadsheet!$G$5="DPD180+"),SAP_Speadsheet!BK173)</f>
        <v>0</v>
      </c>
      <c r="BL175" s="422" cm="1">
        <f t="array" ref="BL175">_xlfn.IFS(Leadsheet!$G$4="IFRS",SAP_Speadsheet!BL138,AND(Leadsheet!$G$4="VAS",Leadsheet!$G$5="DPD360+"),SAP_Speadsheet!BL158,AND(Leadsheet!$G$4="VAS",Leadsheet!$G$5="DPD180+"),SAP_Speadsheet!BL173)</f>
        <v>0</v>
      </c>
    </row>
    <row r="177" spans="1:64" ht="13" thickBot="1" x14ac:dyDescent="0.2">
      <c r="A177" s="337"/>
      <c r="B177" s="399" t="s">
        <v>545</v>
      </c>
      <c r="C177" s="400"/>
      <c r="D177" s="401"/>
      <c r="E177" s="402"/>
      <c r="F177" s="401"/>
      <c r="G177" s="401"/>
      <c r="H177" s="401"/>
      <c r="I177" s="401"/>
      <c r="J177" s="401"/>
      <c r="K177" s="401"/>
      <c r="L177" s="401"/>
      <c r="M177" s="401"/>
      <c r="N177" s="401"/>
      <c r="O177" s="401"/>
      <c r="P177" s="401"/>
      <c r="Q177" s="401"/>
      <c r="R177" s="401"/>
      <c r="S177" s="401"/>
      <c r="T177" s="401"/>
      <c r="U177" s="401"/>
      <c r="V177" s="401"/>
      <c r="W177" s="401"/>
      <c r="X177" s="401"/>
      <c r="Y177" s="401"/>
      <c r="Z177" s="401"/>
      <c r="AA177" s="401"/>
      <c r="AB177" s="401"/>
      <c r="AC177" s="401"/>
      <c r="AD177" s="401"/>
      <c r="AE177" s="401"/>
      <c r="AF177" s="401"/>
      <c r="AG177" s="401"/>
      <c r="AH177" s="401"/>
      <c r="AI177" s="401"/>
      <c r="AJ177" s="401"/>
      <c r="AK177" s="401"/>
      <c r="AL177" s="401"/>
      <c r="AM177" s="401"/>
      <c r="AN177" s="401"/>
      <c r="AO177" s="401"/>
      <c r="AP177" s="401"/>
      <c r="AQ177" s="401"/>
      <c r="AR177" s="401"/>
      <c r="AS177" s="401"/>
      <c r="AT177" s="401"/>
      <c r="AU177" s="401"/>
      <c r="AV177" s="401"/>
      <c r="AW177" s="401"/>
      <c r="AX177" s="401"/>
      <c r="AY177" s="401"/>
      <c r="AZ177" s="401"/>
      <c r="BA177" s="401"/>
      <c r="BB177" s="401"/>
      <c r="BC177" s="401"/>
      <c r="BD177" s="401"/>
      <c r="BE177" s="401"/>
      <c r="BF177" s="401"/>
      <c r="BG177" s="401"/>
      <c r="BH177" s="401"/>
      <c r="BI177" s="401"/>
      <c r="BJ177" s="401"/>
      <c r="BK177" s="401"/>
      <c r="BL177" s="401"/>
    </row>
    <row r="178" spans="1:64" ht="12" thickTop="1" x14ac:dyDescent="0.15"/>
    <row r="179" spans="1:64" x14ac:dyDescent="0.15">
      <c r="C179" s="257" t="s">
        <v>546</v>
      </c>
      <c r="D179" s="330"/>
      <c r="E179" s="330">
        <f t="shared" ref="E179:BL179" si="42">E53+E66</f>
        <v>0.26240947837969486</v>
      </c>
      <c r="F179" s="330">
        <f t="shared" si="42"/>
        <v>7.3124695876593585E-4</v>
      </c>
      <c r="G179" s="330">
        <f t="shared" si="42"/>
        <v>-1.039988711035957E-3</v>
      </c>
      <c r="H179" s="330">
        <f t="shared" si="42"/>
        <v>4.7287906141007162E-2</v>
      </c>
      <c r="I179" s="330">
        <f t="shared" si="42"/>
        <v>-1.5000492218884176E-3</v>
      </c>
      <c r="J179" s="330">
        <f t="shared" si="42"/>
        <v>-1.4577577901957895E-3</v>
      </c>
      <c r="K179" s="330">
        <f t="shared" si="42"/>
        <v>-9.9826517510917968E-4</v>
      </c>
      <c r="L179" s="330">
        <f t="shared" si="42"/>
        <v>0</v>
      </c>
      <c r="M179" s="330">
        <f t="shared" si="42"/>
        <v>0</v>
      </c>
      <c r="N179" s="330">
        <f t="shared" si="42"/>
        <v>0</v>
      </c>
      <c r="O179" s="330">
        <f t="shared" si="42"/>
        <v>0</v>
      </c>
      <c r="P179" s="330">
        <f t="shared" si="42"/>
        <v>0</v>
      </c>
      <c r="Q179" s="330">
        <f t="shared" si="42"/>
        <v>0</v>
      </c>
      <c r="R179" s="330">
        <f t="shared" si="42"/>
        <v>0</v>
      </c>
      <c r="S179" s="330">
        <f t="shared" si="42"/>
        <v>0</v>
      </c>
      <c r="T179" s="330">
        <f t="shared" si="42"/>
        <v>0</v>
      </c>
      <c r="U179" s="330">
        <f t="shared" si="42"/>
        <v>0</v>
      </c>
      <c r="V179" s="330">
        <f t="shared" si="42"/>
        <v>0</v>
      </c>
      <c r="W179" s="330">
        <f t="shared" si="42"/>
        <v>0</v>
      </c>
      <c r="X179" s="330">
        <f t="shared" si="42"/>
        <v>0</v>
      </c>
      <c r="Y179" s="330">
        <f t="shared" si="42"/>
        <v>0</v>
      </c>
      <c r="Z179" s="330">
        <f t="shared" si="42"/>
        <v>0</v>
      </c>
      <c r="AA179" s="330">
        <f t="shared" si="42"/>
        <v>0</v>
      </c>
      <c r="AB179" s="330">
        <f t="shared" si="42"/>
        <v>0</v>
      </c>
      <c r="AC179" s="330">
        <f t="shared" si="42"/>
        <v>0</v>
      </c>
      <c r="AD179" s="330">
        <f t="shared" si="42"/>
        <v>0</v>
      </c>
      <c r="AE179" s="330">
        <f t="shared" si="42"/>
        <v>0</v>
      </c>
      <c r="AF179" s="330">
        <f t="shared" si="42"/>
        <v>0</v>
      </c>
      <c r="AG179" s="330">
        <f t="shared" si="42"/>
        <v>0</v>
      </c>
      <c r="AH179" s="330">
        <f t="shared" si="42"/>
        <v>0</v>
      </c>
      <c r="AI179" s="330">
        <f t="shared" si="42"/>
        <v>0</v>
      </c>
      <c r="AJ179" s="330">
        <f t="shared" si="42"/>
        <v>0</v>
      </c>
      <c r="AK179" s="330">
        <f t="shared" si="42"/>
        <v>0</v>
      </c>
      <c r="AL179" s="330">
        <f t="shared" si="42"/>
        <v>0</v>
      </c>
      <c r="AM179" s="330">
        <f t="shared" si="42"/>
        <v>0</v>
      </c>
      <c r="AN179" s="330">
        <f t="shared" si="42"/>
        <v>0</v>
      </c>
      <c r="AO179" s="330">
        <f t="shared" si="42"/>
        <v>0</v>
      </c>
      <c r="AP179" s="330">
        <f t="shared" si="42"/>
        <v>0</v>
      </c>
      <c r="AQ179" s="330">
        <f t="shared" si="42"/>
        <v>0</v>
      </c>
      <c r="AR179" s="330">
        <f t="shared" si="42"/>
        <v>0</v>
      </c>
      <c r="AS179" s="330">
        <f t="shared" si="42"/>
        <v>0</v>
      </c>
      <c r="AT179" s="330">
        <f t="shared" si="42"/>
        <v>0</v>
      </c>
      <c r="AU179" s="330">
        <f t="shared" si="42"/>
        <v>0</v>
      </c>
      <c r="AV179" s="330">
        <f t="shared" si="42"/>
        <v>0</v>
      </c>
      <c r="AW179" s="330">
        <f t="shared" si="42"/>
        <v>0</v>
      </c>
      <c r="AX179" s="330">
        <f t="shared" si="42"/>
        <v>0</v>
      </c>
      <c r="AY179" s="330">
        <f t="shared" si="42"/>
        <v>0</v>
      </c>
      <c r="AZ179" s="330">
        <f t="shared" si="42"/>
        <v>0</v>
      </c>
      <c r="BA179" s="330">
        <f t="shared" si="42"/>
        <v>0</v>
      </c>
      <c r="BB179" s="330">
        <f t="shared" si="42"/>
        <v>0</v>
      </c>
      <c r="BC179" s="330">
        <f t="shared" si="42"/>
        <v>0</v>
      </c>
      <c r="BD179" s="330">
        <f t="shared" si="42"/>
        <v>0</v>
      </c>
      <c r="BE179" s="330">
        <f t="shared" si="42"/>
        <v>0</v>
      </c>
      <c r="BF179" s="330">
        <f t="shared" si="42"/>
        <v>0</v>
      </c>
      <c r="BG179" s="330">
        <f t="shared" si="42"/>
        <v>0</v>
      </c>
      <c r="BH179" s="330">
        <f t="shared" si="42"/>
        <v>0</v>
      </c>
      <c r="BI179" s="330">
        <f t="shared" si="42"/>
        <v>0</v>
      </c>
      <c r="BJ179" s="330">
        <f t="shared" si="42"/>
        <v>0</v>
      </c>
      <c r="BK179" s="330">
        <f t="shared" si="42"/>
        <v>0</v>
      </c>
      <c r="BL179" s="330">
        <f t="shared" si="42"/>
        <v>0</v>
      </c>
    </row>
    <row r="180" spans="1:64" x14ac:dyDescent="0.15">
      <c r="C180" s="257" t="s">
        <v>547</v>
      </c>
      <c r="D180" s="330"/>
      <c r="E180" s="330">
        <f t="shared" ref="E180:BL180" si="43">E53+E66+E175</f>
        <v>8.8643219750348473E-2</v>
      </c>
      <c r="F180" s="330">
        <f t="shared" si="43"/>
        <v>7.3124695876590809E-4</v>
      </c>
      <c r="G180" s="330">
        <f t="shared" si="43"/>
        <v>-1.0399887110359293E-3</v>
      </c>
      <c r="H180" s="330">
        <f t="shared" si="43"/>
        <v>4.728790614100719E-2</v>
      </c>
      <c r="I180" s="330">
        <f t="shared" si="43"/>
        <v>-1.5000492218884454E-3</v>
      </c>
      <c r="J180" s="330">
        <f t="shared" si="43"/>
        <v>-1.4577577901957895E-3</v>
      </c>
      <c r="K180" s="330">
        <f t="shared" si="43"/>
        <v>-9.9826517510917968E-4</v>
      </c>
      <c r="L180" s="330">
        <f t="shared" si="43"/>
        <v>0</v>
      </c>
      <c r="M180" s="330">
        <f t="shared" si="43"/>
        <v>0</v>
      </c>
      <c r="N180" s="330">
        <f t="shared" si="43"/>
        <v>0</v>
      </c>
      <c r="O180" s="330">
        <f t="shared" si="43"/>
        <v>0</v>
      </c>
      <c r="P180" s="330">
        <f t="shared" si="43"/>
        <v>0</v>
      </c>
      <c r="Q180" s="330">
        <f t="shared" si="43"/>
        <v>0</v>
      </c>
      <c r="R180" s="330">
        <f t="shared" si="43"/>
        <v>0</v>
      </c>
      <c r="S180" s="330">
        <f t="shared" si="43"/>
        <v>0</v>
      </c>
      <c r="T180" s="330">
        <f t="shared" si="43"/>
        <v>0</v>
      </c>
      <c r="U180" s="330">
        <f t="shared" si="43"/>
        <v>0</v>
      </c>
      <c r="V180" s="330">
        <f t="shared" si="43"/>
        <v>0</v>
      </c>
      <c r="W180" s="330">
        <f t="shared" si="43"/>
        <v>0</v>
      </c>
      <c r="X180" s="330">
        <f t="shared" si="43"/>
        <v>0</v>
      </c>
      <c r="Y180" s="330">
        <f t="shared" si="43"/>
        <v>0</v>
      </c>
      <c r="Z180" s="330">
        <f t="shared" si="43"/>
        <v>0</v>
      </c>
      <c r="AA180" s="330">
        <f t="shared" si="43"/>
        <v>0</v>
      </c>
      <c r="AB180" s="330">
        <f t="shared" si="43"/>
        <v>0</v>
      </c>
      <c r="AC180" s="330">
        <f t="shared" si="43"/>
        <v>0</v>
      </c>
      <c r="AD180" s="330">
        <f t="shared" si="43"/>
        <v>0</v>
      </c>
      <c r="AE180" s="330">
        <f t="shared" si="43"/>
        <v>0</v>
      </c>
      <c r="AF180" s="330">
        <f t="shared" si="43"/>
        <v>0</v>
      </c>
      <c r="AG180" s="330">
        <f t="shared" si="43"/>
        <v>0</v>
      </c>
      <c r="AH180" s="330">
        <f t="shared" si="43"/>
        <v>0</v>
      </c>
      <c r="AI180" s="330">
        <f t="shared" si="43"/>
        <v>0</v>
      </c>
      <c r="AJ180" s="330">
        <f t="shared" si="43"/>
        <v>0</v>
      </c>
      <c r="AK180" s="330">
        <f t="shared" si="43"/>
        <v>0</v>
      </c>
      <c r="AL180" s="330">
        <f t="shared" si="43"/>
        <v>0</v>
      </c>
      <c r="AM180" s="330">
        <f t="shared" si="43"/>
        <v>0</v>
      </c>
      <c r="AN180" s="330">
        <f t="shared" si="43"/>
        <v>0</v>
      </c>
      <c r="AO180" s="330">
        <f t="shared" si="43"/>
        <v>0</v>
      </c>
      <c r="AP180" s="330">
        <f t="shared" si="43"/>
        <v>0</v>
      </c>
      <c r="AQ180" s="330">
        <f t="shared" si="43"/>
        <v>0</v>
      </c>
      <c r="AR180" s="330">
        <f t="shared" si="43"/>
        <v>0</v>
      </c>
      <c r="AS180" s="330">
        <f t="shared" si="43"/>
        <v>0</v>
      </c>
      <c r="AT180" s="330">
        <f t="shared" si="43"/>
        <v>0</v>
      </c>
      <c r="AU180" s="330">
        <f t="shared" si="43"/>
        <v>0</v>
      </c>
      <c r="AV180" s="330">
        <f t="shared" si="43"/>
        <v>0</v>
      </c>
      <c r="AW180" s="330">
        <f t="shared" si="43"/>
        <v>0</v>
      </c>
      <c r="AX180" s="330">
        <f t="shared" si="43"/>
        <v>0</v>
      </c>
      <c r="AY180" s="330">
        <f t="shared" si="43"/>
        <v>0</v>
      </c>
      <c r="AZ180" s="330">
        <f t="shared" si="43"/>
        <v>0</v>
      </c>
      <c r="BA180" s="330">
        <f t="shared" si="43"/>
        <v>0</v>
      </c>
      <c r="BB180" s="330">
        <f t="shared" si="43"/>
        <v>0</v>
      </c>
      <c r="BC180" s="330">
        <f t="shared" si="43"/>
        <v>0</v>
      </c>
      <c r="BD180" s="330">
        <f t="shared" si="43"/>
        <v>0</v>
      </c>
      <c r="BE180" s="330">
        <f t="shared" si="43"/>
        <v>0</v>
      </c>
      <c r="BF180" s="330">
        <f t="shared" si="43"/>
        <v>0</v>
      </c>
      <c r="BG180" s="330">
        <f t="shared" si="43"/>
        <v>0</v>
      </c>
      <c r="BH180" s="330">
        <f t="shared" si="43"/>
        <v>0</v>
      </c>
      <c r="BI180" s="330">
        <f t="shared" si="43"/>
        <v>0</v>
      </c>
      <c r="BJ180" s="330">
        <f t="shared" si="43"/>
        <v>0</v>
      </c>
      <c r="BK180" s="330">
        <f t="shared" si="43"/>
        <v>0</v>
      </c>
      <c r="BL180" s="330">
        <f t="shared" si="43"/>
        <v>0</v>
      </c>
    </row>
    <row r="181" spans="1:64" s="337" customFormat="1" x14ac:dyDescent="0.15">
      <c r="C181" s="337" t="s">
        <v>417</v>
      </c>
      <c r="D181" s="422"/>
      <c r="E181" s="422">
        <f t="shared" ref="E181:BL181" si="44">E53+E66+E95+E175</f>
        <v>3.1851487354816854E-2</v>
      </c>
      <c r="F181" s="422">
        <f t="shared" si="44"/>
        <v>7.3124695876590809E-4</v>
      </c>
      <c r="G181" s="422">
        <f t="shared" si="44"/>
        <v>-1.0399887110359293E-3</v>
      </c>
      <c r="H181" s="422">
        <f t="shared" si="44"/>
        <v>4.728790614100719E-2</v>
      </c>
      <c r="I181" s="422">
        <f t="shared" si="44"/>
        <v>-1.5000492218884454E-3</v>
      </c>
      <c r="J181" s="422">
        <f t="shared" si="44"/>
        <v>-1.4577577901957895E-3</v>
      </c>
      <c r="K181" s="422">
        <f t="shared" si="44"/>
        <v>-9.9826517510917968E-4</v>
      </c>
      <c r="L181" s="422">
        <f t="shared" si="44"/>
        <v>0</v>
      </c>
      <c r="M181" s="422">
        <f t="shared" si="44"/>
        <v>0</v>
      </c>
      <c r="N181" s="422">
        <f t="shared" si="44"/>
        <v>0</v>
      </c>
      <c r="O181" s="422">
        <f t="shared" si="44"/>
        <v>0</v>
      </c>
      <c r="P181" s="422">
        <f t="shared" si="44"/>
        <v>0</v>
      </c>
      <c r="Q181" s="422">
        <f t="shared" si="44"/>
        <v>0</v>
      </c>
      <c r="R181" s="422">
        <f t="shared" si="44"/>
        <v>0</v>
      </c>
      <c r="S181" s="422">
        <f t="shared" si="44"/>
        <v>0</v>
      </c>
      <c r="T181" s="422">
        <f t="shared" si="44"/>
        <v>0</v>
      </c>
      <c r="U181" s="422">
        <f t="shared" si="44"/>
        <v>0</v>
      </c>
      <c r="V181" s="422">
        <f t="shared" si="44"/>
        <v>0</v>
      </c>
      <c r="W181" s="422">
        <f t="shared" si="44"/>
        <v>0</v>
      </c>
      <c r="X181" s="422">
        <f t="shared" si="44"/>
        <v>0</v>
      </c>
      <c r="Y181" s="422">
        <f t="shared" si="44"/>
        <v>0</v>
      </c>
      <c r="Z181" s="422">
        <f t="shared" si="44"/>
        <v>0</v>
      </c>
      <c r="AA181" s="422">
        <f t="shared" si="44"/>
        <v>0</v>
      </c>
      <c r="AB181" s="422">
        <f t="shared" si="44"/>
        <v>0</v>
      </c>
      <c r="AC181" s="422">
        <f t="shared" si="44"/>
        <v>0</v>
      </c>
      <c r="AD181" s="422">
        <f t="shared" si="44"/>
        <v>0</v>
      </c>
      <c r="AE181" s="422">
        <f t="shared" si="44"/>
        <v>0</v>
      </c>
      <c r="AF181" s="422">
        <f t="shared" si="44"/>
        <v>0</v>
      </c>
      <c r="AG181" s="422">
        <f t="shared" si="44"/>
        <v>0</v>
      </c>
      <c r="AH181" s="422">
        <f t="shared" si="44"/>
        <v>0</v>
      </c>
      <c r="AI181" s="422">
        <f t="shared" si="44"/>
        <v>0</v>
      </c>
      <c r="AJ181" s="422">
        <f t="shared" si="44"/>
        <v>0</v>
      </c>
      <c r="AK181" s="422">
        <f t="shared" si="44"/>
        <v>0</v>
      </c>
      <c r="AL181" s="422">
        <f t="shared" si="44"/>
        <v>0</v>
      </c>
      <c r="AM181" s="422">
        <f t="shared" si="44"/>
        <v>0</v>
      </c>
      <c r="AN181" s="422">
        <f t="shared" si="44"/>
        <v>0</v>
      </c>
      <c r="AO181" s="422">
        <f t="shared" si="44"/>
        <v>0</v>
      </c>
      <c r="AP181" s="422">
        <f t="shared" si="44"/>
        <v>0</v>
      </c>
      <c r="AQ181" s="422">
        <f t="shared" si="44"/>
        <v>0</v>
      </c>
      <c r="AR181" s="422">
        <f t="shared" si="44"/>
        <v>0</v>
      </c>
      <c r="AS181" s="422">
        <f t="shared" si="44"/>
        <v>0</v>
      </c>
      <c r="AT181" s="422">
        <f t="shared" si="44"/>
        <v>0</v>
      </c>
      <c r="AU181" s="422">
        <f t="shared" si="44"/>
        <v>0</v>
      </c>
      <c r="AV181" s="422">
        <f t="shared" si="44"/>
        <v>0</v>
      </c>
      <c r="AW181" s="422">
        <f t="shared" si="44"/>
        <v>0</v>
      </c>
      <c r="AX181" s="422">
        <f t="shared" si="44"/>
        <v>0</v>
      </c>
      <c r="AY181" s="422">
        <f t="shared" si="44"/>
        <v>0</v>
      </c>
      <c r="AZ181" s="422">
        <f t="shared" si="44"/>
        <v>0</v>
      </c>
      <c r="BA181" s="422">
        <f t="shared" si="44"/>
        <v>0</v>
      </c>
      <c r="BB181" s="422">
        <f t="shared" si="44"/>
        <v>0</v>
      </c>
      <c r="BC181" s="422">
        <f t="shared" si="44"/>
        <v>0</v>
      </c>
      <c r="BD181" s="422">
        <f t="shared" si="44"/>
        <v>0</v>
      </c>
      <c r="BE181" s="422">
        <f t="shared" si="44"/>
        <v>0</v>
      </c>
      <c r="BF181" s="422">
        <f t="shared" si="44"/>
        <v>0</v>
      </c>
      <c r="BG181" s="422">
        <f t="shared" si="44"/>
        <v>0</v>
      </c>
      <c r="BH181" s="422">
        <f t="shared" si="44"/>
        <v>0</v>
      </c>
      <c r="BI181" s="422">
        <f t="shared" si="44"/>
        <v>0</v>
      </c>
      <c r="BJ181" s="422">
        <f t="shared" si="44"/>
        <v>0</v>
      </c>
      <c r="BK181" s="422">
        <f t="shared" si="44"/>
        <v>0</v>
      </c>
      <c r="BL181" s="422">
        <f t="shared" si="44"/>
        <v>0</v>
      </c>
    </row>
    <row r="182" spans="1:64" x14ac:dyDescent="0.15">
      <c r="E182" s="330"/>
      <c r="F182" s="330"/>
      <c r="G182" s="330"/>
      <c r="H182" s="330"/>
      <c r="I182" s="330"/>
      <c r="J182" s="330"/>
      <c r="K182" s="330"/>
      <c r="L182" s="330"/>
      <c r="M182" s="330"/>
      <c r="N182" s="330"/>
      <c r="O182" s="330"/>
      <c r="P182" s="330"/>
      <c r="Q182" s="330"/>
      <c r="R182" s="330"/>
      <c r="S182" s="330"/>
      <c r="T182" s="330"/>
      <c r="U182" s="330"/>
      <c r="V182" s="330"/>
      <c r="W182" s="330"/>
      <c r="X182" s="330"/>
      <c r="Y182" s="330"/>
      <c r="Z182" s="330"/>
      <c r="AA182" s="330"/>
      <c r="AB182" s="330"/>
      <c r="AC182" s="330"/>
      <c r="AD182" s="330"/>
      <c r="AE182" s="330"/>
      <c r="AF182" s="330"/>
      <c r="AG182" s="330"/>
      <c r="AH182" s="330"/>
      <c r="AI182" s="330"/>
      <c r="AJ182" s="330"/>
      <c r="AK182" s="330"/>
      <c r="AL182" s="330"/>
      <c r="AM182" s="330"/>
      <c r="AN182" s="330"/>
      <c r="AO182" s="330"/>
      <c r="AP182" s="330"/>
      <c r="AQ182" s="330"/>
      <c r="AR182" s="330"/>
      <c r="AS182" s="330"/>
      <c r="AT182" s="330"/>
      <c r="AU182" s="330"/>
      <c r="AV182" s="330"/>
      <c r="AW182" s="330"/>
      <c r="AX182" s="330"/>
      <c r="AY182" s="330"/>
      <c r="AZ182" s="330"/>
      <c r="BA182" s="330"/>
      <c r="BB182" s="330"/>
      <c r="BC182" s="330"/>
    </row>
    <row r="183" spans="1:64" x14ac:dyDescent="0.15">
      <c r="D183" s="403"/>
      <c r="F183" s="433"/>
      <c r="G183" s="433"/>
      <c r="H183" s="433"/>
      <c r="I183" s="433"/>
      <c r="J183" s="433"/>
      <c r="K183" s="433"/>
      <c r="L183" s="433"/>
      <c r="M183" s="433"/>
      <c r="N183" s="433"/>
      <c r="O183" s="433"/>
      <c r="P183" s="433"/>
      <c r="Q183" s="433"/>
      <c r="R183" s="433"/>
      <c r="S183" s="433"/>
      <c r="T183" s="433"/>
      <c r="U183" s="433"/>
      <c r="V183" s="433"/>
      <c r="W183" s="433"/>
      <c r="X183" s="433"/>
      <c r="Y183" s="433"/>
      <c r="Z183" s="433"/>
      <c r="AA183" s="433"/>
      <c r="AB183" s="433"/>
      <c r="AC183" s="433"/>
      <c r="AD183" s="433"/>
      <c r="AE183" s="433"/>
      <c r="AF183" s="433"/>
      <c r="AG183" s="433"/>
      <c r="AH183" s="433"/>
      <c r="AI183" s="433"/>
      <c r="AJ183" s="433"/>
      <c r="AK183" s="433"/>
      <c r="AL183" s="433"/>
      <c r="AM183" s="433"/>
      <c r="AN183" s="433"/>
      <c r="AO183" s="433"/>
      <c r="AP183" s="433"/>
      <c r="AQ183" s="433"/>
      <c r="AR183" s="433"/>
      <c r="AS183" s="433"/>
      <c r="AT183" s="433"/>
      <c r="AU183" s="433"/>
      <c r="AV183" s="433"/>
      <c r="AW183" s="433"/>
      <c r="AX183" s="433"/>
      <c r="AY183" s="433"/>
      <c r="AZ183" s="433"/>
      <c r="BA183" s="433"/>
      <c r="BB183" s="433"/>
      <c r="BC183" s="433"/>
      <c r="BD183" s="433"/>
      <c r="BE183" s="433"/>
      <c r="BF183" s="433"/>
      <c r="BG183" s="433"/>
      <c r="BH183" s="433"/>
      <c r="BI183" s="433"/>
      <c r="BJ183" s="433"/>
      <c r="BK183" s="433"/>
      <c r="BL183" s="433"/>
    </row>
    <row r="184" spans="1:64" x14ac:dyDescent="0.15">
      <c r="F184" s="433"/>
      <c r="G184" s="433"/>
      <c r="H184" s="433"/>
      <c r="I184" s="433"/>
      <c r="J184" s="433"/>
      <c r="K184" s="433"/>
      <c r="L184" s="433"/>
      <c r="M184" s="433"/>
      <c r="N184" s="433"/>
      <c r="O184" s="433"/>
      <c r="P184" s="433"/>
      <c r="Q184" s="433"/>
      <c r="R184" s="433"/>
      <c r="S184" s="433"/>
      <c r="T184" s="433"/>
      <c r="U184" s="433"/>
      <c r="V184" s="433"/>
      <c r="W184" s="433"/>
      <c r="X184" s="433"/>
      <c r="Y184" s="433"/>
      <c r="Z184" s="433"/>
      <c r="AA184" s="433"/>
      <c r="AB184" s="433"/>
      <c r="AC184" s="433"/>
      <c r="AD184" s="433"/>
      <c r="AE184" s="433"/>
      <c r="AF184" s="433"/>
      <c r="AG184" s="433"/>
      <c r="AH184" s="433"/>
      <c r="AI184" s="433"/>
      <c r="AJ184" s="433"/>
      <c r="AK184" s="433"/>
      <c r="AL184" s="433"/>
      <c r="AM184" s="433"/>
      <c r="AN184" s="433"/>
      <c r="AO184" s="433"/>
      <c r="AP184" s="433"/>
      <c r="AQ184" s="433"/>
      <c r="AR184" s="433"/>
      <c r="AS184" s="433"/>
      <c r="AT184" s="433"/>
      <c r="AU184" s="433"/>
      <c r="AV184" s="433"/>
      <c r="AW184" s="433"/>
      <c r="AX184" s="433"/>
      <c r="AY184" s="433"/>
      <c r="AZ184" s="433"/>
      <c r="BA184" s="433"/>
      <c r="BB184" s="433"/>
      <c r="BC184" s="433"/>
      <c r="BD184" s="433"/>
      <c r="BE184" s="433"/>
      <c r="BF184" s="433"/>
      <c r="BG184" s="433"/>
      <c r="BH184" s="433"/>
      <c r="BI184" s="433"/>
      <c r="BJ184" s="433"/>
      <c r="BK184" s="433"/>
      <c r="BL184" s="433"/>
    </row>
    <row r="185" spans="1:64" hidden="1" x14ac:dyDescent="0.15">
      <c r="C185" s="257" t="s">
        <v>548</v>
      </c>
      <c r="D185" s="335"/>
      <c r="E185" s="335">
        <f t="shared" ref="E185:BF185" si="45">D189</f>
        <v>0</v>
      </c>
      <c r="F185" s="335" t="e">
        <f t="shared" si="45"/>
        <v>#REF!</v>
      </c>
      <c r="G185" s="335" t="e">
        <f t="shared" si="45"/>
        <v>#REF!</v>
      </c>
      <c r="H185" s="335" t="e">
        <f t="shared" si="45"/>
        <v>#REF!</v>
      </c>
      <c r="I185" s="335" t="e">
        <f t="shared" si="45"/>
        <v>#REF!</v>
      </c>
      <c r="J185" s="335" t="e">
        <f t="shared" si="45"/>
        <v>#REF!</v>
      </c>
      <c r="K185" s="335" t="e">
        <f t="shared" si="45"/>
        <v>#REF!</v>
      </c>
      <c r="L185" s="335" t="e">
        <f t="shared" si="45"/>
        <v>#REF!</v>
      </c>
      <c r="M185" s="335">
        <f t="shared" si="45"/>
        <v>0</v>
      </c>
      <c r="N185" s="335">
        <f t="shared" si="45"/>
        <v>0</v>
      </c>
      <c r="O185" s="335">
        <f t="shared" si="45"/>
        <v>0</v>
      </c>
      <c r="P185" s="335">
        <f t="shared" si="45"/>
        <v>0</v>
      </c>
      <c r="Q185" s="335">
        <f t="shared" si="45"/>
        <v>0</v>
      </c>
      <c r="R185" s="335">
        <f t="shared" si="45"/>
        <v>0</v>
      </c>
      <c r="S185" s="335">
        <f t="shared" si="45"/>
        <v>0</v>
      </c>
      <c r="T185" s="335">
        <f t="shared" si="45"/>
        <v>0</v>
      </c>
      <c r="U185" s="335">
        <f t="shared" si="45"/>
        <v>0</v>
      </c>
      <c r="V185" s="335">
        <f t="shared" si="45"/>
        <v>0</v>
      </c>
      <c r="W185" s="335">
        <f t="shared" si="45"/>
        <v>0</v>
      </c>
      <c r="X185" s="335">
        <f t="shared" si="45"/>
        <v>0</v>
      </c>
      <c r="Y185" s="335">
        <f t="shared" si="45"/>
        <v>0</v>
      </c>
      <c r="Z185" s="335">
        <f t="shared" si="45"/>
        <v>0</v>
      </c>
      <c r="AA185" s="335">
        <f t="shared" si="45"/>
        <v>0</v>
      </c>
      <c r="AB185" s="335">
        <f t="shared" si="45"/>
        <v>0</v>
      </c>
      <c r="AC185" s="335">
        <f t="shared" si="45"/>
        <v>0</v>
      </c>
      <c r="AD185" s="335">
        <f t="shared" si="45"/>
        <v>0</v>
      </c>
      <c r="AE185" s="335">
        <f t="shared" si="45"/>
        <v>0</v>
      </c>
      <c r="AF185" s="335">
        <f t="shared" si="45"/>
        <v>0</v>
      </c>
      <c r="AG185" s="335">
        <f t="shared" si="45"/>
        <v>0</v>
      </c>
      <c r="AH185" s="335">
        <f t="shared" si="45"/>
        <v>0</v>
      </c>
      <c r="AI185" s="335">
        <f t="shared" si="45"/>
        <v>0</v>
      </c>
      <c r="AJ185" s="335">
        <f t="shared" si="45"/>
        <v>0</v>
      </c>
      <c r="AK185" s="335">
        <f t="shared" si="45"/>
        <v>0</v>
      </c>
      <c r="AL185" s="335">
        <f t="shared" si="45"/>
        <v>0</v>
      </c>
      <c r="AM185" s="335">
        <f t="shared" si="45"/>
        <v>0</v>
      </c>
      <c r="AN185" s="335">
        <f t="shared" si="45"/>
        <v>0</v>
      </c>
      <c r="AO185" s="335">
        <f t="shared" si="45"/>
        <v>0</v>
      </c>
      <c r="AP185" s="335">
        <f t="shared" si="45"/>
        <v>0</v>
      </c>
      <c r="AQ185" s="335">
        <f t="shared" si="45"/>
        <v>0</v>
      </c>
      <c r="AR185" s="335">
        <f t="shared" si="45"/>
        <v>0</v>
      </c>
      <c r="AS185" s="335">
        <f t="shared" si="45"/>
        <v>0</v>
      </c>
      <c r="AT185" s="335">
        <f t="shared" si="45"/>
        <v>0</v>
      </c>
      <c r="AU185" s="335">
        <f t="shared" si="45"/>
        <v>0</v>
      </c>
      <c r="AV185" s="335">
        <f t="shared" si="45"/>
        <v>0</v>
      </c>
      <c r="AW185" s="335">
        <f t="shared" si="45"/>
        <v>0</v>
      </c>
      <c r="AX185" s="335">
        <f t="shared" si="45"/>
        <v>0</v>
      </c>
      <c r="AY185" s="335">
        <f t="shared" si="45"/>
        <v>0</v>
      </c>
      <c r="AZ185" s="335">
        <f t="shared" si="45"/>
        <v>0</v>
      </c>
      <c r="BA185" s="335">
        <f t="shared" si="45"/>
        <v>0</v>
      </c>
      <c r="BB185" s="335">
        <f t="shared" si="45"/>
        <v>0</v>
      </c>
      <c r="BC185" s="335">
        <f t="shared" si="45"/>
        <v>0</v>
      </c>
      <c r="BD185" s="335">
        <f t="shared" si="45"/>
        <v>0</v>
      </c>
      <c r="BE185" s="335">
        <f t="shared" si="45"/>
        <v>0</v>
      </c>
      <c r="BF185" s="335">
        <f t="shared" si="45"/>
        <v>0</v>
      </c>
      <c r="BG185" s="335"/>
      <c r="BH185" s="335"/>
      <c r="BI185" s="335"/>
      <c r="BJ185" s="335"/>
      <c r="BK185" s="335"/>
      <c r="BL185" s="335"/>
    </row>
    <row r="186" spans="1:64" hidden="1" x14ac:dyDescent="0.15">
      <c r="C186" s="257" t="s">
        <v>549</v>
      </c>
      <c r="D186" s="335"/>
      <c r="E186" s="335" t="e">
        <f>-#REF!</f>
        <v>#REF!</v>
      </c>
      <c r="F186" s="335" t="e">
        <f>-#REF!</f>
        <v>#REF!</v>
      </c>
      <c r="G186" s="335" t="e">
        <f>-#REF!</f>
        <v>#REF!</v>
      </c>
      <c r="H186" s="335" t="e">
        <f>-#REF!</f>
        <v>#REF!</v>
      </c>
      <c r="I186" s="335" t="e">
        <f>-#REF!</f>
        <v>#REF!</v>
      </c>
      <c r="J186" s="335" t="e">
        <f>-#REF!</f>
        <v>#REF!</v>
      </c>
      <c r="K186" s="335" t="e">
        <f>-#REF!</f>
        <v>#REF!</v>
      </c>
      <c r="L186" s="335" t="e">
        <f>-#REF!</f>
        <v>#REF!</v>
      </c>
      <c r="M186" s="335" t="e">
        <f>-#REF!</f>
        <v>#REF!</v>
      </c>
      <c r="N186" s="335" t="e">
        <f>-#REF!</f>
        <v>#REF!</v>
      </c>
      <c r="O186" s="335" t="e">
        <f>-#REF!</f>
        <v>#REF!</v>
      </c>
      <c r="P186" s="335" t="e">
        <f>-#REF!</f>
        <v>#REF!</v>
      </c>
      <c r="Q186" s="335" t="e">
        <f>-#REF!</f>
        <v>#REF!</v>
      </c>
      <c r="R186" s="335" t="e">
        <f>-#REF!</f>
        <v>#REF!</v>
      </c>
      <c r="S186" s="335" t="e">
        <f>-#REF!</f>
        <v>#REF!</v>
      </c>
      <c r="T186" s="335" t="e">
        <f>-#REF!</f>
        <v>#REF!</v>
      </c>
      <c r="U186" s="335" t="e">
        <f>-#REF!</f>
        <v>#REF!</v>
      </c>
      <c r="V186" s="335" t="e">
        <f>-#REF!</f>
        <v>#REF!</v>
      </c>
      <c r="W186" s="335" t="e">
        <f>-#REF!</f>
        <v>#REF!</v>
      </c>
      <c r="X186" s="335" t="e">
        <f>-#REF!</f>
        <v>#REF!</v>
      </c>
      <c r="Y186" s="335" t="e">
        <f>-#REF!</f>
        <v>#REF!</v>
      </c>
      <c r="Z186" s="335" t="e">
        <f>-#REF!</f>
        <v>#REF!</v>
      </c>
      <c r="AA186" s="335" t="e">
        <f>-#REF!</f>
        <v>#REF!</v>
      </c>
      <c r="AB186" s="335" t="e">
        <f>-#REF!</f>
        <v>#REF!</v>
      </c>
      <c r="AC186" s="335" t="e">
        <f>-#REF!</f>
        <v>#REF!</v>
      </c>
      <c r="AD186" s="335" t="e">
        <f>-#REF!</f>
        <v>#REF!</v>
      </c>
      <c r="AE186" s="335" t="e">
        <f>-#REF!</f>
        <v>#REF!</v>
      </c>
      <c r="AF186" s="335" t="e">
        <f>-#REF!</f>
        <v>#REF!</v>
      </c>
      <c r="AG186" s="335" t="e">
        <f>-#REF!</f>
        <v>#REF!</v>
      </c>
      <c r="AH186" s="335" t="e">
        <f>-#REF!</f>
        <v>#REF!</v>
      </c>
      <c r="AI186" s="335" t="e">
        <f>-#REF!</f>
        <v>#REF!</v>
      </c>
      <c r="AJ186" s="335" t="e">
        <f>-#REF!</f>
        <v>#REF!</v>
      </c>
      <c r="AK186" s="335" t="e">
        <f>-#REF!</f>
        <v>#REF!</v>
      </c>
      <c r="AL186" s="335" t="e">
        <f>-#REF!</f>
        <v>#REF!</v>
      </c>
      <c r="AM186" s="335" t="e">
        <f>-#REF!</f>
        <v>#REF!</v>
      </c>
      <c r="AN186" s="335" t="e">
        <f>-#REF!</f>
        <v>#REF!</v>
      </c>
      <c r="AO186" s="335" t="e">
        <f>-#REF!</f>
        <v>#REF!</v>
      </c>
      <c r="AP186" s="335" t="e">
        <f>-#REF!</f>
        <v>#REF!</v>
      </c>
      <c r="AQ186" s="335" t="e">
        <f>-#REF!</f>
        <v>#REF!</v>
      </c>
      <c r="AR186" s="335" t="e">
        <f>-#REF!</f>
        <v>#REF!</v>
      </c>
      <c r="AS186" s="335" t="e">
        <f>-#REF!</f>
        <v>#REF!</v>
      </c>
      <c r="AT186" s="335" t="e">
        <f>-#REF!</f>
        <v>#REF!</v>
      </c>
      <c r="AU186" s="335" t="e">
        <f>-#REF!</f>
        <v>#REF!</v>
      </c>
      <c r="AV186" s="335" t="e">
        <f>-#REF!</f>
        <v>#REF!</v>
      </c>
      <c r="AW186" s="335" t="e">
        <f>-#REF!</f>
        <v>#REF!</v>
      </c>
      <c r="AX186" s="335" t="e">
        <f>-#REF!</f>
        <v>#REF!</v>
      </c>
      <c r="AY186" s="335" t="e">
        <f>-#REF!</f>
        <v>#REF!</v>
      </c>
      <c r="AZ186" s="335" t="e">
        <f>-#REF!</f>
        <v>#REF!</v>
      </c>
      <c r="BA186" s="335" t="e">
        <f>-#REF!</f>
        <v>#REF!</v>
      </c>
      <c r="BB186" s="335" t="e">
        <f>-#REF!</f>
        <v>#REF!</v>
      </c>
      <c r="BC186" s="335" t="e">
        <f>-#REF!</f>
        <v>#REF!</v>
      </c>
      <c r="BD186" s="335" t="e">
        <f>-#REF!</f>
        <v>#REF!</v>
      </c>
      <c r="BE186" s="335" t="e">
        <f>-#REF!</f>
        <v>#REF!</v>
      </c>
      <c r="BF186" s="335" t="e">
        <f>-#REF!</f>
        <v>#REF!</v>
      </c>
      <c r="BG186" s="335"/>
      <c r="BH186" s="335"/>
      <c r="BI186" s="335"/>
      <c r="BJ186" s="335"/>
      <c r="BK186" s="335"/>
      <c r="BL186" s="335"/>
    </row>
    <row r="187" spans="1:64" hidden="1" x14ac:dyDescent="0.15">
      <c r="C187" s="257" t="s">
        <v>550</v>
      </c>
      <c r="D187" s="335"/>
      <c r="E187" s="335">
        <f>IFERROR((#REF!/#REF!)*E185,0)</f>
        <v>0</v>
      </c>
      <c r="F187" s="335">
        <f>IFERROR((#REF!/#REF!)*F185,0)</f>
        <v>0</v>
      </c>
      <c r="G187" s="335">
        <f>IFERROR((#REF!/#REF!)*G185,0)</f>
        <v>0</v>
      </c>
      <c r="H187" s="335">
        <f>IFERROR((#REF!/#REF!)*H185,0)</f>
        <v>0</v>
      </c>
      <c r="I187" s="335">
        <f>IFERROR((#REF!/#REF!)*I185,0)</f>
        <v>0</v>
      </c>
      <c r="J187" s="335">
        <f>IFERROR((#REF!/#REF!)*J185,0)</f>
        <v>0</v>
      </c>
      <c r="K187" s="335">
        <f>IFERROR((#REF!/#REF!)*K185,0)</f>
        <v>0</v>
      </c>
      <c r="L187" s="335">
        <f>IFERROR((#REF!/#REF!)*L185,0)</f>
        <v>0</v>
      </c>
      <c r="M187" s="335">
        <f>IFERROR((#REF!/#REF!)*M185,0)</f>
        <v>0</v>
      </c>
      <c r="N187" s="335">
        <f>IFERROR((#REF!/#REF!)*N185,0)</f>
        <v>0</v>
      </c>
      <c r="O187" s="335">
        <f>IFERROR((#REF!/#REF!)*O185,0)</f>
        <v>0</v>
      </c>
      <c r="P187" s="335">
        <f>IFERROR((#REF!/#REF!)*P185,0)</f>
        <v>0</v>
      </c>
      <c r="Q187" s="335">
        <f>IFERROR((#REF!/#REF!)*Q185,0)</f>
        <v>0</v>
      </c>
      <c r="R187" s="335">
        <f>IFERROR((#REF!/#REF!)*R185,0)</f>
        <v>0</v>
      </c>
      <c r="S187" s="335">
        <f>IFERROR((#REF!/#REF!)*S185,0)</f>
        <v>0</v>
      </c>
      <c r="T187" s="335">
        <f>IFERROR((#REF!/#REF!)*T185,0)</f>
        <v>0</v>
      </c>
      <c r="U187" s="335">
        <f>IFERROR((#REF!/#REF!)*U185,0)</f>
        <v>0</v>
      </c>
      <c r="V187" s="335">
        <f>IFERROR((#REF!/#REF!)*V185,0)</f>
        <v>0</v>
      </c>
      <c r="W187" s="335">
        <f>IFERROR((#REF!/#REF!)*W185,0)</f>
        <v>0</v>
      </c>
      <c r="X187" s="335">
        <f>IFERROR((#REF!/#REF!)*X185,0)</f>
        <v>0</v>
      </c>
      <c r="Y187" s="335">
        <f>IFERROR((#REF!/#REF!)*Y185,0)</f>
        <v>0</v>
      </c>
      <c r="Z187" s="335">
        <f>IFERROR((#REF!/#REF!)*Z185,0)</f>
        <v>0</v>
      </c>
      <c r="AA187" s="335">
        <f>IFERROR((#REF!/#REF!)*AA185,0)</f>
        <v>0</v>
      </c>
      <c r="AB187" s="335">
        <f>IFERROR((#REF!/#REF!)*AB185,0)</f>
        <v>0</v>
      </c>
      <c r="AC187" s="335">
        <f>IFERROR((#REF!/#REF!)*AC185,0)</f>
        <v>0</v>
      </c>
      <c r="AD187" s="335">
        <f>IFERROR((#REF!/#REF!)*AD185,0)</f>
        <v>0</v>
      </c>
      <c r="AE187" s="335">
        <f>IFERROR((#REF!/#REF!)*AE185,0)</f>
        <v>0</v>
      </c>
      <c r="AF187" s="335">
        <f>IFERROR((#REF!/#REF!)*AF185,0)</f>
        <v>0</v>
      </c>
      <c r="AG187" s="335">
        <f>IFERROR((#REF!/#REF!)*AG185,0)</f>
        <v>0</v>
      </c>
      <c r="AH187" s="335">
        <f>IFERROR((#REF!/#REF!)*AH185,0)</f>
        <v>0</v>
      </c>
      <c r="AI187" s="335">
        <f>IFERROR((#REF!/#REF!)*AI185,0)</f>
        <v>0</v>
      </c>
      <c r="AJ187" s="335">
        <f>IFERROR((#REF!/#REF!)*AJ185,0)</f>
        <v>0</v>
      </c>
      <c r="AK187" s="335">
        <f>IFERROR((#REF!/#REF!)*AK185,0)</f>
        <v>0</v>
      </c>
      <c r="AL187" s="335">
        <f>IFERROR((#REF!/#REF!)*AL185,0)</f>
        <v>0</v>
      </c>
      <c r="AM187" s="335">
        <f>IFERROR((#REF!/#REF!)*AM185,0)</f>
        <v>0</v>
      </c>
      <c r="AN187" s="335">
        <f>IFERROR((#REF!/#REF!)*AN185,0)</f>
        <v>0</v>
      </c>
      <c r="AO187" s="335">
        <f>IFERROR((#REF!/#REF!)*AO185,0)</f>
        <v>0</v>
      </c>
      <c r="AP187" s="335">
        <f>IFERROR((#REF!/#REF!)*AP185,0)</f>
        <v>0</v>
      </c>
      <c r="AQ187" s="335">
        <f>IFERROR((#REF!/#REF!)*AQ185,0)</f>
        <v>0</v>
      </c>
      <c r="AR187" s="335">
        <f>IFERROR((#REF!/#REF!)*AR185,0)</f>
        <v>0</v>
      </c>
      <c r="AS187" s="335">
        <f>IFERROR((#REF!/#REF!)*AS185,0)</f>
        <v>0</v>
      </c>
      <c r="AT187" s="335">
        <f>IFERROR((#REF!/#REF!)*AT185,0)</f>
        <v>0</v>
      </c>
      <c r="AU187" s="335">
        <f>IFERROR((#REF!/#REF!)*AU185,0)</f>
        <v>0</v>
      </c>
      <c r="AV187" s="335">
        <f>IFERROR((#REF!/#REF!)*AV185,0)</f>
        <v>0</v>
      </c>
      <c r="AW187" s="335">
        <f>IFERROR((#REF!/#REF!)*AW185,0)</f>
        <v>0</v>
      </c>
      <c r="AX187" s="335">
        <f>IFERROR((#REF!/#REF!)*AX185,0)</f>
        <v>0</v>
      </c>
      <c r="AY187" s="335">
        <f>IFERROR((#REF!/#REF!)*AY185,0)</f>
        <v>0</v>
      </c>
      <c r="AZ187" s="335">
        <f>IFERROR((#REF!/#REF!)*AZ185,0)</f>
        <v>0</v>
      </c>
      <c r="BA187" s="335">
        <f>IFERROR((#REF!/#REF!)*BA185,0)</f>
        <v>0</v>
      </c>
      <c r="BB187" s="335">
        <f>IFERROR((#REF!/#REF!)*BB185,0)</f>
        <v>0</v>
      </c>
      <c r="BC187" s="335">
        <f>IFERROR((#REF!/#REF!)*BC185,0)</f>
        <v>0</v>
      </c>
      <c r="BD187" s="335">
        <f>IFERROR((#REF!/#REF!)*BD185,0)</f>
        <v>0</v>
      </c>
      <c r="BE187" s="335">
        <f>IFERROR((#REF!/#REF!)*BE185,0)</f>
        <v>0</v>
      </c>
      <c r="BF187" s="335">
        <f>IFERROR((#REF!/#REF!)*BF185,0)</f>
        <v>0</v>
      </c>
      <c r="BG187" s="335"/>
      <c r="BH187" s="335"/>
      <c r="BI187" s="335"/>
      <c r="BJ187" s="335"/>
      <c r="BK187" s="335"/>
      <c r="BL187" s="335"/>
    </row>
    <row r="188" spans="1:64" hidden="1" x14ac:dyDescent="0.15">
      <c r="C188" s="257" t="s">
        <v>551</v>
      </c>
      <c r="D188" s="335"/>
      <c r="E188" s="335">
        <f>IFERROR((#REF!/#REF!)*E185,0)</f>
        <v>0</v>
      </c>
      <c r="F188" s="335">
        <f>IFERROR((#REF!/#REF!)*F185,0)</f>
        <v>0</v>
      </c>
      <c r="G188" s="335">
        <f>IFERROR((#REF!/#REF!)*G185,0)</f>
        <v>0</v>
      </c>
      <c r="H188" s="335">
        <f>IFERROR((#REF!/#REF!)*H185,0)</f>
        <v>0</v>
      </c>
      <c r="I188" s="335">
        <f>IFERROR((#REF!/#REF!)*I185,0)</f>
        <v>0</v>
      </c>
      <c r="J188" s="335">
        <f>IFERROR((#REF!/#REF!)*J185,0)</f>
        <v>0</v>
      </c>
      <c r="K188" s="335">
        <f>IFERROR((#REF!/#REF!)*K185,0)</f>
        <v>0</v>
      </c>
      <c r="L188" s="335">
        <f>IFERROR((#REF!/#REF!)*L185,0)</f>
        <v>0</v>
      </c>
      <c r="M188" s="335">
        <f>IFERROR((#REF!/#REF!)*M185,0)</f>
        <v>0</v>
      </c>
      <c r="N188" s="335">
        <f>IFERROR((#REF!/#REF!)*N185,0)</f>
        <v>0</v>
      </c>
      <c r="O188" s="335">
        <f>IFERROR((#REF!/#REF!)*O185,0)</f>
        <v>0</v>
      </c>
      <c r="P188" s="335">
        <f>IFERROR((#REF!/#REF!)*P185,0)</f>
        <v>0</v>
      </c>
      <c r="Q188" s="335">
        <f>IFERROR((#REF!/#REF!)*Q185,0)</f>
        <v>0</v>
      </c>
      <c r="R188" s="335">
        <f>IFERROR((#REF!/#REF!)*R185,0)</f>
        <v>0</v>
      </c>
      <c r="S188" s="335">
        <f>IFERROR((#REF!/#REF!)*S185,0)</f>
        <v>0</v>
      </c>
      <c r="T188" s="335">
        <f>IFERROR((#REF!/#REF!)*T185,0)</f>
        <v>0</v>
      </c>
      <c r="U188" s="335">
        <f>IFERROR((#REF!/#REF!)*U185,0)</f>
        <v>0</v>
      </c>
      <c r="V188" s="335">
        <f>IFERROR((#REF!/#REF!)*V185,0)</f>
        <v>0</v>
      </c>
      <c r="W188" s="335">
        <f>IFERROR((#REF!/#REF!)*W185,0)</f>
        <v>0</v>
      </c>
      <c r="X188" s="335">
        <f>IFERROR((#REF!/#REF!)*X185,0)</f>
        <v>0</v>
      </c>
      <c r="Y188" s="335">
        <f>IFERROR((#REF!/#REF!)*Y185,0)</f>
        <v>0</v>
      </c>
      <c r="Z188" s="335">
        <f>IFERROR((#REF!/#REF!)*Z185,0)</f>
        <v>0</v>
      </c>
      <c r="AA188" s="335">
        <f>IFERROR((#REF!/#REF!)*AA185,0)</f>
        <v>0</v>
      </c>
      <c r="AB188" s="335">
        <f>IFERROR((#REF!/#REF!)*AB185,0)</f>
        <v>0</v>
      </c>
      <c r="AC188" s="335">
        <f>IFERROR((#REF!/#REF!)*AC185,0)</f>
        <v>0</v>
      </c>
      <c r="AD188" s="335">
        <f>IFERROR((#REF!/#REF!)*AD185,0)</f>
        <v>0</v>
      </c>
      <c r="AE188" s="335">
        <f>IFERROR((#REF!/#REF!)*AE185,0)</f>
        <v>0</v>
      </c>
      <c r="AF188" s="335">
        <f>IFERROR((#REF!/#REF!)*AF185,0)</f>
        <v>0</v>
      </c>
      <c r="AG188" s="335">
        <f>IFERROR((#REF!/#REF!)*AG185,0)</f>
        <v>0</v>
      </c>
      <c r="AH188" s="335">
        <f>IFERROR((#REF!/#REF!)*AH185,0)</f>
        <v>0</v>
      </c>
      <c r="AI188" s="335">
        <f>IFERROR((#REF!/#REF!)*AI185,0)</f>
        <v>0</v>
      </c>
      <c r="AJ188" s="335">
        <f>IFERROR((#REF!/#REF!)*AJ185,0)</f>
        <v>0</v>
      </c>
      <c r="AK188" s="335">
        <f>IFERROR((#REF!/#REF!)*AK185,0)</f>
        <v>0</v>
      </c>
      <c r="AL188" s="335">
        <f>IFERROR((#REF!/#REF!)*AL185,0)</f>
        <v>0</v>
      </c>
      <c r="AM188" s="335">
        <f>IFERROR((#REF!/#REF!)*AM185,0)</f>
        <v>0</v>
      </c>
      <c r="AN188" s="335">
        <f>IFERROR((#REF!/#REF!)*AN185,0)</f>
        <v>0</v>
      </c>
      <c r="AO188" s="335">
        <f>IFERROR((#REF!/#REF!)*AO185,0)</f>
        <v>0</v>
      </c>
      <c r="AP188" s="335">
        <f>IFERROR((#REF!/#REF!)*AP185,0)</f>
        <v>0</v>
      </c>
      <c r="AQ188" s="335">
        <f>IFERROR((#REF!/#REF!)*AQ185,0)</f>
        <v>0</v>
      </c>
      <c r="AR188" s="335">
        <f>IFERROR((#REF!/#REF!)*AR185,0)</f>
        <v>0</v>
      </c>
      <c r="AS188" s="335">
        <f>IFERROR((#REF!/#REF!)*AS185,0)</f>
        <v>0</v>
      </c>
      <c r="AT188" s="335">
        <f>IFERROR((#REF!/#REF!)*AT185,0)</f>
        <v>0</v>
      </c>
      <c r="AU188" s="335">
        <f>IFERROR((#REF!/#REF!)*AU185,0)</f>
        <v>0</v>
      </c>
      <c r="AV188" s="335">
        <f>IFERROR((#REF!/#REF!)*AV185,0)</f>
        <v>0</v>
      </c>
      <c r="AW188" s="335">
        <f>IFERROR((#REF!/#REF!)*AW185,0)</f>
        <v>0</v>
      </c>
      <c r="AX188" s="335">
        <f>IFERROR((#REF!/#REF!)*AX185,0)</f>
        <v>0</v>
      </c>
      <c r="AY188" s="335">
        <f>IFERROR((#REF!/#REF!)*AY185,0)</f>
        <v>0</v>
      </c>
      <c r="AZ188" s="335">
        <f>IFERROR((#REF!/#REF!)*AZ185,0)</f>
        <v>0</v>
      </c>
      <c r="BA188" s="335">
        <f>IFERROR((#REF!/#REF!)*BA185,0)</f>
        <v>0</v>
      </c>
      <c r="BB188" s="335">
        <f>IFERROR((#REF!/#REF!)*BB185,0)</f>
        <v>0</v>
      </c>
      <c r="BC188" s="335">
        <f>IFERROR((#REF!/#REF!)*BC185,0)</f>
        <v>0</v>
      </c>
      <c r="BD188" s="335">
        <f>IFERROR((#REF!/#REF!)*BD185,0)</f>
        <v>0</v>
      </c>
      <c r="BE188" s="335">
        <f>IFERROR((#REF!/#REF!)*BE185,0)</f>
        <v>0</v>
      </c>
      <c r="BF188" s="335">
        <f>IFERROR((#REF!/#REF!)*BF185,0)</f>
        <v>0</v>
      </c>
      <c r="BG188" s="335"/>
      <c r="BH188" s="335"/>
      <c r="BI188" s="335"/>
      <c r="BJ188" s="335"/>
      <c r="BK188" s="335"/>
      <c r="BL188" s="335"/>
    </row>
    <row r="189" spans="1:64" hidden="1" x14ac:dyDescent="0.15">
      <c r="C189" s="257" t="s">
        <v>552</v>
      </c>
      <c r="D189" s="335"/>
      <c r="E189" s="335" t="e">
        <f>IF(E5&gt;Leadsheet!$E$14,0,SUM(E185:E188))</f>
        <v>#REF!</v>
      </c>
      <c r="F189" s="335" t="e">
        <f>IF(F5&gt;Leadsheet!$E$14,0,SUM(F185:F188))</f>
        <v>#REF!</v>
      </c>
      <c r="G189" s="335" t="e">
        <f>IF(G5&gt;Leadsheet!$E$14,0,SUM(G185:G188))</f>
        <v>#REF!</v>
      </c>
      <c r="H189" s="335" t="e">
        <f>IF(H5&gt;Leadsheet!$E$14,0,SUM(H185:H188))</f>
        <v>#REF!</v>
      </c>
      <c r="I189" s="335" t="e">
        <f>IF(I5&gt;Leadsheet!$E$14,0,SUM(I185:I188))</f>
        <v>#REF!</v>
      </c>
      <c r="J189" s="335" t="e">
        <f>IF(J5&gt;Leadsheet!$E$14,0,SUM(J185:J188))</f>
        <v>#REF!</v>
      </c>
      <c r="K189" s="335" t="e">
        <f>IF(K5&gt;Leadsheet!$E$14,0,SUM(K185:K188))</f>
        <v>#REF!</v>
      </c>
      <c r="L189" s="335">
        <f>IF(L5&gt;Leadsheet!$E$14,0,SUM(L185:L188))</f>
        <v>0</v>
      </c>
      <c r="M189" s="335">
        <f>IF(M5&gt;Leadsheet!$E$14,0,SUM(M185:M188))</f>
        <v>0</v>
      </c>
      <c r="N189" s="335">
        <f>IF(N5&gt;Leadsheet!$E$14,0,SUM(N185:N188))</f>
        <v>0</v>
      </c>
      <c r="O189" s="335">
        <f>IF(O5&gt;Leadsheet!$E$14,0,SUM(O185:O188))</f>
        <v>0</v>
      </c>
      <c r="P189" s="335">
        <f>IF(P5&gt;Leadsheet!$E$14,0,SUM(P185:P188))</f>
        <v>0</v>
      </c>
      <c r="Q189" s="335">
        <f>IF(Q5&gt;Leadsheet!$E$14,0,SUM(Q185:Q188))</f>
        <v>0</v>
      </c>
      <c r="R189" s="335">
        <f>IF(R5&gt;Leadsheet!$E$14,0,SUM(R185:R188))</f>
        <v>0</v>
      </c>
      <c r="S189" s="335">
        <f>IF(S5&gt;Leadsheet!$E$14,0,SUM(S185:S188))</f>
        <v>0</v>
      </c>
      <c r="T189" s="335">
        <f>IF(T5&gt;Leadsheet!$E$14,0,SUM(T185:T188))</f>
        <v>0</v>
      </c>
      <c r="U189" s="335">
        <f>IF(U5&gt;Leadsheet!$E$14,0,SUM(U185:U188))</f>
        <v>0</v>
      </c>
      <c r="V189" s="335">
        <f>IF(V5&gt;Leadsheet!$E$14,0,SUM(V185:V188))</f>
        <v>0</v>
      </c>
      <c r="W189" s="335">
        <f>IF(W5&gt;Leadsheet!$E$14,0,SUM(W185:W188))</f>
        <v>0</v>
      </c>
      <c r="X189" s="335">
        <f>IF(X5&gt;Leadsheet!$E$14,0,SUM(X185:X188))</f>
        <v>0</v>
      </c>
      <c r="Y189" s="335">
        <f>IF(Y5&gt;Leadsheet!$E$14,0,SUM(Y185:Y188))</f>
        <v>0</v>
      </c>
      <c r="Z189" s="335">
        <f>IF(Z5&gt;Leadsheet!$E$14,0,SUM(Z185:Z188))</f>
        <v>0</v>
      </c>
      <c r="AA189" s="335">
        <f>IF(AA5&gt;Leadsheet!$E$14,0,SUM(AA185:AA188))</f>
        <v>0</v>
      </c>
      <c r="AB189" s="335">
        <f>IF(AB5&gt;Leadsheet!$E$14,0,SUM(AB185:AB188))</f>
        <v>0</v>
      </c>
      <c r="AC189" s="335">
        <f>IF(AC5&gt;Leadsheet!$E$14,0,SUM(AC185:AC188))</f>
        <v>0</v>
      </c>
      <c r="AD189" s="335">
        <f>IF(AD5&gt;Leadsheet!$E$14,0,SUM(AD185:AD188))</f>
        <v>0</v>
      </c>
      <c r="AE189" s="335">
        <f>IF(AE5&gt;Leadsheet!$E$14,0,SUM(AE185:AE188))</f>
        <v>0</v>
      </c>
      <c r="AF189" s="335">
        <f>IF(AF5&gt;Leadsheet!$E$14,0,SUM(AF185:AF188))</f>
        <v>0</v>
      </c>
      <c r="AG189" s="335">
        <f>IF(AG5&gt;Leadsheet!$E$14,0,SUM(AG185:AG188))</f>
        <v>0</v>
      </c>
      <c r="AH189" s="335">
        <f>IF(AH5&gt;Leadsheet!$E$14,0,SUM(AH185:AH188))</f>
        <v>0</v>
      </c>
      <c r="AI189" s="335">
        <f>IF(AI5&gt;Leadsheet!$E$14,0,SUM(AI185:AI188))</f>
        <v>0</v>
      </c>
      <c r="AJ189" s="335">
        <f>IF(AJ5&gt;Leadsheet!$E$14,0,SUM(AJ185:AJ188))</f>
        <v>0</v>
      </c>
      <c r="AK189" s="335">
        <f>IF(AK5&gt;Leadsheet!$E$14,0,SUM(AK185:AK188))</f>
        <v>0</v>
      </c>
      <c r="AL189" s="335">
        <f>IF(AL5&gt;Leadsheet!$E$14,0,SUM(AL185:AL188))</f>
        <v>0</v>
      </c>
      <c r="AM189" s="335">
        <f>IF(AM5&gt;Leadsheet!$E$14,0,SUM(AM185:AM188))</f>
        <v>0</v>
      </c>
      <c r="AN189" s="335">
        <f>IF(AN5&gt;Leadsheet!$E$14,0,SUM(AN185:AN188))</f>
        <v>0</v>
      </c>
      <c r="AO189" s="335">
        <f>IF(AO5&gt;Leadsheet!$E$14,0,SUM(AO185:AO188))</f>
        <v>0</v>
      </c>
      <c r="AP189" s="335">
        <f>IF(AP5&gt;Leadsheet!$E$14,0,SUM(AP185:AP188))</f>
        <v>0</v>
      </c>
      <c r="AQ189" s="335">
        <f>IF(AQ5&gt;Leadsheet!$E$14,0,SUM(AQ185:AQ188))</f>
        <v>0</v>
      </c>
      <c r="AR189" s="335">
        <f>IF(AR5&gt;Leadsheet!$E$14,0,SUM(AR185:AR188))</f>
        <v>0</v>
      </c>
      <c r="AS189" s="335">
        <f>IF(AS5&gt;Leadsheet!$E$14,0,SUM(AS185:AS188))</f>
        <v>0</v>
      </c>
      <c r="AT189" s="335">
        <f>IF(AT5&gt;Leadsheet!$E$14,0,SUM(AT185:AT188))</f>
        <v>0</v>
      </c>
      <c r="AU189" s="335">
        <f>IF(AU5&gt;Leadsheet!$E$14,0,SUM(AU185:AU188))</f>
        <v>0</v>
      </c>
      <c r="AV189" s="335">
        <f>IF(AV5&gt;Leadsheet!$E$14,0,SUM(AV185:AV188))</f>
        <v>0</v>
      </c>
      <c r="AW189" s="335">
        <f>IF(AW5&gt;Leadsheet!$E$14,0,SUM(AW185:AW188))</f>
        <v>0</v>
      </c>
      <c r="AX189" s="335">
        <f>IF(AX5&gt;Leadsheet!$E$14,0,SUM(AX185:AX188))</f>
        <v>0</v>
      </c>
      <c r="AY189" s="335">
        <f>IF(AY5&gt;Leadsheet!$E$14,0,SUM(AY185:AY188))</f>
        <v>0</v>
      </c>
      <c r="AZ189" s="335">
        <f>IF(AZ5&gt;Leadsheet!$E$14,0,SUM(AZ185:AZ188))</f>
        <v>0</v>
      </c>
      <c r="BA189" s="335">
        <f>IF(BA5&gt;Leadsheet!$E$14,0,SUM(BA185:BA188))</f>
        <v>0</v>
      </c>
      <c r="BB189" s="335">
        <f>IF(BB5&gt;Leadsheet!$E$14,0,SUM(BB185:BB188))</f>
        <v>0</v>
      </c>
      <c r="BC189" s="335">
        <f>IF(BC5&gt;Leadsheet!$E$14,0,SUM(BC185:BC188))</f>
        <v>0</v>
      </c>
      <c r="BD189" s="335">
        <f>IF(BD5&gt;Leadsheet!$E$14,0,SUM(BD185:BD188))</f>
        <v>0</v>
      </c>
      <c r="BE189" s="335">
        <f>IF(BE5&gt;Leadsheet!$E$14,0,SUM(BE185:BE188))</f>
        <v>0</v>
      </c>
      <c r="BF189" s="335">
        <f>IF(BF5&gt;Leadsheet!$E$14,0,SUM(BF185:BF188))</f>
        <v>0</v>
      </c>
      <c r="BG189" s="335"/>
      <c r="BH189" s="335"/>
      <c r="BI189" s="335"/>
      <c r="BJ189" s="335"/>
      <c r="BK189" s="335"/>
      <c r="BL189" s="335"/>
    </row>
    <row r="190" spans="1:64" hidden="1" x14ac:dyDescent="0.15"/>
    <row r="191" spans="1:64" hidden="1" x14ac:dyDescent="0.15"/>
    <row r="192" spans="1:64" hidden="1" x14ac:dyDescent="0.15">
      <c r="C192" s="337" t="s">
        <v>553</v>
      </c>
    </row>
    <row r="193" spans="3:64" hidden="1" x14ac:dyDescent="0.15">
      <c r="C193" s="434" t="s">
        <v>554</v>
      </c>
      <c r="E193" s="330" t="e">
        <f>+#REF!</f>
        <v>#REF!</v>
      </c>
      <c r="F193" s="330" t="e">
        <f>+#REF!</f>
        <v>#REF!</v>
      </c>
      <c r="G193" s="330" t="e">
        <f>+#REF!</f>
        <v>#REF!</v>
      </c>
      <c r="H193" s="330" t="e">
        <f>+#REF!</f>
        <v>#REF!</v>
      </c>
      <c r="I193" s="330" t="e">
        <f>+#REF!</f>
        <v>#REF!</v>
      </c>
      <c r="J193" s="330" t="e">
        <f>+#REF!</f>
        <v>#REF!</v>
      </c>
      <c r="K193" s="330" t="e">
        <f>+#REF!</f>
        <v>#REF!</v>
      </c>
      <c r="L193" s="330" t="e">
        <f>+#REF!</f>
        <v>#REF!</v>
      </c>
      <c r="M193" s="330" t="e">
        <f>+#REF!</f>
        <v>#REF!</v>
      </c>
      <c r="N193" s="330" t="e">
        <f>+#REF!</f>
        <v>#REF!</v>
      </c>
      <c r="O193" s="330" t="e">
        <f>+#REF!</f>
        <v>#REF!</v>
      </c>
      <c r="P193" s="330" t="e">
        <f>+#REF!</f>
        <v>#REF!</v>
      </c>
      <c r="Q193" s="330" t="e">
        <f>+#REF!</f>
        <v>#REF!</v>
      </c>
      <c r="R193" s="330" t="e">
        <f>+#REF!</f>
        <v>#REF!</v>
      </c>
      <c r="S193" s="330" t="e">
        <f>+#REF!</f>
        <v>#REF!</v>
      </c>
      <c r="T193" s="330" t="e">
        <f>+#REF!</f>
        <v>#REF!</v>
      </c>
      <c r="U193" s="330" t="e">
        <f>+#REF!</f>
        <v>#REF!</v>
      </c>
      <c r="V193" s="330" t="e">
        <f>+#REF!</f>
        <v>#REF!</v>
      </c>
      <c r="W193" s="330" t="e">
        <f>+#REF!</f>
        <v>#REF!</v>
      </c>
      <c r="X193" s="330" t="e">
        <f>+#REF!</f>
        <v>#REF!</v>
      </c>
      <c r="Y193" s="330" t="e">
        <f>+#REF!</f>
        <v>#REF!</v>
      </c>
      <c r="Z193" s="330" t="e">
        <f>+#REF!</f>
        <v>#REF!</v>
      </c>
      <c r="AA193" s="330" t="e">
        <f>+#REF!</f>
        <v>#REF!</v>
      </c>
      <c r="AB193" s="330" t="e">
        <f>+#REF!</f>
        <v>#REF!</v>
      </c>
      <c r="AC193" s="330" t="e">
        <f>+#REF!</f>
        <v>#REF!</v>
      </c>
      <c r="AD193" s="330" t="e">
        <f>+#REF!</f>
        <v>#REF!</v>
      </c>
      <c r="AE193" s="330" t="e">
        <f>+#REF!</f>
        <v>#REF!</v>
      </c>
      <c r="AF193" s="330" t="e">
        <f>+#REF!</f>
        <v>#REF!</v>
      </c>
      <c r="AG193" s="330" t="e">
        <f>+#REF!</f>
        <v>#REF!</v>
      </c>
      <c r="AH193" s="330" t="e">
        <f>+#REF!</f>
        <v>#REF!</v>
      </c>
      <c r="AI193" s="330" t="e">
        <f>+#REF!</f>
        <v>#REF!</v>
      </c>
      <c r="AJ193" s="330" t="e">
        <f>+#REF!</f>
        <v>#REF!</v>
      </c>
      <c r="AK193" s="330" t="e">
        <f>+#REF!</f>
        <v>#REF!</v>
      </c>
      <c r="AL193" s="330" t="e">
        <f>+#REF!</f>
        <v>#REF!</v>
      </c>
      <c r="AM193" s="330" t="e">
        <f>+#REF!</f>
        <v>#REF!</v>
      </c>
      <c r="AN193" s="330" t="e">
        <f>+#REF!</f>
        <v>#REF!</v>
      </c>
      <c r="AO193" s="330" t="e">
        <f>+#REF!</f>
        <v>#REF!</v>
      </c>
      <c r="AP193" s="330" t="e">
        <f>+#REF!</f>
        <v>#REF!</v>
      </c>
      <c r="AQ193" s="330" t="e">
        <f>+#REF!</f>
        <v>#REF!</v>
      </c>
      <c r="AR193" s="330" t="e">
        <f>+#REF!</f>
        <v>#REF!</v>
      </c>
      <c r="AS193" s="330" t="e">
        <f>+#REF!</f>
        <v>#REF!</v>
      </c>
      <c r="AT193" s="330" t="e">
        <f>+#REF!</f>
        <v>#REF!</v>
      </c>
      <c r="AU193" s="330" t="e">
        <f>+#REF!</f>
        <v>#REF!</v>
      </c>
      <c r="AV193" s="330" t="e">
        <f>+#REF!</f>
        <v>#REF!</v>
      </c>
      <c r="AW193" s="330" t="e">
        <f>+#REF!</f>
        <v>#REF!</v>
      </c>
      <c r="AX193" s="330" t="e">
        <f>+#REF!</f>
        <v>#REF!</v>
      </c>
      <c r="AY193" s="330" t="e">
        <f>+#REF!</f>
        <v>#REF!</v>
      </c>
      <c r="AZ193" s="330" t="e">
        <f>+#REF!</f>
        <v>#REF!</v>
      </c>
      <c r="BA193" s="330" t="e">
        <f>+#REF!</f>
        <v>#REF!</v>
      </c>
      <c r="BB193" s="330" t="e">
        <f>+#REF!</f>
        <v>#REF!</v>
      </c>
      <c r="BC193" s="330" t="e">
        <f>+#REF!</f>
        <v>#REF!</v>
      </c>
      <c r="BD193" s="330" t="e">
        <f>+#REF!</f>
        <v>#REF!</v>
      </c>
      <c r="BE193" s="330" t="e">
        <f>+#REF!</f>
        <v>#REF!</v>
      </c>
      <c r="BF193" s="330" t="e">
        <f>+#REF!</f>
        <v>#REF!</v>
      </c>
      <c r="BG193" s="330"/>
      <c r="BH193" s="330"/>
      <c r="BI193" s="330"/>
      <c r="BJ193" s="330"/>
      <c r="BK193" s="330"/>
      <c r="BL193" s="330"/>
    </row>
    <row r="194" spans="3:64" hidden="1" x14ac:dyDescent="0.15">
      <c r="C194" s="434" t="s">
        <v>555</v>
      </c>
      <c r="E194" s="335" t="e">
        <f>-D25*(#REF!+#REF!*(1+#REF!))</f>
        <v>#REF!</v>
      </c>
      <c r="F194" s="335" t="e">
        <f>-#REF!*(#REF!+#REF!*(1+#REF!))</f>
        <v>#REF!</v>
      </c>
      <c r="G194" s="335" t="e">
        <f>-#REF!*(#REF!+#REF!*(1+#REF!))</f>
        <v>#REF!</v>
      </c>
      <c r="H194" s="335" t="e">
        <f>-#REF!*(#REF!+#REF!*(1+#REF!))</f>
        <v>#REF!</v>
      </c>
      <c r="I194" s="335" t="e">
        <f>-#REF!*(#REF!+#REF!*(1+#REF!))</f>
        <v>#REF!</v>
      </c>
      <c r="J194" s="335" t="e">
        <f>-#REF!*(#REF!+#REF!*(1+#REF!))</f>
        <v>#REF!</v>
      </c>
      <c r="K194" s="335" t="e">
        <f>-#REF!*(#REF!+#REF!*(1+#REF!))</f>
        <v>#REF!</v>
      </c>
      <c r="L194" s="335" t="e">
        <f>-#REF!*(#REF!+#REF!*(1+#REF!))</f>
        <v>#REF!</v>
      </c>
      <c r="M194" s="335" t="e">
        <f>-#REF!*(#REF!+#REF!*(1+#REF!))</f>
        <v>#REF!</v>
      </c>
      <c r="N194" s="335" t="e">
        <f>-#REF!*(#REF!+#REF!*(1+#REF!))</f>
        <v>#REF!</v>
      </c>
      <c r="O194" s="335" t="e">
        <f>-#REF!*(#REF!+#REF!*(1+#REF!))</f>
        <v>#REF!</v>
      </c>
      <c r="P194" s="335" t="e">
        <f>-#REF!*(#REF!+#REF!*(1+#REF!))</f>
        <v>#REF!</v>
      </c>
      <c r="Q194" s="335" t="e">
        <f>-#REF!*(#REF!+#REF!*(1+#REF!))</f>
        <v>#REF!</v>
      </c>
      <c r="R194" s="335" t="e">
        <f>-#REF!*(#REF!+#REF!*(1+#REF!))</f>
        <v>#REF!</v>
      </c>
      <c r="S194" s="335" t="e">
        <f>-#REF!*(#REF!+#REF!*(1+#REF!))</f>
        <v>#REF!</v>
      </c>
      <c r="T194" s="335" t="e">
        <f>-#REF!*(#REF!+#REF!*(1+#REF!))</f>
        <v>#REF!</v>
      </c>
      <c r="U194" s="335" t="e">
        <f>-#REF!*(#REF!+#REF!*(1+#REF!))</f>
        <v>#REF!</v>
      </c>
      <c r="V194" s="335" t="e">
        <f>-#REF!*(#REF!+#REF!*(1+#REF!))</f>
        <v>#REF!</v>
      </c>
      <c r="W194" s="335" t="e">
        <f>-#REF!*(#REF!+#REF!*(1+#REF!))</f>
        <v>#REF!</v>
      </c>
      <c r="X194" s="335" t="e">
        <f>-#REF!*(#REF!+#REF!*(1+#REF!))</f>
        <v>#REF!</v>
      </c>
      <c r="Y194" s="335" t="e">
        <f>-#REF!*(#REF!+#REF!*(1+#REF!))</f>
        <v>#REF!</v>
      </c>
      <c r="Z194" s="335" t="e">
        <f>-#REF!*(#REF!+#REF!*(1+#REF!))</f>
        <v>#REF!</v>
      </c>
      <c r="AA194" s="335" t="e">
        <f>-#REF!*(#REF!+#REF!*(1+#REF!))</f>
        <v>#REF!</v>
      </c>
      <c r="AB194" s="335" t="e">
        <f>-#REF!*(#REF!+#REF!*(1+#REF!))</f>
        <v>#REF!</v>
      </c>
      <c r="AC194" s="335" t="e">
        <f>-#REF!*(#REF!+#REF!*(1+#REF!))</f>
        <v>#REF!</v>
      </c>
      <c r="AD194" s="335" t="e">
        <f>-#REF!*(#REF!+#REF!*(1+#REF!))</f>
        <v>#REF!</v>
      </c>
      <c r="AE194" s="335" t="e">
        <f>-#REF!*(#REF!+#REF!*(1+#REF!))</f>
        <v>#REF!</v>
      </c>
      <c r="AF194" s="335" t="e">
        <f>-#REF!*(#REF!+#REF!*(1+#REF!))</f>
        <v>#REF!</v>
      </c>
      <c r="AG194" s="335" t="e">
        <f>-#REF!*(#REF!+#REF!*(1+#REF!))</f>
        <v>#REF!</v>
      </c>
      <c r="AH194" s="335" t="e">
        <f>-#REF!*(#REF!+#REF!*(1+#REF!))</f>
        <v>#REF!</v>
      </c>
      <c r="AI194" s="335" t="e">
        <f>-#REF!*(#REF!+#REF!*(1+#REF!))</f>
        <v>#REF!</v>
      </c>
      <c r="AJ194" s="335" t="e">
        <f>-#REF!*(#REF!+#REF!*(1+#REF!))</f>
        <v>#REF!</v>
      </c>
      <c r="AK194" s="335" t="e">
        <f>-#REF!*(#REF!+#REF!*(1+#REF!))</f>
        <v>#REF!</v>
      </c>
      <c r="AL194" s="335" t="e">
        <f>-#REF!*(#REF!+#REF!*(1+#REF!))</f>
        <v>#REF!</v>
      </c>
      <c r="AM194" s="335" t="e">
        <f>-#REF!*(#REF!+#REF!*(1+#REF!))</f>
        <v>#REF!</v>
      </c>
      <c r="AN194" s="335" t="e">
        <f>-#REF!*(#REF!+#REF!*(1+#REF!))</f>
        <v>#REF!</v>
      </c>
      <c r="AO194" s="335" t="e">
        <f>-#REF!*(#REF!+#REF!*(1+#REF!))</f>
        <v>#REF!</v>
      </c>
      <c r="AP194" s="335" t="e">
        <f>-#REF!*(#REF!+#REF!*(1+#REF!))</f>
        <v>#REF!</v>
      </c>
      <c r="AQ194" s="335" t="e">
        <f>-#REF!*(#REF!+#REF!*(1+#REF!))</f>
        <v>#REF!</v>
      </c>
      <c r="AR194" s="335" t="e">
        <f>-#REF!*(#REF!+#REF!*(1+#REF!))</f>
        <v>#REF!</v>
      </c>
      <c r="AS194" s="335" t="e">
        <f>-#REF!*(#REF!+#REF!*(1+#REF!))</f>
        <v>#REF!</v>
      </c>
      <c r="AT194" s="335" t="e">
        <f>-#REF!*(#REF!+#REF!*(1+#REF!))</f>
        <v>#REF!</v>
      </c>
      <c r="AU194" s="335" t="e">
        <f>-#REF!*(#REF!+#REF!*(1+#REF!))</f>
        <v>#REF!</v>
      </c>
      <c r="AV194" s="335" t="e">
        <f>-#REF!*(#REF!+#REF!*(1+#REF!))</f>
        <v>#REF!</v>
      </c>
      <c r="AW194" s="335" t="e">
        <f>-#REF!*(#REF!+#REF!*(1+#REF!))</f>
        <v>#REF!</v>
      </c>
      <c r="AX194" s="335" t="e">
        <f>-#REF!*(#REF!+#REF!*(1+#REF!))</f>
        <v>#REF!</v>
      </c>
      <c r="AY194" s="335" t="e">
        <f>-#REF!*(#REF!+#REF!*(1+#REF!))</f>
        <v>#REF!</v>
      </c>
      <c r="AZ194" s="335" t="e">
        <f>-#REF!*(#REF!+#REF!*(1+#REF!))</f>
        <v>#REF!</v>
      </c>
      <c r="BA194" s="335" t="e">
        <f>-#REF!*(#REF!+#REF!*(1+#REF!))</f>
        <v>#REF!</v>
      </c>
      <c r="BB194" s="335" t="e">
        <f>-#REF!*(#REF!+#REF!*(1+#REF!))</f>
        <v>#REF!</v>
      </c>
      <c r="BC194" s="335" t="e">
        <f>-#REF!*(#REF!+#REF!*(1+#REF!))</f>
        <v>#REF!</v>
      </c>
      <c r="BD194" s="335" t="e">
        <f>-#REF!*(#REF!+#REF!*(1+#REF!))</f>
        <v>#REF!</v>
      </c>
      <c r="BE194" s="335" t="e">
        <f>-#REF!*(#REF!+#REF!*(1+#REF!))</f>
        <v>#REF!</v>
      </c>
      <c r="BF194" s="335" t="e">
        <f>-#REF!*(#REF!+#REF!*(1+#REF!))</f>
        <v>#REF!</v>
      </c>
      <c r="BG194" s="335"/>
      <c r="BH194" s="335"/>
      <c r="BI194" s="335"/>
      <c r="BJ194" s="335"/>
      <c r="BK194" s="335"/>
      <c r="BL194" s="335"/>
    </row>
    <row r="195" spans="3:64" hidden="1" x14ac:dyDescent="0.15">
      <c r="C195" s="434" t="s">
        <v>556</v>
      </c>
      <c r="E195" s="335" t="e">
        <v>#REF!</v>
      </c>
      <c r="F195" s="335" t="e">
        <v>#REF!</v>
      </c>
      <c r="G195" s="335" t="e">
        <v>#REF!</v>
      </c>
      <c r="H195" s="335" t="e">
        <v>#REF!</v>
      </c>
      <c r="I195" s="335" t="e">
        <v>#REF!</v>
      </c>
      <c r="J195" s="335" t="e">
        <v>#REF!</v>
      </c>
      <c r="K195" s="335" t="e">
        <v>#REF!</v>
      </c>
      <c r="L195" s="335" t="e">
        <v>#REF!</v>
      </c>
      <c r="M195" s="335" t="e">
        <v>#REF!</v>
      </c>
      <c r="N195" s="335" t="e">
        <v>#REF!</v>
      </c>
      <c r="O195" s="335" t="e">
        <v>#REF!</v>
      </c>
      <c r="P195" s="335" t="e">
        <v>#REF!</v>
      </c>
      <c r="Q195" s="335" t="e">
        <v>#REF!</v>
      </c>
      <c r="R195" s="335" t="e">
        <v>#REF!</v>
      </c>
      <c r="S195" s="335" t="e">
        <v>#REF!</v>
      </c>
      <c r="T195" s="335" t="e">
        <v>#REF!</v>
      </c>
      <c r="U195" s="335" t="e">
        <v>#REF!</v>
      </c>
      <c r="V195" s="335" t="e">
        <v>#REF!</v>
      </c>
      <c r="W195" s="335" t="e">
        <v>#REF!</v>
      </c>
      <c r="X195" s="335" t="e">
        <v>#REF!</v>
      </c>
      <c r="Y195" s="335" t="e">
        <v>#REF!</v>
      </c>
      <c r="Z195" s="335" t="e">
        <v>#REF!</v>
      </c>
      <c r="AA195" s="335" t="e">
        <v>#REF!</v>
      </c>
      <c r="AB195" s="335" t="e">
        <v>#REF!</v>
      </c>
      <c r="AC195" s="335" t="e">
        <v>#REF!</v>
      </c>
      <c r="AD195" s="335" t="e">
        <v>#REF!</v>
      </c>
      <c r="AE195" s="335" t="e">
        <v>#REF!</v>
      </c>
      <c r="AF195" s="335" t="e">
        <v>#REF!</v>
      </c>
      <c r="AG195" s="335" t="e">
        <v>#REF!</v>
      </c>
      <c r="AH195" s="335" t="e">
        <v>#REF!</v>
      </c>
      <c r="AI195" s="335" t="e">
        <v>#REF!</v>
      </c>
      <c r="AJ195" s="335" t="e">
        <v>#REF!</v>
      </c>
      <c r="AK195" s="335" t="e">
        <v>#REF!</v>
      </c>
      <c r="AL195" s="335" t="e">
        <v>#REF!</v>
      </c>
      <c r="AM195" s="335" t="e">
        <v>#REF!</v>
      </c>
      <c r="AN195" s="335" t="e">
        <v>#REF!</v>
      </c>
      <c r="AO195" s="335" t="e">
        <v>#REF!</v>
      </c>
      <c r="AP195" s="335" t="e">
        <v>#REF!</v>
      </c>
      <c r="AQ195" s="335" t="e">
        <v>#REF!</v>
      </c>
      <c r="AR195" s="335" t="e">
        <v>#REF!</v>
      </c>
      <c r="AS195" s="335" t="e">
        <v>#REF!</v>
      </c>
      <c r="AT195" s="335" t="e">
        <v>#REF!</v>
      </c>
      <c r="AU195" s="335" t="e">
        <v>#REF!</v>
      </c>
      <c r="AV195" s="335" t="e">
        <v>#REF!</v>
      </c>
      <c r="AW195" s="335" t="e">
        <v>#REF!</v>
      </c>
      <c r="AX195" s="335" t="e">
        <v>#REF!</v>
      </c>
      <c r="AY195" s="335" t="e">
        <v>#REF!</v>
      </c>
      <c r="AZ195" s="335" t="e">
        <v>#REF!</v>
      </c>
      <c r="BA195" s="335" t="e">
        <v>#REF!</v>
      </c>
      <c r="BB195" s="335" t="e">
        <v>#REF!</v>
      </c>
      <c r="BC195" s="335" t="e">
        <v>#REF!</v>
      </c>
      <c r="BD195" s="335" t="e">
        <v>#REF!</v>
      </c>
      <c r="BE195" s="335" t="e">
        <v>#REF!</v>
      </c>
      <c r="BF195" s="335" t="e">
        <v>#REF!</v>
      </c>
      <c r="BG195" s="335"/>
      <c r="BH195" s="335"/>
      <c r="BI195" s="335"/>
      <c r="BJ195" s="335"/>
      <c r="BK195" s="335"/>
      <c r="BL195" s="335"/>
    </row>
    <row r="196" spans="3:64" hidden="1" x14ac:dyDescent="0.15">
      <c r="C196" s="434" t="s">
        <v>557</v>
      </c>
      <c r="E196" s="335" t="e">
        <v>#REF!</v>
      </c>
      <c r="F196" s="335" t="e">
        <v>#REF!</v>
      </c>
      <c r="G196" s="335" t="e">
        <v>#REF!</v>
      </c>
      <c r="H196" s="335" t="e">
        <v>#REF!</v>
      </c>
      <c r="I196" s="335" t="e">
        <v>#REF!</v>
      </c>
      <c r="J196" s="335" t="e">
        <v>#REF!</v>
      </c>
      <c r="K196" s="335" t="e">
        <v>#REF!</v>
      </c>
      <c r="L196" s="335" t="e">
        <v>#REF!</v>
      </c>
      <c r="M196" s="335" t="e">
        <v>#REF!</v>
      </c>
      <c r="N196" s="335" t="e">
        <v>#REF!</v>
      </c>
      <c r="O196" s="335" t="e">
        <v>#REF!</v>
      </c>
      <c r="P196" s="335" t="e">
        <v>#REF!</v>
      </c>
      <c r="Q196" s="335" t="e">
        <v>#REF!</v>
      </c>
      <c r="R196" s="335" t="e">
        <v>#REF!</v>
      </c>
      <c r="S196" s="335" t="e">
        <v>#REF!</v>
      </c>
      <c r="T196" s="335" t="e">
        <v>#REF!</v>
      </c>
      <c r="U196" s="335" t="e">
        <v>#REF!</v>
      </c>
      <c r="V196" s="335" t="e">
        <v>#REF!</v>
      </c>
      <c r="W196" s="335" t="e">
        <v>#REF!</v>
      </c>
      <c r="X196" s="335" t="e">
        <v>#REF!</v>
      </c>
      <c r="Y196" s="335" t="e">
        <v>#REF!</v>
      </c>
      <c r="Z196" s="335" t="e">
        <v>#REF!</v>
      </c>
      <c r="AA196" s="335" t="e">
        <v>#REF!</v>
      </c>
      <c r="AB196" s="335" t="e">
        <v>#REF!</v>
      </c>
      <c r="AC196" s="335" t="e">
        <v>#REF!</v>
      </c>
      <c r="AD196" s="335" t="e">
        <v>#REF!</v>
      </c>
      <c r="AE196" s="335" t="e">
        <v>#REF!</v>
      </c>
      <c r="AF196" s="335" t="e">
        <v>#REF!</v>
      </c>
      <c r="AG196" s="335" t="e">
        <v>#REF!</v>
      </c>
      <c r="AH196" s="335" t="e">
        <v>#REF!</v>
      </c>
      <c r="AI196" s="335" t="e">
        <v>#REF!</v>
      </c>
      <c r="AJ196" s="335" t="e">
        <v>#REF!</v>
      </c>
      <c r="AK196" s="335" t="e">
        <v>#REF!</v>
      </c>
      <c r="AL196" s="335" t="e">
        <v>#REF!</v>
      </c>
      <c r="AM196" s="335" t="e">
        <v>#REF!</v>
      </c>
      <c r="AN196" s="335" t="e">
        <v>#REF!</v>
      </c>
      <c r="AO196" s="335" t="e">
        <v>#REF!</v>
      </c>
      <c r="AP196" s="335" t="e">
        <v>#REF!</v>
      </c>
      <c r="AQ196" s="335" t="e">
        <v>#REF!</v>
      </c>
      <c r="AR196" s="335" t="e">
        <v>#REF!</v>
      </c>
      <c r="AS196" s="335" t="e">
        <v>#REF!</v>
      </c>
      <c r="AT196" s="335" t="e">
        <v>#REF!</v>
      </c>
      <c r="AU196" s="335" t="e">
        <v>#REF!</v>
      </c>
      <c r="AV196" s="335" t="e">
        <v>#REF!</v>
      </c>
      <c r="AW196" s="335" t="e">
        <v>#REF!</v>
      </c>
      <c r="AX196" s="335" t="e">
        <v>#REF!</v>
      </c>
      <c r="AY196" s="335" t="e">
        <v>#REF!</v>
      </c>
      <c r="AZ196" s="335" t="e">
        <v>#REF!</v>
      </c>
      <c r="BA196" s="335" t="e">
        <v>#REF!</v>
      </c>
      <c r="BB196" s="335" t="e">
        <v>#REF!</v>
      </c>
      <c r="BC196" s="335" t="e">
        <v>#REF!</v>
      </c>
      <c r="BD196" s="335" t="e">
        <v>#REF!</v>
      </c>
      <c r="BE196" s="335" t="e">
        <v>#REF!</v>
      </c>
      <c r="BF196" s="335" t="e">
        <v>#REF!</v>
      </c>
      <c r="BG196" s="335"/>
      <c r="BH196" s="335"/>
      <c r="BI196" s="335"/>
      <c r="BJ196" s="335"/>
      <c r="BK196" s="335"/>
      <c r="BL196" s="335"/>
    </row>
    <row r="197" spans="3:64" hidden="1" x14ac:dyDescent="0.15">
      <c r="C197" s="434" t="s">
        <v>558</v>
      </c>
      <c r="E197" s="335" t="e">
        <f t="shared" ref="E197:BF197" si="46">SUM(E193:E196)</f>
        <v>#REF!</v>
      </c>
      <c r="F197" s="335" t="e">
        <f t="shared" si="46"/>
        <v>#REF!</v>
      </c>
      <c r="G197" s="335" t="e">
        <f t="shared" si="46"/>
        <v>#REF!</v>
      </c>
      <c r="H197" s="335" t="e">
        <f t="shared" si="46"/>
        <v>#REF!</v>
      </c>
      <c r="I197" s="335" t="e">
        <f t="shared" si="46"/>
        <v>#REF!</v>
      </c>
      <c r="J197" s="335" t="e">
        <f t="shared" si="46"/>
        <v>#REF!</v>
      </c>
      <c r="K197" s="335" t="e">
        <f t="shared" si="46"/>
        <v>#REF!</v>
      </c>
      <c r="L197" s="335" t="e">
        <f t="shared" si="46"/>
        <v>#REF!</v>
      </c>
      <c r="M197" s="335" t="e">
        <f t="shared" si="46"/>
        <v>#REF!</v>
      </c>
      <c r="N197" s="335" t="e">
        <f t="shared" si="46"/>
        <v>#REF!</v>
      </c>
      <c r="O197" s="335" t="e">
        <f t="shared" si="46"/>
        <v>#REF!</v>
      </c>
      <c r="P197" s="335" t="e">
        <f t="shared" si="46"/>
        <v>#REF!</v>
      </c>
      <c r="Q197" s="335" t="e">
        <f t="shared" si="46"/>
        <v>#REF!</v>
      </c>
      <c r="R197" s="335" t="e">
        <f t="shared" si="46"/>
        <v>#REF!</v>
      </c>
      <c r="S197" s="335" t="e">
        <f t="shared" si="46"/>
        <v>#REF!</v>
      </c>
      <c r="T197" s="335" t="e">
        <f t="shared" si="46"/>
        <v>#REF!</v>
      </c>
      <c r="U197" s="335" t="e">
        <f t="shared" si="46"/>
        <v>#REF!</v>
      </c>
      <c r="V197" s="335" t="e">
        <f t="shared" si="46"/>
        <v>#REF!</v>
      </c>
      <c r="W197" s="335" t="e">
        <f t="shared" si="46"/>
        <v>#REF!</v>
      </c>
      <c r="X197" s="335" t="e">
        <f t="shared" si="46"/>
        <v>#REF!</v>
      </c>
      <c r="Y197" s="335" t="e">
        <f t="shared" si="46"/>
        <v>#REF!</v>
      </c>
      <c r="Z197" s="335" t="e">
        <f t="shared" si="46"/>
        <v>#REF!</v>
      </c>
      <c r="AA197" s="335" t="e">
        <f t="shared" si="46"/>
        <v>#REF!</v>
      </c>
      <c r="AB197" s="335" t="e">
        <f t="shared" si="46"/>
        <v>#REF!</v>
      </c>
      <c r="AC197" s="335" t="e">
        <f t="shared" si="46"/>
        <v>#REF!</v>
      </c>
      <c r="AD197" s="335" t="e">
        <f t="shared" si="46"/>
        <v>#REF!</v>
      </c>
      <c r="AE197" s="335" t="e">
        <f t="shared" si="46"/>
        <v>#REF!</v>
      </c>
      <c r="AF197" s="335" t="e">
        <f t="shared" si="46"/>
        <v>#REF!</v>
      </c>
      <c r="AG197" s="335" t="e">
        <f t="shared" si="46"/>
        <v>#REF!</v>
      </c>
      <c r="AH197" s="335" t="e">
        <f t="shared" si="46"/>
        <v>#REF!</v>
      </c>
      <c r="AI197" s="335" t="e">
        <f t="shared" si="46"/>
        <v>#REF!</v>
      </c>
      <c r="AJ197" s="335" t="e">
        <f t="shared" si="46"/>
        <v>#REF!</v>
      </c>
      <c r="AK197" s="335" t="e">
        <f t="shared" si="46"/>
        <v>#REF!</v>
      </c>
      <c r="AL197" s="335" t="e">
        <f t="shared" si="46"/>
        <v>#REF!</v>
      </c>
      <c r="AM197" s="335" t="e">
        <f t="shared" si="46"/>
        <v>#REF!</v>
      </c>
      <c r="AN197" s="335" t="e">
        <f t="shared" si="46"/>
        <v>#REF!</v>
      </c>
      <c r="AO197" s="335" t="e">
        <f t="shared" si="46"/>
        <v>#REF!</v>
      </c>
      <c r="AP197" s="335" t="e">
        <f t="shared" si="46"/>
        <v>#REF!</v>
      </c>
      <c r="AQ197" s="335" t="e">
        <f t="shared" si="46"/>
        <v>#REF!</v>
      </c>
      <c r="AR197" s="335" t="e">
        <f t="shared" si="46"/>
        <v>#REF!</v>
      </c>
      <c r="AS197" s="335" t="e">
        <f t="shared" si="46"/>
        <v>#REF!</v>
      </c>
      <c r="AT197" s="335" t="e">
        <f t="shared" si="46"/>
        <v>#REF!</v>
      </c>
      <c r="AU197" s="335" t="e">
        <f t="shared" si="46"/>
        <v>#REF!</v>
      </c>
      <c r="AV197" s="335" t="e">
        <f t="shared" si="46"/>
        <v>#REF!</v>
      </c>
      <c r="AW197" s="335" t="e">
        <f t="shared" si="46"/>
        <v>#REF!</v>
      </c>
      <c r="AX197" s="335" t="e">
        <f t="shared" si="46"/>
        <v>#REF!</v>
      </c>
      <c r="AY197" s="335" t="e">
        <f t="shared" si="46"/>
        <v>#REF!</v>
      </c>
      <c r="AZ197" s="335" t="e">
        <f t="shared" si="46"/>
        <v>#REF!</v>
      </c>
      <c r="BA197" s="335" t="e">
        <f t="shared" si="46"/>
        <v>#REF!</v>
      </c>
      <c r="BB197" s="335" t="e">
        <f t="shared" si="46"/>
        <v>#REF!</v>
      </c>
      <c r="BC197" s="335" t="e">
        <f t="shared" si="46"/>
        <v>#REF!</v>
      </c>
      <c r="BD197" s="335" t="e">
        <f t="shared" si="46"/>
        <v>#REF!</v>
      </c>
      <c r="BE197" s="335" t="e">
        <f t="shared" si="46"/>
        <v>#REF!</v>
      </c>
      <c r="BF197" s="335" t="e">
        <f t="shared" si="46"/>
        <v>#REF!</v>
      </c>
      <c r="BG197" s="335"/>
      <c r="BH197" s="335"/>
      <c r="BI197" s="335"/>
      <c r="BJ197" s="335"/>
      <c r="BK197" s="335"/>
      <c r="BL197" s="335"/>
    </row>
    <row r="198" spans="3:64" hidden="1" x14ac:dyDescent="0.15"/>
    <row r="199" spans="3:64" hidden="1" x14ac:dyDescent="0.15"/>
    <row r="200" spans="3:64" hidden="1" x14ac:dyDescent="0.15">
      <c r="C200" s="337" t="s">
        <v>559</v>
      </c>
    </row>
    <row r="201" spans="3:64" hidden="1" x14ac:dyDescent="0.15">
      <c r="C201" s="434" t="s">
        <v>554</v>
      </c>
      <c r="E201" s="330">
        <f>+SUM(D26:D28)</f>
        <v>0</v>
      </c>
      <c r="F201" s="330">
        <f t="shared" ref="F201:BF201" si="47">+SUM(E41:E46)</f>
        <v>1.5233032669946553</v>
      </c>
      <c r="G201" s="330">
        <f t="shared" si="47"/>
        <v>1.416026097260751</v>
      </c>
      <c r="H201" s="330">
        <f t="shared" si="47"/>
        <v>1.3957575067059564</v>
      </c>
      <c r="I201" s="330">
        <f t="shared" si="47"/>
        <v>1.3863476007971256</v>
      </c>
      <c r="J201" s="330">
        <f t="shared" si="47"/>
        <v>1.3822674206800536</v>
      </c>
      <c r="K201" s="330">
        <f t="shared" si="47"/>
        <v>1.378444746473253</v>
      </c>
      <c r="L201" s="330">
        <f t="shared" si="47"/>
        <v>0.37541718850146705</v>
      </c>
      <c r="M201" s="330">
        <f t="shared" si="47"/>
        <v>0</v>
      </c>
      <c r="N201" s="330">
        <f t="shared" si="47"/>
        <v>0</v>
      </c>
      <c r="O201" s="330">
        <f t="shared" si="47"/>
        <v>0</v>
      </c>
      <c r="P201" s="330">
        <f t="shared" si="47"/>
        <v>0</v>
      </c>
      <c r="Q201" s="330">
        <f t="shared" si="47"/>
        <v>0</v>
      </c>
      <c r="R201" s="330">
        <f t="shared" si="47"/>
        <v>0</v>
      </c>
      <c r="S201" s="330">
        <f t="shared" si="47"/>
        <v>0</v>
      </c>
      <c r="T201" s="330">
        <f t="shared" si="47"/>
        <v>0</v>
      </c>
      <c r="U201" s="330">
        <f t="shared" si="47"/>
        <v>0</v>
      </c>
      <c r="V201" s="330">
        <f t="shared" si="47"/>
        <v>0</v>
      </c>
      <c r="W201" s="330">
        <f t="shared" si="47"/>
        <v>0</v>
      </c>
      <c r="X201" s="330">
        <f t="shared" si="47"/>
        <v>0</v>
      </c>
      <c r="Y201" s="330">
        <f t="shared" si="47"/>
        <v>0</v>
      </c>
      <c r="Z201" s="330">
        <f t="shared" si="47"/>
        <v>0</v>
      </c>
      <c r="AA201" s="330">
        <f t="shared" si="47"/>
        <v>0</v>
      </c>
      <c r="AB201" s="330">
        <f t="shared" si="47"/>
        <v>0</v>
      </c>
      <c r="AC201" s="330">
        <f t="shared" si="47"/>
        <v>0</v>
      </c>
      <c r="AD201" s="330">
        <f t="shared" si="47"/>
        <v>0</v>
      </c>
      <c r="AE201" s="330">
        <f t="shared" si="47"/>
        <v>0</v>
      </c>
      <c r="AF201" s="330">
        <f t="shared" si="47"/>
        <v>0</v>
      </c>
      <c r="AG201" s="330">
        <f t="shared" si="47"/>
        <v>0</v>
      </c>
      <c r="AH201" s="330">
        <f t="shared" si="47"/>
        <v>0</v>
      </c>
      <c r="AI201" s="330">
        <f t="shared" si="47"/>
        <v>0</v>
      </c>
      <c r="AJ201" s="330">
        <f t="shared" si="47"/>
        <v>0</v>
      </c>
      <c r="AK201" s="330">
        <f t="shared" si="47"/>
        <v>0</v>
      </c>
      <c r="AL201" s="330">
        <f t="shared" si="47"/>
        <v>0</v>
      </c>
      <c r="AM201" s="330">
        <f t="shared" si="47"/>
        <v>0</v>
      </c>
      <c r="AN201" s="330">
        <f t="shared" si="47"/>
        <v>0</v>
      </c>
      <c r="AO201" s="330">
        <f t="shared" si="47"/>
        <v>0</v>
      </c>
      <c r="AP201" s="330">
        <f t="shared" si="47"/>
        <v>0</v>
      </c>
      <c r="AQ201" s="330">
        <f t="shared" si="47"/>
        <v>0</v>
      </c>
      <c r="AR201" s="330">
        <f t="shared" si="47"/>
        <v>0</v>
      </c>
      <c r="AS201" s="330">
        <f t="shared" si="47"/>
        <v>0</v>
      </c>
      <c r="AT201" s="330">
        <f t="shared" si="47"/>
        <v>0</v>
      </c>
      <c r="AU201" s="330">
        <f t="shared" si="47"/>
        <v>0</v>
      </c>
      <c r="AV201" s="330">
        <f t="shared" si="47"/>
        <v>0</v>
      </c>
      <c r="AW201" s="330">
        <f t="shared" si="47"/>
        <v>0</v>
      </c>
      <c r="AX201" s="330">
        <f t="shared" si="47"/>
        <v>0</v>
      </c>
      <c r="AY201" s="330">
        <f t="shared" si="47"/>
        <v>0</v>
      </c>
      <c r="AZ201" s="330">
        <f t="shared" si="47"/>
        <v>0</v>
      </c>
      <c r="BA201" s="330">
        <f t="shared" si="47"/>
        <v>0</v>
      </c>
      <c r="BB201" s="330">
        <f t="shared" si="47"/>
        <v>0</v>
      </c>
      <c r="BC201" s="330">
        <f t="shared" si="47"/>
        <v>0</v>
      </c>
      <c r="BD201" s="330">
        <f t="shared" si="47"/>
        <v>0</v>
      </c>
      <c r="BE201" s="330">
        <f t="shared" si="47"/>
        <v>0</v>
      </c>
      <c r="BF201" s="330">
        <f t="shared" si="47"/>
        <v>0</v>
      </c>
      <c r="BG201" s="330"/>
      <c r="BH201" s="330"/>
      <c r="BI201" s="330"/>
      <c r="BJ201" s="330"/>
      <c r="BK201" s="330"/>
      <c r="BL201" s="330"/>
    </row>
    <row r="202" spans="3:64" hidden="1" x14ac:dyDescent="0.15">
      <c r="C202" s="434" t="s">
        <v>555</v>
      </c>
      <c r="E202" s="335" t="e">
        <v>#REF!</v>
      </c>
      <c r="F202" s="335" t="e">
        <v>#REF!</v>
      </c>
      <c r="G202" s="335" t="e">
        <v>#REF!</v>
      </c>
      <c r="H202" s="335" t="e">
        <v>#REF!</v>
      </c>
      <c r="I202" s="335" t="e">
        <v>#REF!</v>
      </c>
      <c r="J202" s="335" t="e">
        <v>#REF!</v>
      </c>
      <c r="K202" s="335" t="e">
        <v>#REF!</v>
      </c>
      <c r="L202" s="335" t="e">
        <v>#REF!</v>
      </c>
      <c r="M202" s="335" t="e">
        <v>#REF!</v>
      </c>
      <c r="N202" s="335" t="e">
        <v>#REF!</v>
      </c>
      <c r="O202" s="335" t="e">
        <v>#REF!</v>
      </c>
      <c r="P202" s="335" t="e">
        <v>#REF!</v>
      </c>
      <c r="Q202" s="335" t="e">
        <v>#REF!</v>
      </c>
      <c r="R202" s="335" t="e">
        <v>#REF!</v>
      </c>
      <c r="S202" s="335" t="e">
        <v>#REF!</v>
      </c>
      <c r="T202" s="335" t="e">
        <v>#REF!</v>
      </c>
      <c r="U202" s="335" t="e">
        <v>#REF!</v>
      </c>
      <c r="V202" s="335" t="e">
        <v>#REF!</v>
      </c>
      <c r="W202" s="335" t="e">
        <v>#REF!</v>
      </c>
      <c r="X202" s="335" t="e">
        <v>#REF!</v>
      </c>
      <c r="Y202" s="335" t="e">
        <v>#REF!</v>
      </c>
      <c r="Z202" s="335" t="e">
        <v>#REF!</v>
      </c>
      <c r="AA202" s="335" t="e">
        <v>#REF!</v>
      </c>
      <c r="AB202" s="335" t="e">
        <v>#REF!</v>
      </c>
      <c r="AC202" s="335" t="e">
        <v>#REF!</v>
      </c>
      <c r="AD202" s="335" t="e">
        <v>#REF!</v>
      </c>
      <c r="AE202" s="335" t="e">
        <v>#REF!</v>
      </c>
      <c r="AF202" s="335" t="e">
        <v>#REF!</v>
      </c>
      <c r="AG202" s="335" t="e">
        <v>#REF!</v>
      </c>
      <c r="AH202" s="335" t="e">
        <v>#REF!</v>
      </c>
      <c r="AI202" s="335" t="e">
        <v>#REF!</v>
      </c>
      <c r="AJ202" s="335" t="e">
        <v>#REF!</v>
      </c>
      <c r="AK202" s="335" t="e">
        <v>#REF!</v>
      </c>
      <c r="AL202" s="335" t="e">
        <v>#REF!</v>
      </c>
      <c r="AM202" s="335" t="e">
        <v>#REF!</v>
      </c>
      <c r="AN202" s="335" t="e">
        <v>#REF!</v>
      </c>
      <c r="AO202" s="335" t="e">
        <v>#REF!</v>
      </c>
      <c r="AP202" s="335" t="e">
        <v>#REF!</v>
      </c>
      <c r="AQ202" s="335" t="e">
        <v>#REF!</v>
      </c>
      <c r="AR202" s="335" t="e">
        <v>#REF!</v>
      </c>
      <c r="AS202" s="335" t="e">
        <v>#REF!</v>
      </c>
      <c r="AT202" s="335" t="e">
        <v>#REF!</v>
      </c>
      <c r="AU202" s="335" t="e">
        <v>#REF!</v>
      </c>
      <c r="AV202" s="335" t="e">
        <v>#REF!</v>
      </c>
      <c r="AW202" s="335" t="e">
        <v>#REF!</v>
      </c>
      <c r="AX202" s="335" t="e">
        <v>#REF!</v>
      </c>
      <c r="AY202" s="335" t="e">
        <v>#REF!</v>
      </c>
      <c r="AZ202" s="335" t="e">
        <v>#REF!</v>
      </c>
      <c r="BA202" s="335" t="e">
        <v>#REF!</v>
      </c>
      <c r="BB202" s="335" t="e">
        <v>#REF!</v>
      </c>
      <c r="BC202" s="335" t="e">
        <v>#REF!</v>
      </c>
      <c r="BD202" s="335" t="e">
        <v>#REF!</v>
      </c>
      <c r="BE202" s="335" t="e">
        <v>#REF!</v>
      </c>
      <c r="BF202" s="335" t="e">
        <v>#REF!</v>
      </c>
      <c r="BG202" s="335"/>
      <c r="BH202" s="335"/>
      <c r="BI202" s="335"/>
      <c r="BJ202" s="335"/>
      <c r="BK202" s="335"/>
      <c r="BL202" s="335"/>
    </row>
    <row r="203" spans="3:64" hidden="1" x14ac:dyDescent="0.15">
      <c r="C203" s="434" t="s">
        <v>556</v>
      </c>
      <c r="E203" s="335" t="e">
        <v>#REF!</v>
      </c>
      <c r="F203" s="335" t="e">
        <v>#REF!</v>
      </c>
      <c r="G203" s="335" t="e">
        <v>#REF!</v>
      </c>
      <c r="H203" s="335" t="e">
        <v>#REF!</v>
      </c>
      <c r="I203" s="335" t="e">
        <v>#REF!</v>
      </c>
      <c r="J203" s="335" t="e">
        <v>#REF!</v>
      </c>
      <c r="K203" s="335" t="e">
        <v>#REF!</v>
      </c>
      <c r="L203" s="335" t="e">
        <v>#REF!</v>
      </c>
      <c r="M203" s="335" t="e">
        <v>#REF!</v>
      </c>
      <c r="N203" s="335" t="e">
        <v>#REF!</v>
      </c>
      <c r="O203" s="335" t="e">
        <v>#REF!</v>
      </c>
      <c r="P203" s="335" t="e">
        <v>#REF!</v>
      </c>
      <c r="Q203" s="335" t="e">
        <v>#REF!</v>
      </c>
      <c r="R203" s="335" t="e">
        <v>#REF!</v>
      </c>
      <c r="S203" s="335" t="e">
        <v>#REF!</v>
      </c>
      <c r="T203" s="335" t="e">
        <v>#REF!</v>
      </c>
      <c r="U203" s="335" t="e">
        <v>#REF!</v>
      </c>
      <c r="V203" s="335" t="e">
        <v>#REF!</v>
      </c>
      <c r="W203" s="335" t="e">
        <v>#REF!</v>
      </c>
      <c r="X203" s="335" t="e">
        <v>#REF!</v>
      </c>
      <c r="Y203" s="335" t="e">
        <v>#REF!</v>
      </c>
      <c r="Z203" s="335" t="e">
        <v>#REF!</v>
      </c>
      <c r="AA203" s="335" t="e">
        <v>#REF!</v>
      </c>
      <c r="AB203" s="335" t="e">
        <v>#REF!</v>
      </c>
      <c r="AC203" s="335" t="e">
        <v>#REF!</v>
      </c>
      <c r="AD203" s="335" t="e">
        <v>#REF!</v>
      </c>
      <c r="AE203" s="335" t="e">
        <v>#REF!</v>
      </c>
      <c r="AF203" s="335" t="e">
        <v>#REF!</v>
      </c>
      <c r="AG203" s="335" t="e">
        <v>#REF!</v>
      </c>
      <c r="AH203" s="335" t="e">
        <v>#REF!</v>
      </c>
      <c r="AI203" s="335" t="e">
        <v>#REF!</v>
      </c>
      <c r="AJ203" s="335" t="e">
        <v>#REF!</v>
      </c>
      <c r="AK203" s="335" t="e">
        <v>#REF!</v>
      </c>
      <c r="AL203" s="335" t="e">
        <v>#REF!</v>
      </c>
      <c r="AM203" s="335" t="e">
        <v>#REF!</v>
      </c>
      <c r="AN203" s="335" t="e">
        <v>#REF!</v>
      </c>
      <c r="AO203" s="335" t="e">
        <v>#REF!</v>
      </c>
      <c r="AP203" s="335" t="e">
        <v>#REF!</v>
      </c>
      <c r="AQ203" s="335" t="e">
        <v>#REF!</v>
      </c>
      <c r="AR203" s="335" t="e">
        <v>#REF!</v>
      </c>
      <c r="AS203" s="335" t="e">
        <v>#REF!</v>
      </c>
      <c r="AT203" s="335" t="e">
        <v>#REF!</v>
      </c>
      <c r="AU203" s="335" t="e">
        <v>#REF!</v>
      </c>
      <c r="AV203" s="335" t="e">
        <v>#REF!</v>
      </c>
      <c r="AW203" s="335" t="e">
        <v>#REF!</v>
      </c>
      <c r="AX203" s="335" t="e">
        <v>#REF!</v>
      </c>
      <c r="AY203" s="335" t="e">
        <v>#REF!</v>
      </c>
      <c r="AZ203" s="335" t="e">
        <v>#REF!</v>
      </c>
      <c r="BA203" s="335" t="e">
        <v>#REF!</v>
      </c>
      <c r="BB203" s="335" t="e">
        <v>#REF!</v>
      </c>
      <c r="BC203" s="335" t="e">
        <v>#REF!</v>
      </c>
      <c r="BD203" s="335" t="e">
        <v>#REF!</v>
      </c>
      <c r="BE203" s="335" t="e">
        <v>#REF!</v>
      </c>
      <c r="BF203" s="335" t="e">
        <v>#REF!</v>
      </c>
      <c r="BG203" s="335"/>
      <c r="BH203" s="335"/>
      <c r="BI203" s="335"/>
      <c r="BJ203" s="335"/>
      <c r="BK203" s="335"/>
      <c r="BL203" s="335"/>
    </row>
    <row r="204" spans="3:64" hidden="1" x14ac:dyDescent="0.15">
      <c r="C204" s="434" t="s">
        <v>557</v>
      </c>
      <c r="E204" s="335" t="e">
        <v>#REF!</v>
      </c>
      <c r="F204" s="335" t="e">
        <v>#REF!</v>
      </c>
      <c r="G204" s="335" t="e">
        <v>#REF!</v>
      </c>
      <c r="H204" s="335" t="e">
        <v>#REF!</v>
      </c>
      <c r="I204" s="335" t="e">
        <v>#REF!</v>
      </c>
      <c r="J204" s="335" t="e">
        <v>#REF!</v>
      </c>
      <c r="K204" s="335" t="e">
        <v>#REF!</v>
      </c>
      <c r="L204" s="335" t="e">
        <v>#REF!</v>
      </c>
      <c r="M204" s="335" t="e">
        <v>#REF!</v>
      </c>
      <c r="N204" s="335" t="e">
        <v>#REF!</v>
      </c>
      <c r="O204" s="335" t="e">
        <v>#REF!</v>
      </c>
      <c r="P204" s="335" t="e">
        <v>#REF!</v>
      </c>
      <c r="Q204" s="335" t="e">
        <v>#REF!</v>
      </c>
      <c r="R204" s="335" t="e">
        <v>#REF!</v>
      </c>
      <c r="S204" s="335" t="e">
        <v>#REF!</v>
      </c>
      <c r="T204" s="335" t="e">
        <v>#REF!</v>
      </c>
      <c r="U204" s="335" t="e">
        <v>#REF!</v>
      </c>
      <c r="V204" s="335" t="e">
        <v>#REF!</v>
      </c>
      <c r="W204" s="335" t="e">
        <v>#REF!</v>
      </c>
      <c r="X204" s="335" t="e">
        <v>#REF!</v>
      </c>
      <c r="Y204" s="335" t="e">
        <v>#REF!</v>
      </c>
      <c r="Z204" s="335" t="e">
        <v>#REF!</v>
      </c>
      <c r="AA204" s="335" t="e">
        <v>#REF!</v>
      </c>
      <c r="AB204" s="335" t="e">
        <v>#REF!</v>
      </c>
      <c r="AC204" s="335" t="e">
        <v>#REF!</v>
      </c>
      <c r="AD204" s="335" t="e">
        <v>#REF!</v>
      </c>
      <c r="AE204" s="335" t="e">
        <v>#REF!</v>
      </c>
      <c r="AF204" s="335" t="e">
        <v>#REF!</v>
      </c>
      <c r="AG204" s="335" t="e">
        <v>#REF!</v>
      </c>
      <c r="AH204" s="335" t="e">
        <v>#REF!</v>
      </c>
      <c r="AI204" s="335" t="e">
        <v>#REF!</v>
      </c>
      <c r="AJ204" s="335" t="e">
        <v>#REF!</v>
      </c>
      <c r="AK204" s="335" t="e">
        <v>#REF!</v>
      </c>
      <c r="AL204" s="335" t="e">
        <v>#REF!</v>
      </c>
      <c r="AM204" s="335" t="e">
        <v>#REF!</v>
      </c>
      <c r="AN204" s="335" t="e">
        <v>#REF!</v>
      </c>
      <c r="AO204" s="335" t="e">
        <v>#REF!</v>
      </c>
      <c r="AP204" s="335" t="e">
        <v>#REF!</v>
      </c>
      <c r="AQ204" s="335" t="e">
        <v>#REF!</v>
      </c>
      <c r="AR204" s="335" t="e">
        <v>#REF!</v>
      </c>
      <c r="AS204" s="335" t="e">
        <v>#REF!</v>
      </c>
      <c r="AT204" s="335" t="e">
        <v>#REF!</v>
      </c>
      <c r="AU204" s="335" t="e">
        <v>#REF!</v>
      </c>
      <c r="AV204" s="335" t="e">
        <v>#REF!</v>
      </c>
      <c r="AW204" s="335" t="e">
        <v>#REF!</v>
      </c>
      <c r="AX204" s="335" t="e">
        <v>#REF!</v>
      </c>
      <c r="AY204" s="335" t="e">
        <v>#REF!</v>
      </c>
      <c r="AZ204" s="335" t="e">
        <v>#REF!</v>
      </c>
      <c r="BA204" s="335" t="e">
        <v>#REF!</v>
      </c>
      <c r="BB204" s="335" t="e">
        <v>#REF!</v>
      </c>
      <c r="BC204" s="335" t="e">
        <v>#REF!</v>
      </c>
      <c r="BD204" s="335" t="e">
        <v>#REF!</v>
      </c>
      <c r="BE204" s="335" t="e">
        <v>#REF!</v>
      </c>
      <c r="BF204" s="335" t="e">
        <v>#REF!</v>
      </c>
      <c r="BG204" s="335"/>
      <c r="BH204" s="335"/>
      <c r="BI204" s="335"/>
      <c r="BJ204" s="335"/>
      <c r="BK204" s="335"/>
      <c r="BL204" s="335"/>
    </row>
    <row r="205" spans="3:64" hidden="1" x14ac:dyDescent="0.15">
      <c r="C205" s="434" t="s">
        <v>558</v>
      </c>
      <c r="E205" s="335" t="e">
        <f t="shared" ref="E205:BF205" si="48">SUM(E201:E204)</f>
        <v>#REF!</v>
      </c>
      <c r="F205" s="335" t="e">
        <f t="shared" si="48"/>
        <v>#REF!</v>
      </c>
      <c r="G205" s="335" t="e">
        <f t="shared" si="48"/>
        <v>#REF!</v>
      </c>
      <c r="H205" s="335" t="e">
        <f t="shared" si="48"/>
        <v>#REF!</v>
      </c>
      <c r="I205" s="335" t="e">
        <f t="shared" si="48"/>
        <v>#REF!</v>
      </c>
      <c r="J205" s="335" t="e">
        <f t="shared" si="48"/>
        <v>#REF!</v>
      </c>
      <c r="K205" s="335" t="e">
        <f t="shared" si="48"/>
        <v>#REF!</v>
      </c>
      <c r="L205" s="335" t="e">
        <f t="shared" si="48"/>
        <v>#REF!</v>
      </c>
      <c r="M205" s="335" t="e">
        <f t="shared" si="48"/>
        <v>#REF!</v>
      </c>
      <c r="N205" s="335" t="e">
        <f t="shared" si="48"/>
        <v>#REF!</v>
      </c>
      <c r="O205" s="335" t="e">
        <f t="shared" si="48"/>
        <v>#REF!</v>
      </c>
      <c r="P205" s="335" t="e">
        <f t="shared" si="48"/>
        <v>#REF!</v>
      </c>
      <c r="Q205" s="335" t="e">
        <f t="shared" si="48"/>
        <v>#REF!</v>
      </c>
      <c r="R205" s="335" t="e">
        <f t="shared" si="48"/>
        <v>#REF!</v>
      </c>
      <c r="S205" s="335" t="e">
        <f t="shared" si="48"/>
        <v>#REF!</v>
      </c>
      <c r="T205" s="335" t="e">
        <f t="shared" si="48"/>
        <v>#REF!</v>
      </c>
      <c r="U205" s="335" t="e">
        <f t="shared" si="48"/>
        <v>#REF!</v>
      </c>
      <c r="V205" s="335" t="e">
        <f t="shared" si="48"/>
        <v>#REF!</v>
      </c>
      <c r="W205" s="335" t="e">
        <f t="shared" si="48"/>
        <v>#REF!</v>
      </c>
      <c r="X205" s="335" t="e">
        <f t="shared" si="48"/>
        <v>#REF!</v>
      </c>
      <c r="Y205" s="335" t="e">
        <f t="shared" si="48"/>
        <v>#REF!</v>
      </c>
      <c r="Z205" s="335" t="e">
        <f t="shared" si="48"/>
        <v>#REF!</v>
      </c>
      <c r="AA205" s="335" t="e">
        <f t="shared" si="48"/>
        <v>#REF!</v>
      </c>
      <c r="AB205" s="335" t="e">
        <f t="shared" si="48"/>
        <v>#REF!</v>
      </c>
      <c r="AC205" s="335" t="e">
        <f t="shared" si="48"/>
        <v>#REF!</v>
      </c>
      <c r="AD205" s="335" t="e">
        <f t="shared" si="48"/>
        <v>#REF!</v>
      </c>
      <c r="AE205" s="335" t="e">
        <f t="shared" si="48"/>
        <v>#REF!</v>
      </c>
      <c r="AF205" s="335" t="e">
        <f t="shared" si="48"/>
        <v>#REF!</v>
      </c>
      <c r="AG205" s="335" t="e">
        <f t="shared" si="48"/>
        <v>#REF!</v>
      </c>
      <c r="AH205" s="335" t="e">
        <f t="shared" si="48"/>
        <v>#REF!</v>
      </c>
      <c r="AI205" s="335" t="e">
        <f t="shared" si="48"/>
        <v>#REF!</v>
      </c>
      <c r="AJ205" s="335" t="e">
        <f t="shared" si="48"/>
        <v>#REF!</v>
      </c>
      <c r="AK205" s="335" t="e">
        <f t="shared" si="48"/>
        <v>#REF!</v>
      </c>
      <c r="AL205" s="335" t="e">
        <f t="shared" si="48"/>
        <v>#REF!</v>
      </c>
      <c r="AM205" s="335" t="e">
        <f t="shared" si="48"/>
        <v>#REF!</v>
      </c>
      <c r="AN205" s="335" t="e">
        <f t="shared" si="48"/>
        <v>#REF!</v>
      </c>
      <c r="AO205" s="335" t="e">
        <f t="shared" si="48"/>
        <v>#REF!</v>
      </c>
      <c r="AP205" s="335" t="e">
        <f t="shared" si="48"/>
        <v>#REF!</v>
      </c>
      <c r="AQ205" s="335" t="e">
        <f t="shared" si="48"/>
        <v>#REF!</v>
      </c>
      <c r="AR205" s="335" t="e">
        <f t="shared" si="48"/>
        <v>#REF!</v>
      </c>
      <c r="AS205" s="335" t="e">
        <f t="shared" si="48"/>
        <v>#REF!</v>
      </c>
      <c r="AT205" s="335" t="e">
        <f t="shared" si="48"/>
        <v>#REF!</v>
      </c>
      <c r="AU205" s="335" t="e">
        <f t="shared" si="48"/>
        <v>#REF!</v>
      </c>
      <c r="AV205" s="335" t="e">
        <f t="shared" si="48"/>
        <v>#REF!</v>
      </c>
      <c r="AW205" s="335" t="e">
        <f t="shared" si="48"/>
        <v>#REF!</v>
      </c>
      <c r="AX205" s="335" t="e">
        <f t="shared" si="48"/>
        <v>#REF!</v>
      </c>
      <c r="AY205" s="335" t="e">
        <f t="shared" si="48"/>
        <v>#REF!</v>
      </c>
      <c r="AZ205" s="335" t="e">
        <f t="shared" si="48"/>
        <v>#REF!</v>
      </c>
      <c r="BA205" s="335" t="e">
        <f t="shared" si="48"/>
        <v>#REF!</v>
      </c>
      <c r="BB205" s="335" t="e">
        <f t="shared" si="48"/>
        <v>#REF!</v>
      </c>
      <c r="BC205" s="335" t="e">
        <f t="shared" si="48"/>
        <v>#REF!</v>
      </c>
      <c r="BD205" s="335" t="e">
        <f t="shared" si="48"/>
        <v>#REF!</v>
      </c>
      <c r="BE205" s="335" t="e">
        <f t="shared" si="48"/>
        <v>#REF!</v>
      </c>
      <c r="BF205" s="335" t="e">
        <f t="shared" si="48"/>
        <v>#REF!</v>
      </c>
      <c r="BG205" s="335"/>
      <c r="BH205" s="335"/>
      <c r="BI205" s="335"/>
      <c r="BJ205" s="335"/>
      <c r="BK205" s="335"/>
      <c r="BL205" s="335"/>
    </row>
    <row r="206" spans="3:64" hidden="1" x14ac:dyDescent="0.15">
      <c r="C206" s="434" t="s">
        <v>560</v>
      </c>
      <c r="E206" s="330" t="e">
        <f>E205+E197-#REF!</f>
        <v>#REF!</v>
      </c>
      <c r="F206" s="330" t="e">
        <f>F205+F197-#REF!</f>
        <v>#REF!</v>
      </c>
      <c r="G206" s="330" t="e">
        <f>G205+G197-#REF!</f>
        <v>#REF!</v>
      </c>
      <c r="H206" s="330" t="e">
        <f>H205+H197-#REF!</f>
        <v>#REF!</v>
      </c>
      <c r="I206" s="330" t="e">
        <f>I205+I197-#REF!</f>
        <v>#REF!</v>
      </c>
      <c r="J206" s="330" t="e">
        <f>J205+J197-#REF!</f>
        <v>#REF!</v>
      </c>
      <c r="K206" s="330" t="e">
        <f>K205+K197-#REF!</f>
        <v>#REF!</v>
      </c>
      <c r="L206" s="330" t="e">
        <f>L205+L197-#REF!</f>
        <v>#REF!</v>
      </c>
      <c r="M206" s="330" t="e">
        <f>M205+M197-#REF!</f>
        <v>#REF!</v>
      </c>
      <c r="N206" s="330" t="e">
        <f>N205+N197-#REF!</f>
        <v>#REF!</v>
      </c>
      <c r="O206" s="330" t="e">
        <f>O205+O197-#REF!</f>
        <v>#REF!</v>
      </c>
      <c r="P206" s="330" t="e">
        <f>P205+P197-#REF!</f>
        <v>#REF!</v>
      </c>
      <c r="Q206" s="330" t="e">
        <f>Q205+Q197-#REF!</f>
        <v>#REF!</v>
      </c>
      <c r="R206" s="330" t="e">
        <f>R205+R197-#REF!</f>
        <v>#REF!</v>
      </c>
      <c r="S206" s="330" t="e">
        <f>S205+S197-#REF!</f>
        <v>#REF!</v>
      </c>
      <c r="T206" s="330" t="e">
        <f>T205+T197-#REF!</f>
        <v>#REF!</v>
      </c>
      <c r="U206" s="330" t="e">
        <f>U205+U197-#REF!</f>
        <v>#REF!</v>
      </c>
      <c r="V206" s="330" t="e">
        <f>V205+V197-#REF!</f>
        <v>#REF!</v>
      </c>
      <c r="W206" s="330" t="e">
        <f>W205+W197-#REF!</f>
        <v>#REF!</v>
      </c>
      <c r="X206" s="330" t="e">
        <f>X205+X197-#REF!</f>
        <v>#REF!</v>
      </c>
      <c r="Y206" s="330" t="e">
        <f>Y205+Y197-#REF!</f>
        <v>#REF!</v>
      </c>
      <c r="Z206" s="330" t="e">
        <f>Z205+Z197-#REF!</f>
        <v>#REF!</v>
      </c>
      <c r="AA206" s="330" t="e">
        <f>AA205+AA197-#REF!</f>
        <v>#REF!</v>
      </c>
      <c r="AB206" s="330" t="e">
        <f>AB205+AB197-#REF!</f>
        <v>#REF!</v>
      </c>
      <c r="AC206" s="330" t="e">
        <f>AC205+AC197-#REF!</f>
        <v>#REF!</v>
      </c>
      <c r="AD206" s="330" t="e">
        <f>AD205+AD197-#REF!</f>
        <v>#REF!</v>
      </c>
      <c r="AE206" s="330" t="e">
        <f>AE205+AE197-#REF!</f>
        <v>#REF!</v>
      </c>
      <c r="AF206" s="330" t="e">
        <f>AF205+AF197-#REF!</f>
        <v>#REF!</v>
      </c>
      <c r="AG206" s="330" t="e">
        <f>AG205+AG197-#REF!</f>
        <v>#REF!</v>
      </c>
      <c r="AH206" s="330" t="e">
        <f>AH205+AH197-#REF!</f>
        <v>#REF!</v>
      </c>
      <c r="AI206" s="330" t="e">
        <f>AI205+AI197-#REF!</f>
        <v>#REF!</v>
      </c>
      <c r="AJ206" s="330" t="e">
        <f>AJ205+AJ197-#REF!</f>
        <v>#REF!</v>
      </c>
      <c r="AK206" s="330" t="e">
        <f>AK205+AK197-#REF!</f>
        <v>#REF!</v>
      </c>
      <c r="AL206" s="330" t="e">
        <f>AL205+AL197-#REF!</f>
        <v>#REF!</v>
      </c>
      <c r="AM206" s="330" t="e">
        <f>AM205+AM197-#REF!</f>
        <v>#REF!</v>
      </c>
      <c r="AN206" s="330" t="e">
        <f>AN205+AN197-#REF!</f>
        <v>#REF!</v>
      </c>
      <c r="AO206" s="330" t="e">
        <f>AO205+AO197-#REF!</f>
        <v>#REF!</v>
      </c>
      <c r="AP206" s="330" t="e">
        <f>AP205+AP197-#REF!</f>
        <v>#REF!</v>
      </c>
      <c r="AQ206" s="330" t="e">
        <f>AQ205+AQ197-#REF!</f>
        <v>#REF!</v>
      </c>
      <c r="AR206" s="330" t="e">
        <f>AR205+AR197-#REF!</f>
        <v>#REF!</v>
      </c>
      <c r="AS206" s="330" t="e">
        <f>AS205+AS197-#REF!</f>
        <v>#REF!</v>
      </c>
      <c r="AT206" s="330" t="e">
        <f>AT205+AT197-#REF!</f>
        <v>#REF!</v>
      </c>
      <c r="AU206" s="330" t="e">
        <f>AU205+AU197-#REF!</f>
        <v>#REF!</v>
      </c>
      <c r="AV206" s="330" t="e">
        <f>AV205+AV197-#REF!</f>
        <v>#REF!</v>
      </c>
      <c r="AW206" s="330" t="e">
        <f>AW205+AW197-#REF!</f>
        <v>#REF!</v>
      </c>
      <c r="AX206" s="330" t="e">
        <f>AX205+AX197-#REF!</f>
        <v>#REF!</v>
      </c>
      <c r="AY206" s="330" t="e">
        <f>AY205+AY197-#REF!</f>
        <v>#REF!</v>
      </c>
      <c r="AZ206" s="330" t="e">
        <f>AZ205+AZ197-#REF!</f>
        <v>#REF!</v>
      </c>
      <c r="BA206" s="330" t="e">
        <f>BA205+BA197-#REF!</f>
        <v>#REF!</v>
      </c>
      <c r="BB206" s="330" t="e">
        <f>BB205+BB197-#REF!</f>
        <v>#REF!</v>
      </c>
      <c r="BC206" s="330" t="e">
        <f>BC205+BC197-#REF!</f>
        <v>#REF!</v>
      </c>
      <c r="BD206" s="330" t="e">
        <f>BD205+BD197-#REF!</f>
        <v>#REF!</v>
      </c>
      <c r="BE206" s="330" t="e">
        <f>BE205+BE197-#REF!</f>
        <v>#REF!</v>
      </c>
      <c r="BF206" s="330" t="e">
        <f>BF205+BF197-#REF!</f>
        <v>#REF!</v>
      </c>
      <c r="BG206" s="330"/>
      <c r="BH206" s="330"/>
      <c r="BI206" s="330"/>
      <c r="BJ206" s="330"/>
      <c r="BK206" s="330"/>
      <c r="BL206" s="330"/>
    </row>
    <row r="207" spans="3:64" hidden="1" x14ac:dyDescent="0.15"/>
    <row r="208" spans="3:64" hidden="1" x14ac:dyDescent="0.15">
      <c r="C208" s="337" t="s">
        <v>553</v>
      </c>
    </row>
    <row r="209" spans="3:64" hidden="1" x14ac:dyDescent="0.15">
      <c r="C209" s="434" t="s">
        <v>561</v>
      </c>
      <c r="D209" s="335"/>
      <c r="E209" s="335">
        <f t="shared" ref="E209:BF209" si="49">D210</f>
        <v>0</v>
      </c>
      <c r="F209" s="335">
        <f t="shared" si="49"/>
        <v>0</v>
      </c>
      <c r="G209" s="335">
        <f t="shared" si="49"/>
        <v>0</v>
      </c>
      <c r="H209" s="335">
        <f t="shared" si="49"/>
        <v>0</v>
      </c>
      <c r="I209" s="335">
        <f t="shared" si="49"/>
        <v>0</v>
      </c>
      <c r="J209" s="335">
        <f t="shared" si="49"/>
        <v>0</v>
      </c>
      <c r="K209" s="335">
        <f t="shared" si="49"/>
        <v>0</v>
      </c>
      <c r="L209" s="335">
        <f t="shared" si="49"/>
        <v>0</v>
      </c>
      <c r="M209" s="335">
        <f t="shared" si="49"/>
        <v>0</v>
      </c>
      <c r="N209" s="335">
        <f t="shared" si="49"/>
        <v>0</v>
      </c>
      <c r="O209" s="335">
        <f t="shared" si="49"/>
        <v>0</v>
      </c>
      <c r="P209" s="335">
        <f t="shared" si="49"/>
        <v>0</v>
      </c>
      <c r="Q209" s="335">
        <f t="shared" si="49"/>
        <v>0</v>
      </c>
      <c r="R209" s="335">
        <f t="shared" si="49"/>
        <v>0</v>
      </c>
      <c r="S209" s="335">
        <f t="shared" si="49"/>
        <v>0</v>
      </c>
      <c r="T209" s="335">
        <f t="shared" si="49"/>
        <v>0</v>
      </c>
      <c r="U209" s="335">
        <f t="shared" si="49"/>
        <v>0</v>
      </c>
      <c r="V209" s="335">
        <f t="shared" si="49"/>
        <v>0</v>
      </c>
      <c r="W209" s="335">
        <f t="shared" si="49"/>
        <v>0</v>
      </c>
      <c r="X209" s="335">
        <f t="shared" si="49"/>
        <v>0</v>
      </c>
      <c r="Y209" s="335">
        <f t="shared" si="49"/>
        <v>0</v>
      </c>
      <c r="Z209" s="335">
        <f t="shared" si="49"/>
        <v>0</v>
      </c>
      <c r="AA209" s="335">
        <f t="shared" si="49"/>
        <v>0</v>
      </c>
      <c r="AB209" s="335">
        <f t="shared" si="49"/>
        <v>0</v>
      </c>
      <c r="AC209" s="335">
        <f t="shared" si="49"/>
        <v>0</v>
      </c>
      <c r="AD209" s="335">
        <f t="shared" si="49"/>
        <v>0</v>
      </c>
      <c r="AE209" s="335">
        <f t="shared" si="49"/>
        <v>0</v>
      </c>
      <c r="AF209" s="335">
        <f t="shared" si="49"/>
        <v>0</v>
      </c>
      <c r="AG209" s="335">
        <f t="shared" si="49"/>
        <v>0</v>
      </c>
      <c r="AH209" s="335">
        <f t="shared" si="49"/>
        <v>0</v>
      </c>
      <c r="AI209" s="335">
        <f t="shared" si="49"/>
        <v>0</v>
      </c>
      <c r="AJ209" s="335">
        <f t="shared" si="49"/>
        <v>0</v>
      </c>
      <c r="AK209" s="335">
        <f t="shared" si="49"/>
        <v>0</v>
      </c>
      <c r="AL209" s="335">
        <f t="shared" si="49"/>
        <v>0</v>
      </c>
      <c r="AM209" s="335">
        <f t="shared" si="49"/>
        <v>0</v>
      </c>
      <c r="AN209" s="335">
        <f t="shared" si="49"/>
        <v>0</v>
      </c>
      <c r="AO209" s="335">
        <f t="shared" si="49"/>
        <v>0</v>
      </c>
      <c r="AP209" s="335">
        <f t="shared" si="49"/>
        <v>0</v>
      </c>
      <c r="AQ209" s="335">
        <f t="shared" si="49"/>
        <v>0</v>
      </c>
      <c r="AR209" s="335">
        <f t="shared" si="49"/>
        <v>0</v>
      </c>
      <c r="AS209" s="335">
        <f t="shared" si="49"/>
        <v>0</v>
      </c>
      <c r="AT209" s="335">
        <f t="shared" si="49"/>
        <v>0</v>
      </c>
      <c r="AU209" s="335">
        <f t="shared" si="49"/>
        <v>0</v>
      </c>
      <c r="AV209" s="335">
        <f t="shared" si="49"/>
        <v>0</v>
      </c>
      <c r="AW209" s="335">
        <f t="shared" si="49"/>
        <v>0</v>
      </c>
      <c r="AX209" s="335">
        <f t="shared" si="49"/>
        <v>0</v>
      </c>
      <c r="AY209" s="335">
        <f t="shared" si="49"/>
        <v>0</v>
      </c>
      <c r="AZ209" s="335">
        <f t="shared" si="49"/>
        <v>0</v>
      </c>
      <c r="BA209" s="335">
        <f t="shared" si="49"/>
        <v>0</v>
      </c>
      <c r="BB209" s="335">
        <f t="shared" si="49"/>
        <v>0</v>
      </c>
      <c r="BC209" s="335">
        <f t="shared" si="49"/>
        <v>0</v>
      </c>
      <c r="BD209" s="335">
        <f t="shared" si="49"/>
        <v>0</v>
      </c>
      <c r="BE209" s="335">
        <f t="shared" si="49"/>
        <v>0</v>
      </c>
      <c r="BF209" s="335">
        <f t="shared" si="49"/>
        <v>0</v>
      </c>
      <c r="BG209" s="335"/>
      <c r="BH209" s="335"/>
      <c r="BI209" s="335"/>
      <c r="BJ209" s="335"/>
      <c r="BK209" s="335"/>
      <c r="BL209" s="335"/>
    </row>
    <row r="210" spans="3:64" hidden="1" x14ac:dyDescent="0.15">
      <c r="C210" s="434" t="s">
        <v>562</v>
      </c>
      <c r="D210" s="335"/>
      <c r="E210" s="335">
        <f>IFERROR(#REF!*E197/SUM(E197,E205),0)</f>
        <v>0</v>
      </c>
      <c r="F210" s="335">
        <f>IFERROR(#REF!*F197/SUM(F197,F205),0)</f>
        <v>0</v>
      </c>
      <c r="G210" s="335">
        <f>IFERROR(#REF!*G197/SUM(G197,G205),0)</f>
        <v>0</v>
      </c>
      <c r="H210" s="335">
        <f>IFERROR(#REF!*H197/SUM(H197,H205),0)</f>
        <v>0</v>
      </c>
      <c r="I210" s="335">
        <f>IFERROR(#REF!*I197/SUM(I197,I205),0)</f>
        <v>0</v>
      </c>
      <c r="J210" s="335">
        <f>IFERROR(#REF!*J197/SUM(J197,J205),0)</f>
        <v>0</v>
      </c>
      <c r="K210" s="335">
        <f>IFERROR(#REF!*K197/SUM(K197,K205),0)</f>
        <v>0</v>
      </c>
      <c r="L210" s="335">
        <f>IFERROR(#REF!*L197/SUM(L197,L205),0)</f>
        <v>0</v>
      </c>
      <c r="M210" s="335">
        <f>IFERROR(#REF!*M197/SUM(M197,M205),0)</f>
        <v>0</v>
      </c>
      <c r="N210" s="335">
        <f>IFERROR(#REF!*N197/SUM(N197,N205),0)</f>
        <v>0</v>
      </c>
      <c r="O210" s="335">
        <f>IFERROR(#REF!*O197/SUM(O197,O205),0)</f>
        <v>0</v>
      </c>
      <c r="P210" s="335">
        <f>IFERROR(#REF!*P197/SUM(P197,P205),0)</f>
        <v>0</v>
      </c>
      <c r="Q210" s="335">
        <f>IFERROR(#REF!*Q197/SUM(Q197,Q205),0)</f>
        <v>0</v>
      </c>
      <c r="R210" s="335">
        <f>IFERROR(#REF!*R197/SUM(R197,R205),0)</f>
        <v>0</v>
      </c>
      <c r="S210" s="335">
        <f>IFERROR(#REF!*S197/SUM(S197,S205),0)</f>
        <v>0</v>
      </c>
      <c r="T210" s="335">
        <f>IFERROR(#REF!*T197/SUM(T197,T205),0)</f>
        <v>0</v>
      </c>
      <c r="U210" s="335">
        <f>IFERROR(#REF!*U197/SUM(U197,U205),0)</f>
        <v>0</v>
      </c>
      <c r="V210" s="335">
        <f>IFERROR(#REF!*V197/SUM(V197,V205),0)</f>
        <v>0</v>
      </c>
      <c r="W210" s="335">
        <f>IFERROR(#REF!*W197/SUM(W197,W205),0)</f>
        <v>0</v>
      </c>
      <c r="X210" s="335">
        <f>IFERROR(#REF!*X197/SUM(X197,X205),0)</f>
        <v>0</v>
      </c>
      <c r="Y210" s="335">
        <f>IFERROR(#REF!*Y197/SUM(Y197,Y205),0)</f>
        <v>0</v>
      </c>
      <c r="Z210" s="335">
        <f>IFERROR(#REF!*Z197/SUM(Z197,Z205),0)</f>
        <v>0</v>
      </c>
      <c r="AA210" s="335">
        <f>IFERROR(#REF!*AA197/SUM(AA197,AA205),0)</f>
        <v>0</v>
      </c>
      <c r="AB210" s="335">
        <f>IFERROR(#REF!*AB197/SUM(AB197,AB205),0)</f>
        <v>0</v>
      </c>
      <c r="AC210" s="335">
        <f>IFERROR(#REF!*AC197/SUM(AC197,AC205),0)</f>
        <v>0</v>
      </c>
      <c r="AD210" s="335">
        <f>IFERROR(#REF!*AD197/SUM(AD197,AD205),0)</f>
        <v>0</v>
      </c>
      <c r="AE210" s="335">
        <f>IFERROR(#REF!*AE197/SUM(AE197,AE205),0)</f>
        <v>0</v>
      </c>
      <c r="AF210" s="335">
        <f>IFERROR(#REF!*AF197/SUM(AF197,AF205),0)</f>
        <v>0</v>
      </c>
      <c r="AG210" s="335">
        <f>IFERROR(#REF!*AG197/SUM(AG197,AG205),0)</f>
        <v>0</v>
      </c>
      <c r="AH210" s="335">
        <f>IFERROR(#REF!*AH197/SUM(AH197,AH205),0)</f>
        <v>0</v>
      </c>
      <c r="AI210" s="335">
        <f>IFERROR(#REF!*AI197/SUM(AI197,AI205),0)</f>
        <v>0</v>
      </c>
      <c r="AJ210" s="335">
        <f>IFERROR(#REF!*AJ197/SUM(AJ197,AJ205),0)</f>
        <v>0</v>
      </c>
      <c r="AK210" s="335">
        <f>IFERROR(#REF!*AK197/SUM(AK197,AK205),0)</f>
        <v>0</v>
      </c>
      <c r="AL210" s="335">
        <f>IFERROR(#REF!*AL197/SUM(AL197,AL205),0)</f>
        <v>0</v>
      </c>
      <c r="AM210" s="335">
        <f>IFERROR(#REF!*AM197/SUM(AM197,AM205),0)</f>
        <v>0</v>
      </c>
      <c r="AN210" s="335">
        <f>IFERROR(#REF!*AN197/SUM(AN197,AN205),0)</f>
        <v>0</v>
      </c>
      <c r="AO210" s="335">
        <f>IFERROR(#REF!*AO197/SUM(AO197,AO205),0)</f>
        <v>0</v>
      </c>
      <c r="AP210" s="335">
        <f>IFERROR(#REF!*AP197/SUM(AP197,AP205),0)</f>
        <v>0</v>
      </c>
      <c r="AQ210" s="335">
        <f>IFERROR(#REF!*AQ197/SUM(AQ197,AQ205),0)</f>
        <v>0</v>
      </c>
      <c r="AR210" s="335">
        <f>IFERROR(#REF!*AR197/SUM(AR197,AR205),0)</f>
        <v>0</v>
      </c>
      <c r="AS210" s="335">
        <f>IFERROR(#REF!*AS197/SUM(AS197,AS205),0)</f>
        <v>0</v>
      </c>
      <c r="AT210" s="335">
        <f>IFERROR(#REF!*AT197/SUM(AT197,AT205),0)</f>
        <v>0</v>
      </c>
      <c r="AU210" s="335">
        <f>IFERROR(#REF!*AU197/SUM(AU197,AU205),0)</f>
        <v>0</v>
      </c>
      <c r="AV210" s="335">
        <f>IFERROR(#REF!*AV197/SUM(AV197,AV205),0)</f>
        <v>0</v>
      </c>
      <c r="AW210" s="335">
        <f>IFERROR(#REF!*AW197/SUM(AW197,AW205),0)</f>
        <v>0</v>
      </c>
      <c r="AX210" s="335">
        <f>IFERROR(#REF!*AX197/SUM(AX197,AX205),0)</f>
        <v>0</v>
      </c>
      <c r="AY210" s="335">
        <f>IFERROR(#REF!*AY197/SUM(AY197,AY205),0)</f>
        <v>0</v>
      </c>
      <c r="AZ210" s="335">
        <f>IFERROR(#REF!*AZ197/SUM(AZ197,AZ205),0)</f>
        <v>0</v>
      </c>
      <c r="BA210" s="335">
        <f>IFERROR(#REF!*BA197/SUM(BA197,BA205),0)</f>
        <v>0</v>
      </c>
      <c r="BB210" s="335">
        <f>IFERROR(#REF!*BB197/SUM(BB197,BB205),0)</f>
        <v>0</v>
      </c>
      <c r="BC210" s="335">
        <f>IFERROR(#REF!*BC197/SUM(BC197,BC205),0)</f>
        <v>0</v>
      </c>
      <c r="BD210" s="335">
        <f>IFERROR(#REF!*BD197/SUM(BD197,BD205),0)</f>
        <v>0</v>
      </c>
      <c r="BE210" s="335">
        <f>IFERROR(#REF!*BE197/SUM(BE197,BE205),0)</f>
        <v>0</v>
      </c>
      <c r="BF210" s="335">
        <f>IFERROR(#REF!*BF197/SUM(BF197,BF205),0)</f>
        <v>0</v>
      </c>
      <c r="BG210" s="335"/>
      <c r="BH210" s="335"/>
      <c r="BI210" s="335"/>
      <c r="BJ210" s="335"/>
      <c r="BK210" s="335"/>
      <c r="BL210" s="335"/>
    </row>
    <row r="211" spans="3:64" hidden="1" x14ac:dyDescent="0.15"/>
    <row r="212" spans="3:64" hidden="1" x14ac:dyDescent="0.15">
      <c r="C212" s="337" t="s">
        <v>559</v>
      </c>
    </row>
    <row r="213" spans="3:64" hidden="1" x14ac:dyDescent="0.15">
      <c r="C213" s="434" t="s">
        <v>561</v>
      </c>
      <c r="E213" s="335">
        <f t="shared" ref="E213:BF213" si="50">D214</f>
        <v>0</v>
      </c>
      <c r="F213" s="335">
        <f t="shared" si="50"/>
        <v>0</v>
      </c>
      <c r="G213" s="335">
        <f t="shared" si="50"/>
        <v>0</v>
      </c>
      <c r="H213" s="335">
        <f t="shared" si="50"/>
        <v>0</v>
      </c>
      <c r="I213" s="335">
        <f t="shared" si="50"/>
        <v>0</v>
      </c>
      <c r="J213" s="335">
        <f t="shared" si="50"/>
        <v>0</v>
      </c>
      <c r="K213" s="335">
        <f t="shared" si="50"/>
        <v>0</v>
      </c>
      <c r="L213" s="335">
        <f t="shared" si="50"/>
        <v>0</v>
      </c>
      <c r="M213" s="335">
        <f t="shared" si="50"/>
        <v>0</v>
      </c>
      <c r="N213" s="335">
        <f t="shared" si="50"/>
        <v>0</v>
      </c>
      <c r="O213" s="335">
        <f t="shared" si="50"/>
        <v>0</v>
      </c>
      <c r="P213" s="335">
        <f t="shared" si="50"/>
        <v>0</v>
      </c>
      <c r="Q213" s="335">
        <f t="shared" si="50"/>
        <v>0</v>
      </c>
      <c r="R213" s="335">
        <f t="shared" si="50"/>
        <v>0</v>
      </c>
      <c r="S213" s="335">
        <f t="shared" si="50"/>
        <v>0</v>
      </c>
      <c r="T213" s="335">
        <f t="shared" si="50"/>
        <v>0</v>
      </c>
      <c r="U213" s="335">
        <f t="shared" si="50"/>
        <v>0</v>
      </c>
      <c r="V213" s="335">
        <f t="shared" si="50"/>
        <v>0</v>
      </c>
      <c r="W213" s="335">
        <f t="shared" si="50"/>
        <v>0</v>
      </c>
      <c r="X213" s="335">
        <f t="shared" si="50"/>
        <v>0</v>
      </c>
      <c r="Y213" s="335">
        <f t="shared" si="50"/>
        <v>0</v>
      </c>
      <c r="Z213" s="335">
        <f t="shared" si="50"/>
        <v>0</v>
      </c>
      <c r="AA213" s="335">
        <f t="shared" si="50"/>
        <v>0</v>
      </c>
      <c r="AB213" s="335">
        <f t="shared" si="50"/>
        <v>0</v>
      </c>
      <c r="AC213" s="335">
        <f t="shared" si="50"/>
        <v>0</v>
      </c>
      <c r="AD213" s="335">
        <f t="shared" si="50"/>
        <v>0</v>
      </c>
      <c r="AE213" s="335">
        <f t="shared" si="50"/>
        <v>0</v>
      </c>
      <c r="AF213" s="335">
        <f t="shared" si="50"/>
        <v>0</v>
      </c>
      <c r="AG213" s="335">
        <f t="shared" si="50"/>
        <v>0</v>
      </c>
      <c r="AH213" s="335">
        <f t="shared" si="50"/>
        <v>0</v>
      </c>
      <c r="AI213" s="335">
        <f t="shared" si="50"/>
        <v>0</v>
      </c>
      <c r="AJ213" s="335">
        <f t="shared" si="50"/>
        <v>0</v>
      </c>
      <c r="AK213" s="335">
        <f t="shared" si="50"/>
        <v>0</v>
      </c>
      <c r="AL213" s="335">
        <f t="shared" si="50"/>
        <v>0</v>
      </c>
      <c r="AM213" s="335">
        <f t="shared" si="50"/>
        <v>0</v>
      </c>
      <c r="AN213" s="335">
        <f t="shared" si="50"/>
        <v>0</v>
      </c>
      <c r="AO213" s="335">
        <f t="shared" si="50"/>
        <v>0</v>
      </c>
      <c r="AP213" s="335">
        <f t="shared" si="50"/>
        <v>0</v>
      </c>
      <c r="AQ213" s="335">
        <f t="shared" si="50"/>
        <v>0</v>
      </c>
      <c r="AR213" s="335">
        <f t="shared" si="50"/>
        <v>0</v>
      </c>
      <c r="AS213" s="335">
        <f t="shared" si="50"/>
        <v>0</v>
      </c>
      <c r="AT213" s="335">
        <f t="shared" si="50"/>
        <v>0</v>
      </c>
      <c r="AU213" s="335">
        <f t="shared" si="50"/>
        <v>0</v>
      </c>
      <c r="AV213" s="335">
        <f t="shared" si="50"/>
        <v>0</v>
      </c>
      <c r="AW213" s="335">
        <f t="shared" si="50"/>
        <v>0</v>
      </c>
      <c r="AX213" s="335">
        <f t="shared" si="50"/>
        <v>0</v>
      </c>
      <c r="AY213" s="335">
        <f t="shared" si="50"/>
        <v>0</v>
      </c>
      <c r="AZ213" s="335">
        <f t="shared" si="50"/>
        <v>0</v>
      </c>
      <c r="BA213" s="335">
        <f t="shared" si="50"/>
        <v>0</v>
      </c>
      <c r="BB213" s="335">
        <f t="shared" si="50"/>
        <v>0</v>
      </c>
      <c r="BC213" s="335">
        <f t="shared" si="50"/>
        <v>0</v>
      </c>
      <c r="BD213" s="335">
        <f t="shared" si="50"/>
        <v>0</v>
      </c>
      <c r="BE213" s="335">
        <f t="shared" si="50"/>
        <v>0</v>
      </c>
      <c r="BF213" s="335">
        <f t="shared" si="50"/>
        <v>0</v>
      </c>
      <c r="BG213" s="335"/>
      <c r="BH213" s="335"/>
      <c r="BI213" s="335"/>
      <c r="BJ213" s="335"/>
      <c r="BK213" s="335"/>
      <c r="BL213" s="335"/>
    </row>
    <row r="214" spans="3:64" hidden="1" x14ac:dyDescent="0.15">
      <c r="C214" s="434" t="s">
        <v>562</v>
      </c>
      <c r="E214" s="335">
        <f>IFERROR(#REF!*E205/SUM(E197,E205),0)</f>
        <v>0</v>
      </c>
      <c r="F214" s="335">
        <f>IFERROR(#REF!*F205/SUM(F197,F205),0)</f>
        <v>0</v>
      </c>
      <c r="G214" s="335">
        <f>IFERROR(#REF!*G205/SUM(G197,G205),0)</f>
        <v>0</v>
      </c>
      <c r="H214" s="335">
        <f>IFERROR(#REF!*H205/SUM(H197,H205),0)</f>
        <v>0</v>
      </c>
      <c r="I214" s="335">
        <f>IFERROR(#REF!*I205/SUM(I197,I205),0)</f>
        <v>0</v>
      </c>
      <c r="J214" s="335">
        <f>IFERROR(#REF!*J205/SUM(J197,J205),0)</f>
        <v>0</v>
      </c>
      <c r="K214" s="335">
        <f>IFERROR(#REF!*K205/SUM(K197,K205),0)</f>
        <v>0</v>
      </c>
      <c r="L214" s="335">
        <f>IFERROR(#REF!*L205/SUM(L197,L205),0)</f>
        <v>0</v>
      </c>
      <c r="M214" s="335">
        <f>IFERROR(#REF!*M205/SUM(M197,M205),0)</f>
        <v>0</v>
      </c>
      <c r="N214" s="335">
        <f>IFERROR(#REF!*N205/SUM(N197,N205),0)</f>
        <v>0</v>
      </c>
      <c r="O214" s="335">
        <f>IFERROR(#REF!*O205/SUM(O197,O205),0)</f>
        <v>0</v>
      </c>
      <c r="P214" s="335">
        <f>IFERROR(#REF!*P205/SUM(P197,P205),0)</f>
        <v>0</v>
      </c>
      <c r="Q214" s="335">
        <f>IFERROR(#REF!*Q205/SUM(Q197,Q205),0)</f>
        <v>0</v>
      </c>
      <c r="R214" s="335">
        <f>IFERROR(#REF!*R205/SUM(R197,R205),0)</f>
        <v>0</v>
      </c>
      <c r="S214" s="335">
        <f>IFERROR(#REF!*S205/SUM(S197,S205),0)</f>
        <v>0</v>
      </c>
      <c r="T214" s="335">
        <f>IFERROR(#REF!*T205/SUM(T197,T205),0)</f>
        <v>0</v>
      </c>
      <c r="U214" s="335">
        <f>IFERROR(#REF!*U205/SUM(U197,U205),0)</f>
        <v>0</v>
      </c>
      <c r="V214" s="335">
        <f>IFERROR(#REF!*V205/SUM(V197,V205),0)</f>
        <v>0</v>
      </c>
      <c r="W214" s="335">
        <f>IFERROR(#REF!*W205/SUM(W197,W205),0)</f>
        <v>0</v>
      </c>
      <c r="X214" s="335">
        <f>IFERROR(#REF!*X205/SUM(X197,X205),0)</f>
        <v>0</v>
      </c>
      <c r="Y214" s="335">
        <f>IFERROR(#REF!*Y205/SUM(Y197,Y205),0)</f>
        <v>0</v>
      </c>
      <c r="Z214" s="335">
        <f>IFERROR(#REF!*Z205/SUM(Z197,Z205),0)</f>
        <v>0</v>
      </c>
      <c r="AA214" s="335">
        <f>IFERROR(#REF!*AA205/SUM(AA197,AA205),0)</f>
        <v>0</v>
      </c>
      <c r="AB214" s="335">
        <f>IFERROR(#REF!*AB205/SUM(AB197,AB205),0)</f>
        <v>0</v>
      </c>
      <c r="AC214" s="335">
        <f>IFERROR(#REF!*AC205/SUM(AC197,AC205),0)</f>
        <v>0</v>
      </c>
      <c r="AD214" s="335">
        <f>IFERROR(#REF!*AD205/SUM(AD197,AD205),0)</f>
        <v>0</v>
      </c>
      <c r="AE214" s="335">
        <f>IFERROR(#REF!*AE205/SUM(AE197,AE205),0)</f>
        <v>0</v>
      </c>
      <c r="AF214" s="335">
        <f>IFERROR(#REF!*AF205/SUM(AF197,AF205),0)</f>
        <v>0</v>
      </c>
      <c r="AG214" s="335">
        <f>IFERROR(#REF!*AG205/SUM(AG197,AG205),0)</f>
        <v>0</v>
      </c>
      <c r="AH214" s="335">
        <f>IFERROR(#REF!*AH205/SUM(AH197,AH205),0)</f>
        <v>0</v>
      </c>
      <c r="AI214" s="335">
        <f>IFERROR(#REF!*AI205/SUM(AI197,AI205),0)</f>
        <v>0</v>
      </c>
      <c r="AJ214" s="335">
        <f>IFERROR(#REF!*AJ205/SUM(AJ197,AJ205),0)</f>
        <v>0</v>
      </c>
      <c r="AK214" s="335">
        <f>IFERROR(#REF!*AK205/SUM(AK197,AK205),0)</f>
        <v>0</v>
      </c>
      <c r="AL214" s="335">
        <f>IFERROR(#REF!*AL205/SUM(AL197,AL205),0)</f>
        <v>0</v>
      </c>
      <c r="AM214" s="335">
        <f>IFERROR(#REF!*AM205/SUM(AM197,AM205),0)</f>
        <v>0</v>
      </c>
      <c r="AN214" s="335">
        <f>IFERROR(#REF!*AN205/SUM(AN197,AN205),0)</f>
        <v>0</v>
      </c>
      <c r="AO214" s="335">
        <f>IFERROR(#REF!*AO205/SUM(AO197,AO205),0)</f>
        <v>0</v>
      </c>
      <c r="AP214" s="335">
        <f>IFERROR(#REF!*AP205/SUM(AP197,AP205),0)</f>
        <v>0</v>
      </c>
      <c r="AQ214" s="335">
        <f>IFERROR(#REF!*AQ205/SUM(AQ197,AQ205),0)</f>
        <v>0</v>
      </c>
      <c r="AR214" s="335">
        <f>IFERROR(#REF!*AR205/SUM(AR197,AR205),0)</f>
        <v>0</v>
      </c>
      <c r="AS214" s="335">
        <f>IFERROR(#REF!*AS205/SUM(AS197,AS205),0)</f>
        <v>0</v>
      </c>
      <c r="AT214" s="335">
        <f>IFERROR(#REF!*AT205/SUM(AT197,AT205),0)</f>
        <v>0</v>
      </c>
      <c r="AU214" s="335">
        <f>IFERROR(#REF!*AU205/SUM(AU197,AU205),0)</f>
        <v>0</v>
      </c>
      <c r="AV214" s="335">
        <f>IFERROR(#REF!*AV205/SUM(AV197,AV205),0)</f>
        <v>0</v>
      </c>
      <c r="AW214" s="335">
        <f>IFERROR(#REF!*AW205/SUM(AW197,AW205),0)</f>
        <v>0</v>
      </c>
      <c r="AX214" s="335">
        <f>IFERROR(#REF!*AX205/SUM(AX197,AX205),0)</f>
        <v>0</v>
      </c>
      <c r="AY214" s="335">
        <f>IFERROR(#REF!*AY205/SUM(AY197,AY205),0)</f>
        <v>0</v>
      </c>
      <c r="AZ214" s="335">
        <f>IFERROR(#REF!*AZ205/SUM(AZ197,AZ205),0)</f>
        <v>0</v>
      </c>
      <c r="BA214" s="335">
        <f>IFERROR(#REF!*BA205/SUM(BA197,BA205),0)</f>
        <v>0</v>
      </c>
      <c r="BB214" s="335">
        <f>IFERROR(#REF!*BB205/SUM(BB197,BB205),0)</f>
        <v>0</v>
      </c>
      <c r="BC214" s="335">
        <f>IFERROR(#REF!*BC205/SUM(BC197,BC205),0)</f>
        <v>0</v>
      </c>
      <c r="BD214" s="335">
        <f>IFERROR(#REF!*BD205/SUM(BD197,BD205),0)</f>
        <v>0</v>
      </c>
      <c r="BE214" s="335">
        <f>IFERROR(#REF!*BE205/SUM(BE197,BE205),0)</f>
        <v>0</v>
      </c>
      <c r="BF214" s="335">
        <f>IFERROR(#REF!*BF205/SUM(BF197,BF205),0)</f>
        <v>0</v>
      </c>
      <c r="BG214" s="335"/>
      <c r="BH214" s="335"/>
      <c r="BI214" s="335"/>
      <c r="BJ214" s="335"/>
      <c r="BK214" s="335"/>
      <c r="BL214" s="335"/>
    </row>
    <row r="215" spans="3:64" hidden="1" x14ac:dyDescent="0.15">
      <c r="C215" s="434" t="s">
        <v>560</v>
      </c>
      <c r="E215" s="330" t="e">
        <f>E214+E210-#REF!</f>
        <v>#REF!</v>
      </c>
      <c r="F215" s="330" t="e">
        <f>F214+F210-#REF!</f>
        <v>#REF!</v>
      </c>
      <c r="G215" s="330" t="e">
        <f>G214+G210-#REF!</f>
        <v>#REF!</v>
      </c>
      <c r="H215" s="330" t="e">
        <f>H214+H210-#REF!</f>
        <v>#REF!</v>
      </c>
      <c r="I215" s="330" t="e">
        <f>I214+I210-#REF!</f>
        <v>#REF!</v>
      </c>
      <c r="J215" s="330" t="e">
        <f>J214+J210-#REF!</f>
        <v>#REF!</v>
      </c>
      <c r="K215" s="330" t="e">
        <f>K214+K210-#REF!</f>
        <v>#REF!</v>
      </c>
      <c r="L215" s="330" t="e">
        <f>L214+L210-#REF!</f>
        <v>#REF!</v>
      </c>
      <c r="M215" s="330" t="e">
        <f>M214+M210-#REF!</f>
        <v>#REF!</v>
      </c>
      <c r="N215" s="330" t="e">
        <f>N214+N210-#REF!</f>
        <v>#REF!</v>
      </c>
      <c r="O215" s="330" t="e">
        <f>O214+O210-#REF!</f>
        <v>#REF!</v>
      </c>
      <c r="P215" s="330" t="e">
        <f>P214+P210-#REF!</f>
        <v>#REF!</v>
      </c>
      <c r="Q215" s="330" t="e">
        <f>Q214+Q210-#REF!</f>
        <v>#REF!</v>
      </c>
      <c r="R215" s="330" t="e">
        <f>R214+R210-#REF!</f>
        <v>#REF!</v>
      </c>
      <c r="S215" s="330" t="e">
        <f>S214+S210-#REF!</f>
        <v>#REF!</v>
      </c>
      <c r="T215" s="330" t="e">
        <f>T214+T210-#REF!</f>
        <v>#REF!</v>
      </c>
      <c r="U215" s="330" t="e">
        <f>U214+U210-#REF!</f>
        <v>#REF!</v>
      </c>
      <c r="V215" s="330" t="e">
        <f>V214+V210-#REF!</f>
        <v>#REF!</v>
      </c>
      <c r="W215" s="330" t="e">
        <f>W214+W210-#REF!</f>
        <v>#REF!</v>
      </c>
      <c r="X215" s="330" t="e">
        <f>X214+X210-#REF!</f>
        <v>#REF!</v>
      </c>
      <c r="Y215" s="330" t="e">
        <f>Y214+Y210-#REF!</f>
        <v>#REF!</v>
      </c>
      <c r="Z215" s="330" t="e">
        <f>Z214+Z210-#REF!</f>
        <v>#REF!</v>
      </c>
      <c r="AA215" s="330" t="e">
        <f>AA214+AA210-#REF!</f>
        <v>#REF!</v>
      </c>
      <c r="AB215" s="330" t="e">
        <f>AB214+AB210-#REF!</f>
        <v>#REF!</v>
      </c>
      <c r="AC215" s="330" t="e">
        <f>AC214+AC210-#REF!</f>
        <v>#REF!</v>
      </c>
      <c r="AD215" s="330" t="e">
        <f>AD214+AD210-#REF!</f>
        <v>#REF!</v>
      </c>
      <c r="AE215" s="330" t="e">
        <f>AE214+AE210-#REF!</f>
        <v>#REF!</v>
      </c>
      <c r="AF215" s="330" t="e">
        <f>AF214+AF210-#REF!</f>
        <v>#REF!</v>
      </c>
      <c r="AG215" s="330" t="e">
        <f>AG214+AG210-#REF!</f>
        <v>#REF!</v>
      </c>
      <c r="AH215" s="330" t="e">
        <f>AH214+AH210-#REF!</f>
        <v>#REF!</v>
      </c>
      <c r="AI215" s="330" t="e">
        <f>AI214+AI210-#REF!</f>
        <v>#REF!</v>
      </c>
      <c r="AJ215" s="330" t="e">
        <f>AJ214+AJ210-#REF!</f>
        <v>#REF!</v>
      </c>
      <c r="AK215" s="330" t="e">
        <f>AK214+AK210-#REF!</f>
        <v>#REF!</v>
      </c>
      <c r="AL215" s="330" t="e">
        <f>AL214+AL210-#REF!</f>
        <v>#REF!</v>
      </c>
      <c r="AM215" s="330" t="e">
        <f>AM214+AM210-#REF!</f>
        <v>#REF!</v>
      </c>
      <c r="AN215" s="330" t="e">
        <f>AN214+AN210-#REF!</f>
        <v>#REF!</v>
      </c>
      <c r="AO215" s="330" t="e">
        <f>AO214+AO210-#REF!</f>
        <v>#REF!</v>
      </c>
      <c r="AP215" s="330" t="e">
        <f>AP214+AP210-#REF!</f>
        <v>#REF!</v>
      </c>
      <c r="AQ215" s="330" t="e">
        <f>AQ214+AQ210-#REF!</f>
        <v>#REF!</v>
      </c>
      <c r="AR215" s="330" t="e">
        <f>AR214+AR210-#REF!</f>
        <v>#REF!</v>
      </c>
      <c r="AS215" s="330" t="e">
        <f>AS214+AS210-#REF!</f>
        <v>#REF!</v>
      </c>
      <c r="AT215" s="330" t="e">
        <f>AT214+AT210-#REF!</f>
        <v>#REF!</v>
      </c>
      <c r="AU215" s="330" t="e">
        <f>AU214+AU210-#REF!</f>
        <v>#REF!</v>
      </c>
      <c r="AV215" s="330" t="e">
        <f>AV214+AV210-#REF!</f>
        <v>#REF!</v>
      </c>
      <c r="AW215" s="330" t="e">
        <f>AW214+AW210-#REF!</f>
        <v>#REF!</v>
      </c>
      <c r="AX215" s="330" t="e">
        <f>AX214+AX210-#REF!</f>
        <v>#REF!</v>
      </c>
      <c r="AY215" s="330" t="e">
        <f>AY214+AY210-#REF!</f>
        <v>#REF!</v>
      </c>
      <c r="AZ215" s="330" t="e">
        <f>AZ214+AZ210-#REF!</f>
        <v>#REF!</v>
      </c>
      <c r="BA215" s="330" t="e">
        <f>BA214+BA210-#REF!</f>
        <v>#REF!</v>
      </c>
      <c r="BB215" s="330" t="e">
        <f>BB214+BB210-#REF!</f>
        <v>#REF!</v>
      </c>
      <c r="BC215" s="330" t="e">
        <f>BC214+BC210-#REF!</f>
        <v>#REF!</v>
      </c>
      <c r="BD215" s="330" t="e">
        <f>BD214+BD210-#REF!</f>
        <v>#REF!</v>
      </c>
      <c r="BE215" s="330" t="e">
        <f>BE214+BE210-#REF!</f>
        <v>#REF!</v>
      </c>
      <c r="BF215" s="330" t="e">
        <f>BF214+BF210-#REF!</f>
        <v>#REF!</v>
      </c>
      <c r="BG215" s="330"/>
      <c r="BH215" s="330"/>
      <c r="BI215" s="330"/>
      <c r="BJ215" s="330"/>
      <c r="BK215" s="330"/>
      <c r="BL215" s="330"/>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5B940-93BC-2843-8C4C-BDD1C49E6FDA}">
  <sheetPr>
    <tabColor rgb="FFFFFF00"/>
  </sheetPr>
  <dimension ref="A1:BQ34"/>
  <sheetViews>
    <sheetView showGridLines="0" topLeftCell="A4" zoomScale="119" zoomScaleNormal="85" zoomScaleSheetLayoutView="70" workbookViewId="0">
      <selection activeCell="G124" sqref="G124"/>
    </sheetView>
  </sheetViews>
  <sheetFormatPr baseColWidth="10" defaultColWidth="10.1640625" defaultRowHeight="11" outlineLevelRow="1" x14ac:dyDescent="0.15"/>
  <cols>
    <col min="1" max="1" width="2.5" style="407" customWidth="1"/>
    <col min="2" max="2" width="3.33203125" style="343" customWidth="1"/>
    <col min="3" max="3" width="28" style="343" customWidth="1"/>
    <col min="4" max="39" width="10.5" style="343" customWidth="1"/>
    <col min="40" max="16384" width="10.1640625" style="343"/>
  </cols>
  <sheetData>
    <row r="1" spans="1:69" ht="23" x14ac:dyDescent="0.25">
      <c r="C1" s="435" t="s">
        <v>563</v>
      </c>
      <c r="D1" s="436"/>
    </row>
    <row r="2" spans="1:69" s="240" customFormat="1" ht="14" thickBot="1" x14ac:dyDescent="0.2">
      <c r="A2" s="437"/>
      <c r="C2" s="438" t="s">
        <v>564</v>
      </c>
      <c r="D2" s="439" t="s">
        <v>565</v>
      </c>
      <c r="E2" s="439"/>
      <c r="F2" s="439"/>
      <c r="G2" s="439"/>
      <c r="H2" s="439"/>
      <c r="I2" s="439"/>
      <c r="J2" s="439"/>
      <c r="K2" s="439"/>
      <c r="L2" s="439"/>
      <c r="M2" s="439"/>
      <c r="N2" s="439"/>
      <c r="O2" s="439"/>
      <c r="P2" s="439"/>
    </row>
    <row r="3" spans="1:69" s="240" customFormat="1" ht="13" x14ac:dyDescent="0.15">
      <c r="A3" s="440"/>
      <c r="B3" s="48"/>
      <c r="P3" s="441"/>
      <c r="Q3" s="441"/>
    </row>
    <row r="4" spans="1:69" s="240" customFormat="1" ht="13" x14ac:dyDescent="0.15">
      <c r="A4" s="437"/>
      <c r="B4" s="442"/>
      <c r="C4" s="443" t="s">
        <v>566</v>
      </c>
      <c r="D4" s="444">
        <v>45658</v>
      </c>
      <c r="E4" s="445">
        <f t="shared" ref="E4:BL4" si="0">EOMONTH(D4,1)</f>
        <v>45716</v>
      </c>
      <c r="F4" s="445">
        <f t="shared" si="0"/>
        <v>45747</v>
      </c>
      <c r="G4" s="445">
        <f t="shared" si="0"/>
        <v>45777</v>
      </c>
      <c r="H4" s="445">
        <f t="shared" si="0"/>
        <v>45808</v>
      </c>
      <c r="I4" s="445">
        <f t="shared" si="0"/>
        <v>45838</v>
      </c>
      <c r="J4" s="445">
        <f t="shared" si="0"/>
        <v>45869</v>
      </c>
      <c r="K4" s="445">
        <f t="shared" si="0"/>
        <v>45900</v>
      </c>
      <c r="L4" s="445">
        <f t="shared" si="0"/>
        <v>45930</v>
      </c>
      <c r="M4" s="445">
        <f t="shared" si="0"/>
        <v>45961</v>
      </c>
      <c r="N4" s="445">
        <f t="shared" si="0"/>
        <v>45991</v>
      </c>
      <c r="O4" s="445">
        <f t="shared" si="0"/>
        <v>46022</v>
      </c>
      <c r="P4" s="445">
        <f t="shared" si="0"/>
        <v>46053</v>
      </c>
      <c r="Q4" s="445">
        <f t="shared" si="0"/>
        <v>46081</v>
      </c>
      <c r="R4" s="445">
        <f t="shared" si="0"/>
        <v>46112</v>
      </c>
      <c r="S4" s="445">
        <f t="shared" si="0"/>
        <v>46142</v>
      </c>
      <c r="T4" s="445">
        <f t="shared" si="0"/>
        <v>46173</v>
      </c>
      <c r="U4" s="445">
        <f t="shared" si="0"/>
        <v>46203</v>
      </c>
      <c r="V4" s="445">
        <f t="shared" si="0"/>
        <v>46234</v>
      </c>
      <c r="W4" s="445">
        <f t="shared" si="0"/>
        <v>46265</v>
      </c>
      <c r="X4" s="445">
        <f t="shared" si="0"/>
        <v>46295</v>
      </c>
      <c r="Y4" s="445">
        <f t="shared" si="0"/>
        <v>46326</v>
      </c>
      <c r="Z4" s="445">
        <f t="shared" si="0"/>
        <v>46356</v>
      </c>
      <c r="AA4" s="445">
        <f t="shared" si="0"/>
        <v>46387</v>
      </c>
      <c r="AB4" s="445">
        <f t="shared" si="0"/>
        <v>46418</v>
      </c>
      <c r="AC4" s="445">
        <f t="shared" si="0"/>
        <v>46446</v>
      </c>
      <c r="AD4" s="445">
        <f t="shared" si="0"/>
        <v>46477</v>
      </c>
      <c r="AE4" s="445">
        <f t="shared" si="0"/>
        <v>46507</v>
      </c>
      <c r="AF4" s="445">
        <f t="shared" si="0"/>
        <v>46538</v>
      </c>
      <c r="AG4" s="445">
        <f t="shared" si="0"/>
        <v>46568</v>
      </c>
      <c r="AH4" s="445">
        <f t="shared" si="0"/>
        <v>46599</v>
      </c>
      <c r="AI4" s="445">
        <f t="shared" si="0"/>
        <v>46630</v>
      </c>
      <c r="AJ4" s="445">
        <f t="shared" si="0"/>
        <v>46660</v>
      </c>
      <c r="AK4" s="445">
        <f t="shared" si="0"/>
        <v>46691</v>
      </c>
      <c r="AL4" s="445">
        <f t="shared" si="0"/>
        <v>46721</v>
      </c>
      <c r="AM4" s="445">
        <f t="shared" si="0"/>
        <v>46752</v>
      </c>
      <c r="AN4" s="445">
        <f t="shared" si="0"/>
        <v>46783</v>
      </c>
      <c r="AO4" s="445">
        <f t="shared" si="0"/>
        <v>46812</v>
      </c>
      <c r="AP4" s="445">
        <f t="shared" si="0"/>
        <v>46843</v>
      </c>
      <c r="AQ4" s="445">
        <f t="shared" si="0"/>
        <v>46873</v>
      </c>
      <c r="AR4" s="445">
        <f t="shared" si="0"/>
        <v>46904</v>
      </c>
      <c r="AS4" s="445">
        <f t="shared" si="0"/>
        <v>46934</v>
      </c>
      <c r="AT4" s="445">
        <f t="shared" si="0"/>
        <v>46965</v>
      </c>
      <c r="AU4" s="445">
        <f t="shared" si="0"/>
        <v>46996</v>
      </c>
      <c r="AV4" s="445">
        <f t="shared" si="0"/>
        <v>47026</v>
      </c>
      <c r="AW4" s="445">
        <f t="shared" si="0"/>
        <v>47057</v>
      </c>
      <c r="AX4" s="445">
        <f t="shared" si="0"/>
        <v>47087</v>
      </c>
      <c r="AY4" s="445">
        <f t="shared" si="0"/>
        <v>47118</v>
      </c>
      <c r="AZ4" s="445">
        <f t="shared" si="0"/>
        <v>47149</v>
      </c>
      <c r="BA4" s="445">
        <f t="shared" si="0"/>
        <v>47177</v>
      </c>
      <c r="BB4" s="445">
        <f t="shared" si="0"/>
        <v>47208</v>
      </c>
      <c r="BC4" s="445">
        <f t="shared" si="0"/>
        <v>47238</v>
      </c>
      <c r="BD4" s="445">
        <f t="shared" si="0"/>
        <v>47269</v>
      </c>
      <c r="BE4" s="445">
        <f t="shared" si="0"/>
        <v>47299</v>
      </c>
      <c r="BF4" s="445">
        <f t="shared" si="0"/>
        <v>47330</v>
      </c>
      <c r="BG4" s="445">
        <f t="shared" si="0"/>
        <v>47361</v>
      </c>
      <c r="BH4" s="445">
        <f t="shared" si="0"/>
        <v>47391</v>
      </c>
      <c r="BI4" s="445">
        <f t="shared" si="0"/>
        <v>47422</v>
      </c>
      <c r="BJ4" s="445">
        <f t="shared" si="0"/>
        <v>47452</v>
      </c>
      <c r="BK4" s="445">
        <f t="shared" si="0"/>
        <v>47483</v>
      </c>
      <c r="BL4" s="445">
        <f t="shared" si="0"/>
        <v>47514</v>
      </c>
      <c r="BM4" s="441"/>
      <c r="BN4" s="441"/>
      <c r="BO4" s="441"/>
      <c r="BP4" s="441"/>
      <c r="BQ4" s="441"/>
    </row>
    <row r="5" spans="1:69" s="243" customFormat="1" ht="13" x14ac:dyDescent="0.15">
      <c r="A5" s="446"/>
      <c r="C5" s="447" t="s">
        <v>567</v>
      </c>
      <c r="D5" s="448">
        <f t="shared" ref="D5:BL5" si="1">YEAR(D4)</f>
        <v>2025</v>
      </c>
      <c r="E5" s="448">
        <f t="shared" si="1"/>
        <v>2025</v>
      </c>
      <c r="F5" s="448">
        <f t="shared" si="1"/>
        <v>2025</v>
      </c>
      <c r="G5" s="448">
        <f t="shared" si="1"/>
        <v>2025</v>
      </c>
      <c r="H5" s="448">
        <f t="shared" si="1"/>
        <v>2025</v>
      </c>
      <c r="I5" s="448">
        <f t="shared" si="1"/>
        <v>2025</v>
      </c>
      <c r="J5" s="448">
        <f t="shared" si="1"/>
        <v>2025</v>
      </c>
      <c r="K5" s="448">
        <f t="shared" si="1"/>
        <v>2025</v>
      </c>
      <c r="L5" s="448">
        <f t="shared" si="1"/>
        <v>2025</v>
      </c>
      <c r="M5" s="448">
        <f t="shared" si="1"/>
        <v>2025</v>
      </c>
      <c r="N5" s="448">
        <f t="shared" si="1"/>
        <v>2025</v>
      </c>
      <c r="O5" s="448">
        <f t="shared" si="1"/>
        <v>2025</v>
      </c>
      <c r="P5" s="448">
        <f t="shared" si="1"/>
        <v>2026</v>
      </c>
      <c r="Q5" s="448">
        <f t="shared" si="1"/>
        <v>2026</v>
      </c>
      <c r="R5" s="448">
        <f t="shared" si="1"/>
        <v>2026</v>
      </c>
      <c r="S5" s="448">
        <f t="shared" si="1"/>
        <v>2026</v>
      </c>
      <c r="T5" s="448">
        <f t="shared" si="1"/>
        <v>2026</v>
      </c>
      <c r="U5" s="448">
        <f t="shared" si="1"/>
        <v>2026</v>
      </c>
      <c r="V5" s="448">
        <f t="shared" si="1"/>
        <v>2026</v>
      </c>
      <c r="W5" s="448">
        <f t="shared" si="1"/>
        <v>2026</v>
      </c>
      <c r="X5" s="448">
        <f t="shared" si="1"/>
        <v>2026</v>
      </c>
      <c r="Y5" s="448">
        <f t="shared" si="1"/>
        <v>2026</v>
      </c>
      <c r="Z5" s="448">
        <f t="shared" si="1"/>
        <v>2026</v>
      </c>
      <c r="AA5" s="448">
        <f t="shared" si="1"/>
        <v>2026</v>
      </c>
      <c r="AB5" s="448">
        <f t="shared" si="1"/>
        <v>2027</v>
      </c>
      <c r="AC5" s="448">
        <f t="shared" si="1"/>
        <v>2027</v>
      </c>
      <c r="AD5" s="448">
        <f t="shared" si="1"/>
        <v>2027</v>
      </c>
      <c r="AE5" s="448">
        <f t="shared" si="1"/>
        <v>2027</v>
      </c>
      <c r="AF5" s="448">
        <f t="shared" si="1"/>
        <v>2027</v>
      </c>
      <c r="AG5" s="448">
        <f t="shared" si="1"/>
        <v>2027</v>
      </c>
      <c r="AH5" s="448">
        <f t="shared" si="1"/>
        <v>2027</v>
      </c>
      <c r="AI5" s="448">
        <f t="shared" si="1"/>
        <v>2027</v>
      </c>
      <c r="AJ5" s="448">
        <f t="shared" si="1"/>
        <v>2027</v>
      </c>
      <c r="AK5" s="448">
        <f t="shared" si="1"/>
        <v>2027</v>
      </c>
      <c r="AL5" s="448">
        <f t="shared" si="1"/>
        <v>2027</v>
      </c>
      <c r="AM5" s="448">
        <f t="shared" si="1"/>
        <v>2027</v>
      </c>
      <c r="AN5" s="448">
        <f t="shared" si="1"/>
        <v>2028</v>
      </c>
      <c r="AO5" s="448">
        <f t="shared" si="1"/>
        <v>2028</v>
      </c>
      <c r="AP5" s="448">
        <f t="shared" si="1"/>
        <v>2028</v>
      </c>
      <c r="AQ5" s="448">
        <f t="shared" si="1"/>
        <v>2028</v>
      </c>
      <c r="AR5" s="448">
        <f t="shared" si="1"/>
        <v>2028</v>
      </c>
      <c r="AS5" s="448">
        <f t="shared" si="1"/>
        <v>2028</v>
      </c>
      <c r="AT5" s="448">
        <f t="shared" si="1"/>
        <v>2028</v>
      </c>
      <c r="AU5" s="448">
        <f t="shared" si="1"/>
        <v>2028</v>
      </c>
      <c r="AV5" s="448">
        <f t="shared" si="1"/>
        <v>2028</v>
      </c>
      <c r="AW5" s="448">
        <f t="shared" si="1"/>
        <v>2028</v>
      </c>
      <c r="AX5" s="448">
        <f t="shared" si="1"/>
        <v>2028</v>
      </c>
      <c r="AY5" s="448">
        <f t="shared" si="1"/>
        <v>2028</v>
      </c>
      <c r="AZ5" s="448">
        <f t="shared" si="1"/>
        <v>2029</v>
      </c>
      <c r="BA5" s="448">
        <f t="shared" si="1"/>
        <v>2029</v>
      </c>
      <c r="BB5" s="448">
        <f t="shared" si="1"/>
        <v>2029</v>
      </c>
      <c r="BC5" s="448">
        <f t="shared" si="1"/>
        <v>2029</v>
      </c>
      <c r="BD5" s="448">
        <f t="shared" si="1"/>
        <v>2029</v>
      </c>
      <c r="BE5" s="448">
        <f t="shared" si="1"/>
        <v>2029</v>
      </c>
      <c r="BF5" s="448">
        <f t="shared" si="1"/>
        <v>2029</v>
      </c>
      <c r="BG5" s="448">
        <f t="shared" si="1"/>
        <v>2029</v>
      </c>
      <c r="BH5" s="448">
        <f t="shared" si="1"/>
        <v>2029</v>
      </c>
      <c r="BI5" s="448">
        <f t="shared" si="1"/>
        <v>2029</v>
      </c>
      <c r="BJ5" s="448">
        <f t="shared" si="1"/>
        <v>2029</v>
      </c>
      <c r="BK5" s="448">
        <f t="shared" si="1"/>
        <v>2029</v>
      </c>
      <c r="BL5" s="448">
        <f t="shared" si="1"/>
        <v>2030</v>
      </c>
      <c r="BM5" s="449"/>
      <c r="BN5" s="449"/>
      <c r="BO5" s="449"/>
      <c r="BP5" s="449"/>
      <c r="BQ5" s="449"/>
    </row>
    <row r="6" spans="1:69" s="240" customFormat="1" ht="13" x14ac:dyDescent="0.15">
      <c r="A6" s="437"/>
      <c r="C6" s="240" t="s">
        <v>568</v>
      </c>
      <c r="D6" s="450"/>
      <c r="E6" s="450"/>
      <c r="F6" s="450"/>
      <c r="G6" s="450"/>
      <c r="H6" s="450"/>
      <c r="I6" s="450"/>
      <c r="J6" s="450"/>
      <c r="K6" s="450"/>
      <c r="L6" s="450"/>
      <c r="M6" s="450"/>
      <c r="N6" s="450"/>
      <c r="O6" s="450"/>
      <c r="P6" s="450"/>
      <c r="Q6" s="450"/>
      <c r="R6" s="450"/>
      <c r="S6" s="450"/>
      <c r="T6" s="450"/>
      <c r="U6" s="450"/>
      <c r="V6" s="450"/>
      <c r="W6" s="450"/>
      <c r="X6" s="450"/>
      <c r="Y6" s="450"/>
      <c r="Z6" s="450"/>
      <c r="AA6" s="450"/>
      <c r="AB6" s="450"/>
      <c r="AC6" s="450"/>
      <c r="AD6" s="450"/>
      <c r="AE6" s="450"/>
      <c r="AF6" s="450"/>
      <c r="AG6" s="450"/>
      <c r="AH6" s="450"/>
      <c r="AI6" s="450"/>
      <c r="AJ6" s="450"/>
      <c r="AK6" s="450"/>
      <c r="AL6" s="450"/>
      <c r="AM6" s="450"/>
      <c r="AN6" s="451"/>
      <c r="AO6" s="451"/>
      <c r="AP6" s="451"/>
      <c r="AQ6" s="451"/>
      <c r="AR6" s="451"/>
      <c r="AS6" s="451"/>
      <c r="AT6" s="451"/>
      <c r="AU6" s="451"/>
      <c r="AV6" s="451"/>
      <c r="AW6" s="451"/>
      <c r="AX6" s="451"/>
      <c r="AY6" s="451"/>
      <c r="AZ6" s="451"/>
      <c r="BA6" s="451"/>
      <c r="BB6" s="451"/>
      <c r="BC6" s="451"/>
      <c r="BD6" s="451"/>
      <c r="BE6" s="451"/>
      <c r="BF6" s="451"/>
      <c r="BG6" s="451"/>
      <c r="BH6" s="451"/>
      <c r="BI6" s="451"/>
      <c r="BJ6" s="451"/>
      <c r="BK6" s="451"/>
      <c r="BL6" s="451"/>
    </row>
    <row r="7" spans="1:69" s="240" customFormat="1" ht="13" x14ac:dyDescent="0.15">
      <c r="A7" s="437"/>
      <c r="D7" s="442"/>
      <c r="E7" s="442"/>
      <c r="F7" s="442"/>
      <c r="G7" s="442"/>
      <c r="H7" s="442"/>
      <c r="I7" s="442"/>
      <c r="J7" s="442"/>
      <c r="K7" s="442"/>
      <c r="L7" s="442"/>
      <c r="M7" s="442"/>
      <c r="N7" s="442"/>
      <c r="O7" s="442"/>
      <c r="P7" s="442"/>
      <c r="Q7" s="442"/>
      <c r="R7" s="442"/>
      <c r="S7" s="442"/>
      <c r="T7" s="442"/>
      <c r="U7" s="442"/>
      <c r="V7" s="442"/>
      <c r="W7" s="442"/>
      <c r="X7" s="442"/>
      <c r="Y7" s="442"/>
      <c r="Z7" s="442"/>
      <c r="AA7" s="442"/>
      <c r="AB7" s="442"/>
      <c r="AC7" s="442"/>
      <c r="AD7" s="442"/>
      <c r="AE7" s="442"/>
      <c r="AF7" s="442"/>
      <c r="AG7" s="442"/>
      <c r="AH7" s="442"/>
      <c r="AI7" s="442"/>
      <c r="AJ7" s="442"/>
      <c r="AK7" s="442"/>
      <c r="AL7" s="442"/>
      <c r="AM7" s="442"/>
      <c r="AN7" s="442"/>
      <c r="AO7" s="442"/>
      <c r="AP7" s="442"/>
      <c r="AQ7" s="442"/>
      <c r="AR7" s="442"/>
      <c r="AS7" s="442"/>
      <c r="AT7" s="442"/>
      <c r="AU7" s="442"/>
      <c r="AV7" s="442"/>
      <c r="AW7" s="442"/>
      <c r="AX7" s="442"/>
      <c r="AY7" s="442"/>
      <c r="AZ7" s="442"/>
      <c r="BA7" s="442"/>
      <c r="BB7" s="442"/>
      <c r="BC7" s="442"/>
      <c r="BD7" s="442"/>
      <c r="BE7" s="442"/>
      <c r="BF7" s="442"/>
      <c r="BG7" s="442"/>
      <c r="BH7" s="442"/>
      <c r="BI7" s="442"/>
      <c r="BJ7" s="442"/>
      <c r="BK7" s="442"/>
      <c r="BL7" s="442"/>
    </row>
    <row r="8" spans="1:69" s="240" customFormat="1" ht="14" thickBot="1" x14ac:dyDescent="0.2">
      <c r="A8" s="437"/>
      <c r="C8" s="438" t="s">
        <v>569</v>
      </c>
      <c r="D8" s="439" t="s">
        <v>570</v>
      </c>
      <c r="E8" s="452"/>
      <c r="F8" s="452"/>
      <c r="G8" s="453"/>
      <c r="H8" s="453"/>
      <c r="I8" s="453"/>
      <c r="J8" s="453"/>
      <c r="K8" s="453"/>
      <c r="L8" s="453"/>
      <c r="M8" s="453"/>
      <c r="N8" s="453"/>
      <c r="O8" s="453"/>
      <c r="P8" s="453"/>
      <c r="Q8" s="441"/>
      <c r="R8" s="441"/>
      <c r="S8" s="441"/>
      <c r="T8" s="441"/>
    </row>
    <row r="9" spans="1:69" s="240" customFormat="1" ht="13" x14ac:dyDescent="0.15">
      <c r="A9" s="440"/>
      <c r="B9" s="48"/>
      <c r="G9" s="441"/>
      <c r="H9" s="441"/>
      <c r="I9" s="441"/>
      <c r="J9" s="441"/>
      <c r="K9" s="441"/>
      <c r="L9" s="441"/>
      <c r="M9" s="441"/>
      <c r="N9" s="441"/>
      <c r="O9" s="441"/>
      <c r="P9" s="441"/>
      <c r="Q9" s="441"/>
      <c r="R9" s="441"/>
      <c r="S9" s="441"/>
      <c r="T9" s="441"/>
    </row>
    <row r="10" spans="1:69" s="240" customFormat="1" ht="13" x14ac:dyDescent="0.15">
      <c r="A10" s="440"/>
      <c r="B10" s="48"/>
      <c r="C10" s="48" t="s">
        <v>571</v>
      </c>
      <c r="E10" s="454" t="s">
        <v>572</v>
      </c>
      <c r="F10" s="454">
        <f>YEAR(D4)</f>
        <v>2025</v>
      </c>
      <c r="G10" s="454">
        <f>F10+1</f>
        <v>2026</v>
      </c>
      <c r="H10" s="454">
        <f>G10+1</f>
        <v>2027</v>
      </c>
      <c r="I10" s="454">
        <f>H10+1</f>
        <v>2028</v>
      </c>
      <c r="J10" s="454">
        <f>I10+1</f>
        <v>2029</v>
      </c>
      <c r="K10" s="454">
        <f>J10+1</f>
        <v>2030</v>
      </c>
      <c r="M10" s="441"/>
      <c r="O10" s="441"/>
      <c r="Q10" s="441"/>
      <c r="R10" s="441"/>
      <c r="S10" s="441"/>
      <c r="T10" s="441"/>
    </row>
    <row r="11" spans="1:69" s="240" customFormat="1" ht="13" x14ac:dyDescent="0.15">
      <c r="A11" s="440"/>
      <c r="B11" s="48"/>
      <c r="C11" s="239"/>
      <c r="E11" s="455" t="s">
        <v>573</v>
      </c>
      <c r="F11" s="455" t="s">
        <v>573</v>
      </c>
      <c r="G11" s="455" t="s">
        <v>573</v>
      </c>
      <c r="H11" s="455" t="s">
        <v>573</v>
      </c>
      <c r="I11" s="455" t="s">
        <v>573</v>
      </c>
      <c r="J11" s="455" t="s">
        <v>573</v>
      </c>
      <c r="K11" s="455" t="s">
        <v>573</v>
      </c>
      <c r="M11" s="441"/>
      <c r="O11" s="441"/>
      <c r="Q11" s="441"/>
      <c r="R11" s="441"/>
      <c r="S11" s="441"/>
      <c r="T11" s="441"/>
    </row>
    <row r="12" spans="1:69" s="240" customFormat="1" ht="13" x14ac:dyDescent="0.15">
      <c r="A12" s="440"/>
      <c r="B12" s="48"/>
      <c r="H12" s="441"/>
      <c r="I12" s="441"/>
      <c r="J12" s="441"/>
      <c r="K12" s="441"/>
      <c r="M12" s="441"/>
      <c r="O12" s="441"/>
      <c r="Q12" s="441"/>
      <c r="R12" s="441"/>
      <c r="S12" s="441"/>
      <c r="T12" s="441"/>
    </row>
    <row r="13" spans="1:69" s="240" customFormat="1" ht="13" x14ac:dyDescent="0.15">
      <c r="A13" s="437"/>
      <c r="C13" s="48" t="s">
        <v>574</v>
      </c>
      <c r="E13" s="456">
        <f>SUM(F13:O13)</f>
        <v>0</v>
      </c>
      <c r="F13" s="457">
        <f t="shared" ref="F13:K13" si="2">SUMIF($D$5:$BL$5,F$10,$D$6:$BL$6)</f>
        <v>0</v>
      </c>
      <c r="G13" s="457">
        <f t="shared" si="2"/>
        <v>0</v>
      </c>
      <c r="H13" s="457">
        <f t="shared" si="2"/>
        <v>0</v>
      </c>
      <c r="I13" s="457">
        <f t="shared" si="2"/>
        <v>0</v>
      </c>
      <c r="J13" s="457">
        <f t="shared" si="2"/>
        <v>0</v>
      </c>
      <c r="K13" s="457">
        <f t="shared" si="2"/>
        <v>0</v>
      </c>
      <c r="M13" s="458"/>
      <c r="O13" s="458"/>
      <c r="Q13" s="459"/>
      <c r="R13" s="459"/>
      <c r="S13" s="459"/>
      <c r="T13" s="459"/>
      <c r="U13" s="459"/>
      <c r="V13" s="459"/>
      <c r="W13" s="459"/>
      <c r="X13" s="459"/>
      <c r="Y13" s="459"/>
      <c r="Z13" s="459"/>
      <c r="AA13" s="459"/>
      <c r="AB13" s="459"/>
      <c r="AC13" s="459"/>
      <c r="AD13" s="459"/>
      <c r="AE13" s="459"/>
      <c r="AF13" s="459"/>
    </row>
    <row r="14" spans="1:69" s="240" customFormat="1" ht="13" x14ac:dyDescent="0.15">
      <c r="A14" s="437"/>
      <c r="C14" s="240" t="s">
        <v>575</v>
      </c>
      <c r="E14" s="460">
        <f>IFERROR(AVERAGE(D6:AM6),0)</f>
        <v>0</v>
      </c>
      <c r="F14" s="461">
        <f t="shared" ref="F14:K14" si="3">IFERROR(F13/COUNTIFS($D$5:$BL$5,F10,$D$6:$BL$6,"&lt;&gt;"&amp;""),0)</f>
        <v>0</v>
      </c>
      <c r="G14" s="461">
        <f t="shared" si="3"/>
        <v>0</v>
      </c>
      <c r="H14" s="461">
        <f t="shared" si="3"/>
        <v>0</v>
      </c>
      <c r="I14" s="461">
        <f t="shared" si="3"/>
        <v>0</v>
      </c>
      <c r="J14" s="461">
        <f t="shared" si="3"/>
        <v>0</v>
      </c>
      <c r="K14" s="461">
        <f t="shared" si="3"/>
        <v>0</v>
      </c>
      <c r="M14" s="462"/>
      <c r="O14" s="462"/>
      <c r="Q14" s="459"/>
      <c r="R14" s="459"/>
      <c r="S14" s="459"/>
      <c r="T14" s="459"/>
      <c r="U14" s="459"/>
      <c r="V14" s="459"/>
      <c r="W14" s="459"/>
      <c r="X14" s="459"/>
      <c r="Y14" s="459"/>
      <c r="Z14" s="459"/>
      <c r="AA14" s="459"/>
      <c r="AB14" s="459"/>
      <c r="AC14" s="459"/>
      <c r="AD14" s="459"/>
      <c r="AE14" s="459"/>
      <c r="AF14" s="459"/>
    </row>
    <row r="15" spans="1:69" s="240" customFormat="1" ht="13" x14ac:dyDescent="0.15">
      <c r="A15" s="437"/>
      <c r="C15" s="48"/>
      <c r="E15" s="463"/>
      <c r="F15" s="459"/>
      <c r="G15" s="459"/>
      <c r="H15" s="459"/>
      <c r="I15" s="459"/>
      <c r="J15" s="459"/>
      <c r="K15" s="459"/>
      <c r="M15" s="462"/>
      <c r="O15" s="462"/>
      <c r="Q15" s="459"/>
      <c r="R15" s="459"/>
      <c r="S15" s="459"/>
      <c r="T15" s="459"/>
      <c r="U15" s="459"/>
      <c r="V15" s="459"/>
      <c r="W15" s="459"/>
      <c r="X15" s="459"/>
      <c r="Y15" s="459"/>
      <c r="Z15" s="459"/>
      <c r="AA15" s="459"/>
      <c r="AB15" s="459"/>
      <c r="AC15" s="459"/>
      <c r="AD15" s="459"/>
      <c r="AE15" s="459"/>
      <c r="AF15" s="459"/>
    </row>
    <row r="16" spans="1:69" s="240" customFormat="1" ht="13" x14ac:dyDescent="0.15">
      <c r="A16" s="437"/>
      <c r="C16" s="48" t="s">
        <v>576</v>
      </c>
      <c r="E16" s="464"/>
      <c r="F16" s="464">
        <f ca="1">OFFSET(PnL_Speadsheet!$A$7,0,MATCH(DATE('Saleplan&amp;PnL'!F$10,12,31),PnL_Speadsheet!$B$4:$BI$4,0))/1000</f>
        <v>0</v>
      </c>
      <c r="G16" s="464">
        <f ca="1">OFFSET(PnL_Speadsheet!$A$7,0,MATCH(DATE('Saleplan&amp;PnL'!G$10,12,31),PnL_Speadsheet!$B$4:$BI$4,0))/1000</f>
        <v>0</v>
      </c>
      <c r="H16" s="464">
        <f ca="1">OFFSET(PnL_Speadsheet!$A$7,0,MATCH(DATE('Saleplan&amp;PnL'!H$10,12,31),PnL_Speadsheet!$B$4:$BI$4,0))/1000</f>
        <v>0</v>
      </c>
      <c r="I16" s="464">
        <f ca="1">OFFSET(PnL_Speadsheet!$A$7,0,MATCH(DATE('Saleplan&amp;PnL'!I$10,12,31),PnL_Speadsheet!$B$4:$BI$4,0))/1000</f>
        <v>0</v>
      </c>
      <c r="J16" s="464">
        <f ca="1">OFFSET(PnL_Speadsheet!$A$7,0,MATCH(DATE('Saleplan&amp;PnL'!J$10,12,31),PnL_Speadsheet!$B$4:$BI$4,0))/1000</f>
        <v>0</v>
      </c>
      <c r="K16" s="464">
        <f ca="1">IFERROR(OFFSET(PnL_Speadsheet!$A$7,0,MATCH(DATE('Saleplan&amp;PnL'!K$10,12,31),PnL_Speadsheet!$B$4:$BI$4,0))/1000,0)</f>
        <v>0</v>
      </c>
      <c r="M16" s="456"/>
      <c r="O16" s="456"/>
      <c r="Q16" s="459"/>
      <c r="R16" s="459"/>
      <c r="S16" s="459"/>
      <c r="T16" s="459"/>
      <c r="U16" s="459"/>
      <c r="V16" s="459"/>
      <c r="W16" s="459"/>
      <c r="X16" s="459"/>
      <c r="Y16" s="459"/>
      <c r="Z16" s="459"/>
      <c r="AA16" s="459"/>
      <c r="AB16" s="459"/>
      <c r="AC16" s="459"/>
      <c r="AD16" s="459"/>
      <c r="AE16" s="459"/>
      <c r="AF16" s="459"/>
    </row>
    <row r="17" spans="1:32" s="240" customFormat="1" ht="13" x14ac:dyDescent="0.15">
      <c r="A17" s="437"/>
      <c r="C17" s="48" t="s">
        <v>577</v>
      </c>
      <c r="E17" s="465">
        <f ca="1">IFERROR(SUM(PnL_Speadsheet!B8:AK8)/1000/COUNTIFS(PnL_Speadsheet!B8:BI8,"&lt;&gt;0"&amp;""),0)</f>
        <v>0</v>
      </c>
      <c r="F17" s="465">
        <f ca="1">IFERROR(SUMIF(PnL_Speadsheet!$B$3:$BI$3,F$10,PnL_Speadsheet!$B8:$BI8)/1000/COUNTIFS(PnL_Speadsheet!$B$3:$BI$3,'Saleplan&amp;PnL'!F$10,PnL_Speadsheet!$B$8:$BI$8,"&lt;&gt;0"),0)</f>
        <v>0</v>
      </c>
      <c r="G17" s="465">
        <f ca="1">IFERROR(SUMIF(PnL_Speadsheet!$B$3:$BI$3,G$10,PnL_Speadsheet!$B8:$BI8)/1000/COUNTIFS(PnL_Speadsheet!$B$3:$BI$3,'Saleplan&amp;PnL'!G$10,PnL_Speadsheet!$B$8:$BI$8,"&lt;&gt;0"),0)</f>
        <v>0</v>
      </c>
      <c r="H17" s="465">
        <f ca="1">IFERROR(SUMIF(PnL_Speadsheet!$B$3:$BI$3,H$10,PnL_Speadsheet!$B8:$BI8)/1000/COUNTIFS(PnL_Speadsheet!$B$3:$BI$3,'Saleplan&amp;PnL'!H$10,PnL_Speadsheet!$B$8:$BI$8,"&lt;&gt;0"),0)</f>
        <v>0</v>
      </c>
      <c r="I17" s="465">
        <f ca="1">IFERROR(SUMIF(PnL_Speadsheet!$B$3:$BI$3,I$10,PnL_Speadsheet!$B8:$BI8)/1000/COUNTIFS(PnL_Speadsheet!$B$3:$BI$3,'Saleplan&amp;PnL'!I$10,PnL_Speadsheet!$B$8:$BI$8,"&lt;&gt;0"),0)</f>
        <v>0</v>
      </c>
      <c r="J17" s="465">
        <f ca="1">IFERROR(SUMIF(PnL_Speadsheet!$B$3:$BI$3,J$10,PnL_Speadsheet!$B8:$BI8)/1000/COUNTIFS(PnL_Speadsheet!$B$3:$BI$3,'Saleplan&amp;PnL'!J$10,PnL_Speadsheet!$B$8:$BI$8,"&lt;&gt;0"),0)</f>
        <v>0</v>
      </c>
      <c r="K17" s="465">
        <f>IFERROR(SUMIF(PnL_Speadsheet!$B$3:$BI$3,K$10,PnL_Speadsheet!$B8:$BI8)/1000/COUNTIFS(PnL_Speadsheet!$B$3:$BI$3,'Saleplan&amp;PnL'!K$10,PnL_Speadsheet!$B$8:$BI$8,"&lt;&gt;0"),0)</f>
        <v>0</v>
      </c>
      <c r="M17" s="456"/>
      <c r="O17" s="456"/>
      <c r="Q17" s="459"/>
      <c r="R17" s="466"/>
      <c r="S17" s="466"/>
      <c r="T17" s="466"/>
      <c r="U17" s="466"/>
      <c r="V17" s="466"/>
      <c r="W17" s="466"/>
      <c r="X17" s="466"/>
      <c r="Y17" s="466"/>
      <c r="Z17" s="466"/>
      <c r="AA17" s="466"/>
      <c r="AB17" s="466"/>
      <c r="AC17" s="466"/>
      <c r="AD17" s="466"/>
      <c r="AE17" s="466"/>
      <c r="AF17" s="466"/>
    </row>
    <row r="18" spans="1:32" s="240" customFormat="1" ht="13" x14ac:dyDescent="0.15">
      <c r="A18" s="437"/>
      <c r="E18" s="467"/>
      <c r="F18" s="467"/>
      <c r="G18" s="467"/>
      <c r="H18" s="467"/>
      <c r="I18" s="467"/>
      <c r="J18" s="467"/>
      <c r="K18" s="467"/>
      <c r="M18" s="463"/>
      <c r="O18" s="463"/>
      <c r="Q18" s="459"/>
      <c r="R18" s="466"/>
      <c r="S18" s="466"/>
      <c r="T18" s="466"/>
      <c r="U18" s="466"/>
      <c r="V18" s="466"/>
      <c r="W18" s="466"/>
      <c r="X18" s="466"/>
      <c r="Y18" s="466"/>
      <c r="Z18" s="466"/>
      <c r="AA18" s="466"/>
      <c r="AB18" s="466"/>
      <c r="AC18" s="466"/>
      <c r="AD18" s="466"/>
      <c r="AE18" s="466"/>
      <c r="AF18" s="466"/>
    </row>
    <row r="19" spans="1:32" s="48" customFormat="1" ht="13" x14ac:dyDescent="0.15">
      <c r="A19" s="440"/>
      <c r="C19" s="48" t="s">
        <v>260</v>
      </c>
      <c r="E19" s="468">
        <f ca="1">SUM(F19:O19)</f>
        <v>0</v>
      </c>
      <c r="F19" s="464">
        <f ca="1">SUMIF(PnL_Speadsheet!$B$3:$BI$3,F$10,PnL_Speadsheet!$B9:$BI9)/1000</f>
        <v>0</v>
      </c>
      <c r="G19" s="464">
        <f ca="1">SUMIF(PnL_Speadsheet!$B$3:$BI$3,G$10,PnL_Speadsheet!$B9:$BI9)/1000</f>
        <v>0</v>
      </c>
      <c r="H19" s="464">
        <f ca="1">SUMIF(PnL_Speadsheet!$B$3:$BI$3,H$10,PnL_Speadsheet!$B9:$BI9)/1000</f>
        <v>0</v>
      </c>
      <c r="I19" s="464">
        <f ca="1">SUMIF(PnL_Speadsheet!$B$3:$BI$3,I$10,PnL_Speadsheet!$B9:$BI9)/1000</f>
        <v>0</v>
      </c>
      <c r="J19" s="464">
        <f ca="1">SUMIF(PnL_Speadsheet!$B$3:$BI$3,J$10,PnL_Speadsheet!$B9:$BI9)/1000</f>
        <v>0</v>
      </c>
      <c r="K19" s="464">
        <f>SUMIF(PnL_Speadsheet!$B$3:$BI$3,K$10,PnL_Speadsheet!$B9:$BI9)/1000</f>
        <v>0</v>
      </c>
      <c r="M19" s="458"/>
      <c r="O19" s="458"/>
      <c r="Q19" s="459"/>
      <c r="R19" s="469"/>
      <c r="S19" s="469"/>
      <c r="T19" s="469"/>
      <c r="U19" s="469"/>
      <c r="V19" s="469"/>
      <c r="W19" s="469"/>
      <c r="X19" s="469"/>
      <c r="Y19" s="469"/>
      <c r="Z19" s="469"/>
      <c r="AA19" s="469"/>
      <c r="AB19" s="469"/>
      <c r="AC19" s="469"/>
      <c r="AD19" s="469"/>
      <c r="AE19" s="469"/>
      <c r="AF19" s="469"/>
    </row>
    <row r="20" spans="1:32" s="240" customFormat="1" ht="13" outlineLevel="1" x14ac:dyDescent="0.15">
      <c r="A20" s="437"/>
      <c r="C20" s="470" t="s">
        <v>300</v>
      </c>
      <c r="E20" s="467">
        <f t="shared" ref="E20:E31" ca="1" si="4">SUM(F20:O20)</f>
        <v>0</v>
      </c>
      <c r="F20" s="471">
        <f ca="1">SUMIF(PnL_Speadsheet!$B$3:$BI$3,F$10,PnL_Speadsheet!$B11:$BI11)/1000</f>
        <v>0</v>
      </c>
      <c r="G20" s="471">
        <f ca="1">SUMIF(PnL_Speadsheet!$B$3:$BI$3,G$10,PnL_Speadsheet!$B11:$BI11)/1000</f>
        <v>0</v>
      </c>
      <c r="H20" s="471">
        <f ca="1">SUMIF(PnL_Speadsheet!$B$3:$BI$3,H$10,PnL_Speadsheet!$B11:$BI11)/1000</f>
        <v>0</v>
      </c>
      <c r="I20" s="471">
        <f ca="1">SUMIF(PnL_Speadsheet!$B$3:$BI$3,I$10,PnL_Speadsheet!$B11:$BI11)/1000</f>
        <v>0</v>
      </c>
      <c r="J20" s="471">
        <f ca="1">SUMIF(PnL_Speadsheet!$B$3:$BI$3,J$10,PnL_Speadsheet!$B11:$BI11)/1000</f>
        <v>0</v>
      </c>
      <c r="K20" s="471">
        <f>SUMIF(PnL_Speadsheet!$B$3:$BI$3,K$10,PnL_Speadsheet!$B11:$BI11)/1000</f>
        <v>0</v>
      </c>
      <c r="M20" s="462"/>
      <c r="O20" s="462"/>
      <c r="Q20" s="459"/>
    </row>
    <row r="21" spans="1:32" s="240" customFormat="1" ht="13" outlineLevel="1" x14ac:dyDescent="0.15">
      <c r="A21" s="437"/>
      <c r="C21" s="470" t="s">
        <v>302</v>
      </c>
      <c r="E21" s="467">
        <f t="shared" ca="1" si="4"/>
        <v>0</v>
      </c>
      <c r="F21" s="471">
        <f ca="1">SUMIF(PnL_Speadsheet!$B$3:$BI$3,F$10,PnL_Speadsheet!$B14:$BI14)/1000</f>
        <v>0</v>
      </c>
      <c r="G21" s="471">
        <f ca="1">SUMIF(PnL_Speadsheet!$B$3:$BI$3,G$10,PnL_Speadsheet!$B14:$BI14)/1000</f>
        <v>0</v>
      </c>
      <c r="H21" s="471">
        <f ca="1">SUMIF(PnL_Speadsheet!$B$3:$BI$3,H$10,PnL_Speadsheet!$B14:$BI14)/1000</f>
        <v>0</v>
      </c>
      <c r="I21" s="471">
        <f ca="1">SUMIF(PnL_Speadsheet!$B$3:$BI$3,I$10,PnL_Speadsheet!$B14:$BI14)/1000</f>
        <v>0</v>
      </c>
      <c r="J21" s="471">
        <f ca="1">SUMIF(PnL_Speadsheet!$B$3:$BI$3,J$10,PnL_Speadsheet!$B14:$BI14)/1000</f>
        <v>0</v>
      </c>
      <c r="K21" s="471">
        <f>SUMIF(PnL_Speadsheet!$B$3:$BI$3,K$10,PnL_Speadsheet!$B14:$BI14)/1000</f>
        <v>0</v>
      </c>
      <c r="M21" s="462"/>
      <c r="O21" s="462"/>
      <c r="Q21" s="459"/>
    </row>
    <row r="22" spans="1:32" s="240" customFormat="1" ht="13" outlineLevel="1" x14ac:dyDescent="0.15">
      <c r="A22" s="437"/>
      <c r="C22" s="470" t="s">
        <v>269</v>
      </c>
      <c r="E22" s="467">
        <f t="shared" ca="1" si="4"/>
        <v>0</v>
      </c>
      <c r="F22" s="471">
        <f ca="1">SUMIF(PnL_Speadsheet!$B$3:$BI$3,F$10,PnL_Speadsheet!$B17:$BI17)/1000</f>
        <v>0</v>
      </c>
      <c r="G22" s="471">
        <f ca="1">SUMIF(PnL_Speadsheet!$B$3:$BI$3,G$10,PnL_Speadsheet!$B17:$BI17)/1000</f>
        <v>0</v>
      </c>
      <c r="H22" s="471">
        <f ca="1">SUMIF(PnL_Speadsheet!$B$3:$BI$3,H$10,PnL_Speadsheet!$B17:$BI17)/1000</f>
        <v>0</v>
      </c>
      <c r="I22" s="471">
        <f ca="1">SUMIF(PnL_Speadsheet!$B$3:$BI$3,I$10,PnL_Speadsheet!$B17:$BI17)/1000</f>
        <v>0</v>
      </c>
      <c r="J22" s="471">
        <f ca="1">SUMIF(PnL_Speadsheet!$B$3:$BI$3,J$10,PnL_Speadsheet!$B17:$BI17)/1000</f>
        <v>0</v>
      </c>
      <c r="K22" s="471">
        <f>SUMIF(PnL_Speadsheet!$B$3:$BI$3,K$10,PnL_Speadsheet!$B17:$BI17)/1000</f>
        <v>0</v>
      </c>
      <c r="M22" s="462"/>
      <c r="O22" s="462"/>
      <c r="Q22" s="459"/>
    </row>
    <row r="23" spans="1:32" s="48" customFormat="1" ht="13" x14ac:dyDescent="0.15">
      <c r="A23" s="440"/>
      <c r="C23" s="48" t="s">
        <v>409</v>
      </c>
      <c r="E23" s="468">
        <f t="shared" ca="1" si="4"/>
        <v>0</v>
      </c>
      <c r="F23" s="464">
        <f ca="1">SUMIF(PnL_Speadsheet!$B$3:$BI$3,F$10,PnL_Speadsheet!$B30:$BI30)/1000</f>
        <v>0</v>
      </c>
      <c r="G23" s="464">
        <f ca="1">SUMIF(PnL_Speadsheet!$B$3:$BI$3,G$10,PnL_Speadsheet!$B30:$BI30)/1000</f>
        <v>0</v>
      </c>
      <c r="H23" s="464">
        <f ca="1">SUMIF(PnL_Speadsheet!$B$3:$BI$3,H$10,PnL_Speadsheet!$B30:$BI30)/1000</f>
        <v>0</v>
      </c>
      <c r="I23" s="464">
        <f ca="1">SUMIF(PnL_Speadsheet!$B$3:$BI$3,I$10,PnL_Speadsheet!$B30:$BI30)/1000</f>
        <v>0</v>
      </c>
      <c r="J23" s="464">
        <f ca="1">SUMIF(PnL_Speadsheet!$B$3:$BI$3,J$10,PnL_Speadsheet!$B30:$BI30)/1000</f>
        <v>0</v>
      </c>
      <c r="K23" s="464">
        <f>SUMIF(PnL_Speadsheet!$B$3:$BI$3,K$10,PnL_Speadsheet!$B30:$BI30)/1000</f>
        <v>0</v>
      </c>
      <c r="M23" s="458"/>
      <c r="O23" s="458"/>
      <c r="Q23" s="459"/>
    </row>
    <row r="24" spans="1:32" s="48" customFormat="1" ht="13" x14ac:dyDescent="0.15">
      <c r="A24" s="440"/>
      <c r="C24" s="48" t="s">
        <v>410</v>
      </c>
      <c r="E24" s="468">
        <f t="shared" ca="1" si="4"/>
        <v>0</v>
      </c>
      <c r="F24" s="464">
        <f ca="1">SUMIF(PnL_Speadsheet!$B$3:$BI$3,F$10,PnL_Speadsheet!$B18:$BI18)/1000</f>
        <v>0</v>
      </c>
      <c r="G24" s="464">
        <f ca="1">SUMIF(PnL_Speadsheet!$B$3:$BI$3,G$10,PnL_Speadsheet!$B18:$BI18)/1000</f>
        <v>0</v>
      </c>
      <c r="H24" s="464">
        <f ca="1">SUMIF(PnL_Speadsheet!$B$3:$BI$3,H$10,PnL_Speadsheet!$B18:$BI18)/1000</f>
        <v>0</v>
      </c>
      <c r="I24" s="464">
        <f ca="1">SUMIF(PnL_Speadsheet!$B$3:$BI$3,I$10,PnL_Speadsheet!$B18:$BI18)/1000</f>
        <v>0</v>
      </c>
      <c r="J24" s="464">
        <f ca="1">SUMIF(PnL_Speadsheet!$B$3:$BI$3,J$10,PnL_Speadsheet!$B18:$BI18)/1000</f>
        <v>0</v>
      </c>
      <c r="K24" s="464">
        <f>SUMIF(PnL_Speadsheet!$B$3:$BI$3,K$10,PnL_Speadsheet!$B18:$BI18)/1000</f>
        <v>0</v>
      </c>
      <c r="M24" s="458"/>
      <c r="O24" s="458"/>
      <c r="Q24" s="459"/>
    </row>
    <row r="25" spans="1:32" s="240" customFormat="1" ht="13" outlineLevel="1" x14ac:dyDescent="0.15">
      <c r="A25" s="437"/>
      <c r="C25" s="470" t="s">
        <v>578</v>
      </c>
      <c r="E25" s="467">
        <f t="shared" ca="1" si="4"/>
        <v>0</v>
      </c>
      <c r="F25" s="471">
        <f ca="1">SUMIF(PnL_Speadsheet!$B$3:$BI$3,F$10,PnL_Speadsheet!$B20:$BI21)/1000</f>
        <v>0</v>
      </c>
      <c r="G25" s="471">
        <f ca="1">SUMIF(PnL_Speadsheet!$B$3:$BI$3,G$10,PnL_Speadsheet!$B20:$BI21)/1000</f>
        <v>0</v>
      </c>
      <c r="H25" s="471">
        <f ca="1">SUMIF(PnL_Speadsheet!$B$3:$BI$3,H$10,PnL_Speadsheet!$B20:$BI21)/1000</f>
        <v>0</v>
      </c>
      <c r="I25" s="471">
        <f ca="1">SUMIF(PnL_Speadsheet!$B$3:$BI$3,I$10,PnL_Speadsheet!$B20:$BI21)/1000</f>
        <v>0</v>
      </c>
      <c r="J25" s="471">
        <f ca="1">SUMIF(PnL_Speadsheet!$B$3:$BI$3,J$10,PnL_Speadsheet!$B20:$BI21)/1000</f>
        <v>0</v>
      </c>
      <c r="K25" s="471">
        <f>SUMIF(PnL_Speadsheet!$B$3:$BI$3,K$10,PnL_Speadsheet!$B20:$BI21)/1000</f>
        <v>0</v>
      </c>
      <c r="M25" s="462"/>
      <c r="O25" s="462"/>
      <c r="Q25" s="459"/>
    </row>
    <row r="26" spans="1:32" s="240" customFormat="1" ht="13" outlineLevel="1" x14ac:dyDescent="0.15">
      <c r="A26" s="437"/>
      <c r="C26" s="470" t="s">
        <v>432</v>
      </c>
      <c r="E26" s="467">
        <f t="shared" ca="1" si="4"/>
        <v>0</v>
      </c>
      <c r="F26" s="471">
        <f ca="1">SUMIF(PnL_Speadsheet!$B$3:$BI$3,F$10,PnL_Speadsheet!$B21:$BI21)/1000</f>
        <v>0</v>
      </c>
      <c r="G26" s="471">
        <f ca="1">SUMIF(PnL_Speadsheet!$B$3:$BI$3,G$10,PnL_Speadsheet!$B21:$BI21)/1000</f>
        <v>0</v>
      </c>
      <c r="H26" s="471">
        <f ca="1">SUMIF(PnL_Speadsheet!$B$3:$BI$3,H$10,PnL_Speadsheet!$B21:$BI21)/1000</f>
        <v>0</v>
      </c>
      <c r="I26" s="471">
        <f ca="1">SUMIF(PnL_Speadsheet!$B$3:$BI$3,I$10,PnL_Speadsheet!$B21:$BI21)/1000</f>
        <v>0</v>
      </c>
      <c r="J26" s="471">
        <f ca="1">SUMIF(PnL_Speadsheet!$B$3:$BI$3,J$10,PnL_Speadsheet!$B21:$BI21)/1000</f>
        <v>0</v>
      </c>
      <c r="K26" s="471">
        <f>SUMIF(PnL_Speadsheet!$B$3:$BI$3,K$10,PnL_Speadsheet!$B21:$BI21)/1000</f>
        <v>0</v>
      </c>
      <c r="M26" s="462"/>
      <c r="O26" s="462"/>
      <c r="Q26" s="459"/>
    </row>
    <row r="27" spans="1:32" s="240" customFormat="1" ht="13" outlineLevel="1" x14ac:dyDescent="0.15">
      <c r="A27" s="437"/>
      <c r="C27" s="470" t="s">
        <v>413</v>
      </c>
      <c r="E27" s="467">
        <f t="shared" ca="1" si="4"/>
        <v>0</v>
      </c>
      <c r="F27" s="471">
        <f ca="1">SUMIF(PnL_Speadsheet!$B$3:$BI$3,F$10,PnL_Speadsheet!$B23:$BI23)/1000</f>
        <v>0</v>
      </c>
      <c r="G27" s="471">
        <f ca="1">SUMIF(PnL_Speadsheet!$B$3:$BI$3,G$10,PnL_Speadsheet!$B23:$BI23)/1000</f>
        <v>0</v>
      </c>
      <c r="H27" s="471">
        <f ca="1">SUMIF(PnL_Speadsheet!$B$3:$BI$3,H$10,PnL_Speadsheet!$B23:$BI23)/1000</f>
        <v>0</v>
      </c>
      <c r="I27" s="471">
        <f ca="1">SUMIF(PnL_Speadsheet!$B$3:$BI$3,I$10,PnL_Speadsheet!$B23:$BI23)/1000</f>
        <v>0</v>
      </c>
      <c r="J27" s="471">
        <f ca="1">SUMIF(PnL_Speadsheet!$B$3:$BI$3,J$10,PnL_Speadsheet!$B23:$BI23)/1000</f>
        <v>0</v>
      </c>
      <c r="K27" s="471">
        <f>SUMIF(PnL_Speadsheet!$B$3:$BI$3,K$10,PnL_Speadsheet!$B23:$BI23)/1000</f>
        <v>0</v>
      </c>
      <c r="M27" s="462"/>
      <c r="O27" s="462"/>
      <c r="Q27" s="459"/>
    </row>
    <row r="28" spans="1:32" s="240" customFormat="1" ht="13" outlineLevel="1" x14ac:dyDescent="0.15">
      <c r="A28" s="437"/>
      <c r="C28" s="470" t="s">
        <v>131</v>
      </c>
      <c r="E28" s="467">
        <f t="shared" ca="1" si="4"/>
        <v>0</v>
      </c>
      <c r="F28" s="471">
        <f ca="1">SUMIF(PnL_Speadsheet!$B$3:$BI$3,F$10,PnL_Speadsheet!$B27:$BI27)/1000</f>
        <v>0</v>
      </c>
      <c r="G28" s="471">
        <f ca="1">SUMIF(PnL_Speadsheet!$B$3:$BI$3,G$10,PnL_Speadsheet!$B27:$BI27)/1000</f>
        <v>0</v>
      </c>
      <c r="H28" s="471">
        <f ca="1">SUMIF(PnL_Speadsheet!$B$3:$BI$3,H$10,PnL_Speadsheet!$B27:$BI27)/1000</f>
        <v>0</v>
      </c>
      <c r="I28" s="471">
        <f ca="1">SUMIF(PnL_Speadsheet!$B$3:$BI$3,I$10,PnL_Speadsheet!$B27:$BI27)/1000</f>
        <v>0</v>
      </c>
      <c r="J28" s="471">
        <f ca="1">SUMIF(PnL_Speadsheet!$B$3:$BI$3,J$10,PnL_Speadsheet!$B27:$BI27)/1000</f>
        <v>0</v>
      </c>
      <c r="K28" s="471">
        <f>SUMIF(PnL_Speadsheet!$B$3:$BI$3,K$10,PnL_Speadsheet!$B27:$BI27)/1000</f>
        <v>0</v>
      </c>
      <c r="M28" s="462"/>
      <c r="O28" s="462"/>
      <c r="Q28" s="459"/>
    </row>
    <row r="29" spans="1:32" s="240" customFormat="1" ht="13" outlineLevel="1" x14ac:dyDescent="0.15">
      <c r="A29" s="437"/>
      <c r="C29" s="470" t="s">
        <v>579</v>
      </c>
      <c r="E29" s="467">
        <f t="shared" ca="1" si="4"/>
        <v>0</v>
      </c>
      <c r="F29" s="471">
        <f ca="1">SUMIF(PnL_Speadsheet!$B$3:$BI$3,F$10,PnL_Speadsheet!$B28:$BI28)/1000</f>
        <v>0</v>
      </c>
      <c r="G29" s="471">
        <f ca="1">SUMIF(PnL_Speadsheet!$B$3:$BI$3,G$10,PnL_Speadsheet!$B28:$BI28)/1000</f>
        <v>0</v>
      </c>
      <c r="H29" s="471">
        <f ca="1">SUMIF(PnL_Speadsheet!$B$3:$BI$3,H$10,PnL_Speadsheet!$B28:$BI28)/1000</f>
        <v>0</v>
      </c>
      <c r="I29" s="471">
        <f ca="1">SUMIF(PnL_Speadsheet!$B$3:$BI$3,I$10,PnL_Speadsheet!$B28:$BI28)/1000</f>
        <v>0</v>
      </c>
      <c r="J29" s="471">
        <f ca="1">SUMIF(PnL_Speadsheet!$B$3:$BI$3,J$10,PnL_Speadsheet!$B28:$BI28)/1000</f>
        <v>0</v>
      </c>
      <c r="K29" s="471">
        <f>SUMIF(PnL_Speadsheet!$B$3:$BI$3,K$10,PnL_Speadsheet!$B28:$BI28)/1000</f>
        <v>0</v>
      </c>
      <c r="M29" s="462"/>
      <c r="O29" s="462"/>
      <c r="Q29" s="459"/>
    </row>
    <row r="30" spans="1:32" s="240" customFormat="1" ht="13" outlineLevel="1" x14ac:dyDescent="0.15">
      <c r="A30" s="437"/>
      <c r="C30" s="470" t="s">
        <v>442</v>
      </c>
      <c r="E30" s="467">
        <f t="shared" ca="1" si="4"/>
        <v>0</v>
      </c>
      <c r="F30" s="471">
        <f ca="1">SUMIF(PnL_Speadsheet!$B$3:$BI$3,F$10,PnL_Speadsheet!$B29:$BI29)/1000</f>
        <v>0</v>
      </c>
      <c r="G30" s="471">
        <f ca="1">SUMIF(PnL_Speadsheet!$B$3:$BI$3,G$10,PnL_Speadsheet!$B29:$BI29)/1000</f>
        <v>0</v>
      </c>
      <c r="H30" s="471">
        <f ca="1">SUMIF(PnL_Speadsheet!$B$3:$BI$3,H$10,PnL_Speadsheet!$B29:$BI29)/1000</f>
        <v>0</v>
      </c>
      <c r="I30" s="471">
        <f ca="1">SUMIF(PnL_Speadsheet!$B$3:$BI$3,I$10,PnL_Speadsheet!$B29:$BI29)/1000</f>
        <v>0</v>
      </c>
      <c r="J30" s="471">
        <f ca="1">SUMIF(PnL_Speadsheet!$B$3:$BI$3,J$10,PnL_Speadsheet!$B29:$BI29)/1000</f>
        <v>0</v>
      </c>
      <c r="K30" s="471">
        <f>SUMIF(PnL_Speadsheet!$B$3:$BI$3,K$10,PnL_Speadsheet!$B29:$BI29)/1000</f>
        <v>0</v>
      </c>
      <c r="M30" s="462"/>
      <c r="O30" s="462"/>
      <c r="Q30" s="459"/>
    </row>
    <row r="31" spans="1:32" s="48" customFormat="1" ht="13" x14ac:dyDescent="0.15">
      <c r="A31" s="440"/>
      <c r="C31" s="48" t="s">
        <v>417</v>
      </c>
      <c r="E31" s="465">
        <f t="shared" ca="1" si="4"/>
        <v>0</v>
      </c>
      <c r="F31" s="465">
        <f ca="1">SUMIF(PnL_Speadsheet!$B$3:$BI$3,F$10,PnL_Speadsheet!$B31:$BI31)/1000</f>
        <v>0</v>
      </c>
      <c r="G31" s="465">
        <f ca="1">SUMIF(PnL_Speadsheet!$B$3:$BI$3,G$10,PnL_Speadsheet!$B31:$BI31)/1000</f>
        <v>0</v>
      </c>
      <c r="H31" s="465">
        <f ca="1">SUMIF(PnL_Speadsheet!$B$3:$BI$3,H$10,PnL_Speadsheet!$B31:$BI31)/1000</f>
        <v>0</v>
      </c>
      <c r="I31" s="465">
        <f ca="1">SUMIF(PnL_Speadsheet!$B$3:$BI$3,I$10,PnL_Speadsheet!$B31:$BI31)/1000</f>
        <v>0</v>
      </c>
      <c r="J31" s="465">
        <f ca="1">SUMIF(PnL_Speadsheet!$B$3:$BI$3,J$10,PnL_Speadsheet!$B31:$BI31)/1000</f>
        <v>0</v>
      </c>
      <c r="K31" s="465">
        <f>SUMIF(PnL_Speadsheet!$B$3:$BI$3,K$10,PnL_Speadsheet!$B31:$BI31)/1000</f>
        <v>0</v>
      </c>
      <c r="M31" s="458"/>
      <c r="O31" s="458"/>
      <c r="Q31" s="459"/>
    </row>
    <row r="32" spans="1:32" s="240" customFormat="1" ht="13" x14ac:dyDescent="0.15">
      <c r="A32" s="437"/>
      <c r="C32" s="240" t="s">
        <v>580</v>
      </c>
      <c r="E32" s="472">
        <f t="shared" ref="E32:K32" ca="1" si="5">E19+E23+SUM(E25:E29)</f>
        <v>0</v>
      </c>
      <c r="F32" s="472">
        <f t="shared" ca="1" si="5"/>
        <v>0</v>
      </c>
      <c r="G32" s="472">
        <f t="shared" ca="1" si="5"/>
        <v>0</v>
      </c>
      <c r="H32" s="472">
        <f t="shared" ca="1" si="5"/>
        <v>0</v>
      </c>
      <c r="I32" s="472">
        <f t="shared" ca="1" si="5"/>
        <v>0</v>
      </c>
      <c r="J32" s="472">
        <f t="shared" ca="1" si="5"/>
        <v>0</v>
      </c>
      <c r="K32" s="472">
        <f t="shared" si="5"/>
        <v>0</v>
      </c>
      <c r="M32" s="462"/>
      <c r="O32" s="462"/>
      <c r="Q32" s="459"/>
    </row>
    <row r="33" spans="3:17" x14ac:dyDescent="0.15">
      <c r="C33" s="473"/>
      <c r="D33" s="474"/>
      <c r="F33" s="474"/>
      <c r="H33" s="474"/>
      <c r="J33" s="474"/>
      <c r="L33" s="474"/>
      <c r="N33" s="474"/>
      <c r="P33" s="474"/>
      <c r="Q33" s="475"/>
    </row>
    <row r="34" spans="3:17" x14ac:dyDescent="0.15">
      <c r="D34" s="474"/>
    </row>
  </sheetData>
  <pageMargins left="0.7" right="0.7" top="0.75" bottom="0.75" header="0.3" footer="0.3"/>
  <pageSetup orientation="landscape"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DDD63-C9BF-F544-95F0-6EC3E47F4A0E}">
  <sheetPr>
    <tabColor theme="4" tint="0.59999389629810485"/>
  </sheetPr>
  <dimension ref="A1:BJ135"/>
  <sheetViews>
    <sheetView showGridLines="0" zoomScale="101" zoomScaleNormal="70" workbookViewId="0">
      <pane xSplit="1" ySplit="6" topLeftCell="AK7" activePane="bottomRight" state="frozen"/>
      <selection activeCell="G124" sqref="G124"/>
      <selection pane="topRight" activeCell="G124" sqref="G124"/>
      <selection pane="bottomLeft" activeCell="G124" sqref="G124"/>
      <selection pane="bottomRight" activeCell="G124" sqref="G124"/>
    </sheetView>
  </sheetViews>
  <sheetFormatPr baseColWidth="10" defaultColWidth="9" defaultRowHeight="11" outlineLevelRow="1" x14ac:dyDescent="0.15"/>
  <cols>
    <col min="1" max="1" width="19.33203125" style="476" bestFit="1" customWidth="1"/>
    <col min="2" max="2" width="7.6640625" style="477" bestFit="1" customWidth="1"/>
    <col min="3" max="10" width="8.83203125" style="477" bestFit="1" customWidth="1"/>
    <col min="11" max="11" width="9.83203125" style="477" bestFit="1" customWidth="1"/>
    <col min="12" max="23" width="8.83203125" style="477" bestFit="1" customWidth="1"/>
    <col min="24" max="26" width="11.5" style="477" customWidth="1"/>
    <col min="27" max="30" width="8.83203125" style="477" bestFit="1" customWidth="1"/>
    <col min="31" max="36" width="8.33203125" style="477" bestFit="1" customWidth="1"/>
    <col min="37" max="37" width="8.33203125" style="477" customWidth="1"/>
    <col min="38" max="16384" width="9" style="477"/>
  </cols>
  <sheetData>
    <row r="1" spans="1:61" x14ac:dyDescent="0.15">
      <c r="A1" s="476" t="s">
        <v>581</v>
      </c>
      <c r="K1" s="478"/>
    </row>
    <row r="2" spans="1:61" x14ac:dyDescent="0.15">
      <c r="A2" s="476" t="s">
        <v>582</v>
      </c>
    </row>
    <row r="3" spans="1:61" x14ac:dyDescent="0.15">
      <c r="B3" s="479">
        <f t="shared" ref="B3:BI3" si="0">YEAR(B4)</f>
        <v>2025</v>
      </c>
      <c r="C3" s="479">
        <f t="shared" si="0"/>
        <v>2025</v>
      </c>
      <c r="D3" s="479">
        <f t="shared" si="0"/>
        <v>2025</v>
      </c>
      <c r="E3" s="479">
        <f t="shared" si="0"/>
        <v>2025</v>
      </c>
      <c r="F3" s="479">
        <f t="shared" si="0"/>
        <v>2025</v>
      </c>
      <c r="G3" s="479">
        <f t="shared" si="0"/>
        <v>2025</v>
      </c>
      <c r="H3" s="479">
        <f t="shared" si="0"/>
        <v>2025</v>
      </c>
      <c r="I3" s="479">
        <f t="shared" si="0"/>
        <v>2025</v>
      </c>
      <c r="J3" s="479">
        <f t="shared" si="0"/>
        <v>2025</v>
      </c>
      <c r="K3" s="479">
        <f t="shared" si="0"/>
        <v>2025</v>
      </c>
      <c r="L3" s="479">
        <f t="shared" si="0"/>
        <v>2025</v>
      </c>
      <c r="M3" s="479">
        <f t="shared" si="0"/>
        <v>2025</v>
      </c>
      <c r="N3" s="479">
        <f t="shared" si="0"/>
        <v>2026</v>
      </c>
      <c r="O3" s="479">
        <f t="shared" si="0"/>
        <v>2026</v>
      </c>
      <c r="P3" s="479">
        <f t="shared" si="0"/>
        <v>2026</v>
      </c>
      <c r="Q3" s="479">
        <f t="shared" si="0"/>
        <v>2026</v>
      </c>
      <c r="R3" s="479">
        <f t="shared" si="0"/>
        <v>2026</v>
      </c>
      <c r="S3" s="479">
        <f t="shared" si="0"/>
        <v>2026</v>
      </c>
      <c r="T3" s="479">
        <f t="shared" si="0"/>
        <v>2026</v>
      </c>
      <c r="U3" s="479">
        <f t="shared" si="0"/>
        <v>2026</v>
      </c>
      <c r="V3" s="479">
        <f t="shared" si="0"/>
        <v>2026</v>
      </c>
      <c r="W3" s="479">
        <f t="shared" si="0"/>
        <v>2026</v>
      </c>
      <c r="X3" s="479">
        <f t="shared" si="0"/>
        <v>2026</v>
      </c>
      <c r="Y3" s="479">
        <f t="shared" si="0"/>
        <v>2026</v>
      </c>
      <c r="Z3" s="479">
        <f t="shared" si="0"/>
        <v>2027</v>
      </c>
      <c r="AA3" s="479">
        <f t="shared" si="0"/>
        <v>2027</v>
      </c>
      <c r="AB3" s="479">
        <f t="shared" si="0"/>
        <v>2027</v>
      </c>
      <c r="AC3" s="479">
        <f t="shared" si="0"/>
        <v>2027</v>
      </c>
      <c r="AD3" s="479">
        <f t="shared" si="0"/>
        <v>2027</v>
      </c>
      <c r="AE3" s="479">
        <f t="shared" si="0"/>
        <v>2027</v>
      </c>
      <c r="AF3" s="479">
        <f t="shared" si="0"/>
        <v>2027</v>
      </c>
      <c r="AG3" s="479">
        <f t="shared" si="0"/>
        <v>2027</v>
      </c>
      <c r="AH3" s="479">
        <f t="shared" si="0"/>
        <v>2027</v>
      </c>
      <c r="AI3" s="479">
        <f t="shared" si="0"/>
        <v>2027</v>
      </c>
      <c r="AJ3" s="479">
        <f t="shared" si="0"/>
        <v>2027</v>
      </c>
      <c r="AK3" s="479">
        <f t="shared" si="0"/>
        <v>2027</v>
      </c>
      <c r="AL3" s="479">
        <f t="shared" si="0"/>
        <v>2028</v>
      </c>
      <c r="AM3" s="479">
        <f t="shared" si="0"/>
        <v>2028</v>
      </c>
      <c r="AN3" s="479">
        <f t="shared" si="0"/>
        <v>2028</v>
      </c>
      <c r="AO3" s="479">
        <f t="shared" si="0"/>
        <v>2028</v>
      </c>
      <c r="AP3" s="479">
        <f t="shared" si="0"/>
        <v>2028</v>
      </c>
      <c r="AQ3" s="479">
        <f t="shared" si="0"/>
        <v>2028</v>
      </c>
      <c r="AR3" s="479">
        <f t="shared" si="0"/>
        <v>2028</v>
      </c>
      <c r="AS3" s="479">
        <f t="shared" si="0"/>
        <v>2028</v>
      </c>
      <c r="AT3" s="479">
        <f t="shared" si="0"/>
        <v>2028</v>
      </c>
      <c r="AU3" s="479">
        <f t="shared" si="0"/>
        <v>2028</v>
      </c>
      <c r="AV3" s="479">
        <f t="shared" si="0"/>
        <v>2028</v>
      </c>
      <c r="AW3" s="479">
        <f t="shared" si="0"/>
        <v>2028</v>
      </c>
      <c r="AX3" s="479">
        <f t="shared" si="0"/>
        <v>2029</v>
      </c>
      <c r="AY3" s="479">
        <f t="shared" si="0"/>
        <v>2029</v>
      </c>
      <c r="AZ3" s="479">
        <f t="shared" si="0"/>
        <v>2029</v>
      </c>
      <c r="BA3" s="479">
        <f t="shared" si="0"/>
        <v>2029</v>
      </c>
      <c r="BB3" s="479">
        <f t="shared" si="0"/>
        <v>2029</v>
      </c>
      <c r="BC3" s="479">
        <f t="shared" si="0"/>
        <v>2029</v>
      </c>
      <c r="BD3" s="479">
        <f t="shared" si="0"/>
        <v>2029</v>
      </c>
      <c r="BE3" s="479">
        <f t="shared" si="0"/>
        <v>2029</v>
      </c>
      <c r="BF3" s="479">
        <f t="shared" si="0"/>
        <v>2029</v>
      </c>
      <c r="BG3" s="479">
        <f t="shared" si="0"/>
        <v>2029</v>
      </c>
      <c r="BH3" s="479">
        <f t="shared" si="0"/>
        <v>2029</v>
      </c>
      <c r="BI3" s="479">
        <f t="shared" si="0"/>
        <v>2029</v>
      </c>
    </row>
    <row r="4" spans="1:61" x14ac:dyDescent="0.15">
      <c r="A4" s="480" t="s">
        <v>566</v>
      </c>
      <c r="B4" s="481">
        <f>'Saleplan&amp;PnL'!D4</f>
        <v>45658</v>
      </c>
      <c r="C4" s="481">
        <f>'Saleplan&amp;PnL'!E4</f>
        <v>45716</v>
      </c>
      <c r="D4" s="481">
        <f>'Saleplan&amp;PnL'!F4</f>
        <v>45747</v>
      </c>
      <c r="E4" s="481">
        <f>'Saleplan&amp;PnL'!G4</f>
        <v>45777</v>
      </c>
      <c r="F4" s="481">
        <f>'Saleplan&amp;PnL'!H4</f>
        <v>45808</v>
      </c>
      <c r="G4" s="481">
        <f>'Saleplan&amp;PnL'!I4</f>
        <v>45838</v>
      </c>
      <c r="H4" s="481">
        <f>'Saleplan&amp;PnL'!J4</f>
        <v>45869</v>
      </c>
      <c r="I4" s="481">
        <f>'Saleplan&amp;PnL'!K4</f>
        <v>45900</v>
      </c>
      <c r="J4" s="481">
        <f>'Saleplan&amp;PnL'!L4</f>
        <v>45930</v>
      </c>
      <c r="K4" s="481">
        <f>'Saleplan&amp;PnL'!M4</f>
        <v>45961</v>
      </c>
      <c r="L4" s="481">
        <f>'Saleplan&amp;PnL'!N4</f>
        <v>45991</v>
      </c>
      <c r="M4" s="481">
        <f>'Saleplan&amp;PnL'!O4</f>
        <v>46022</v>
      </c>
      <c r="N4" s="481">
        <f>'Saleplan&amp;PnL'!P4</f>
        <v>46053</v>
      </c>
      <c r="O4" s="481">
        <f>'Saleplan&amp;PnL'!Q4</f>
        <v>46081</v>
      </c>
      <c r="P4" s="481">
        <f>'Saleplan&amp;PnL'!R4</f>
        <v>46112</v>
      </c>
      <c r="Q4" s="481">
        <f>'Saleplan&amp;PnL'!S4</f>
        <v>46142</v>
      </c>
      <c r="R4" s="481">
        <f>'Saleplan&amp;PnL'!T4</f>
        <v>46173</v>
      </c>
      <c r="S4" s="481">
        <f>'Saleplan&amp;PnL'!U4</f>
        <v>46203</v>
      </c>
      <c r="T4" s="481">
        <f>'Saleplan&amp;PnL'!V4</f>
        <v>46234</v>
      </c>
      <c r="U4" s="481">
        <f>'Saleplan&amp;PnL'!W4</f>
        <v>46265</v>
      </c>
      <c r="V4" s="481">
        <f>'Saleplan&amp;PnL'!X4</f>
        <v>46295</v>
      </c>
      <c r="W4" s="481">
        <f>'Saleplan&amp;PnL'!Y4</f>
        <v>46326</v>
      </c>
      <c r="X4" s="481">
        <f>'Saleplan&amp;PnL'!Z4</f>
        <v>46356</v>
      </c>
      <c r="Y4" s="481">
        <f>'Saleplan&amp;PnL'!AA4</f>
        <v>46387</v>
      </c>
      <c r="Z4" s="481">
        <f>'Saleplan&amp;PnL'!AB4</f>
        <v>46418</v>
      </c>
      <c r="AA4" s="481">
        <f>'Saleplan&amp;PnL'!AC4</f>
        <v>46446</v>
      </c>
      <c r="AB4" s="481">
        <f>'Saleplan&amp;PnL'!AD4</f>
        <v>46477</v>
      </c>
      <c r="AC4" s="481">
        <f>'Saleplan&amp;PnL'!AE4</f>
        <v>46507</v>
      </c>
      <c r="AD4" s="481">
        <f>'Saleplan&amp;PnL'!AF4</f>
        <v>46538</v>
      </c>
      <c r="AE4" s="481">
        <f>'Saleplan&amp;PnL'!AG4</f>
        <v>46568</v>
      </c>
      <c r="AF4" s="481">
        <f>'Saleplan&amp;PnL'!AH4</f>
        <v>46599</v>
      </c>
      <c r="AG4" s="481">
        <f>'Saleplan&amp;PnL'!AI4</f>
        <v>46630</v>
      </c>
      <c r="AH4" s="481">
        <f>'Saleplan&amp;PnL'!AJ4</f>
        <v>46660</v>
      </c>
      <c r="AI4" s="481">
        <f>'Saleplan&amp;PnL'!AK4</f>
        <v>46691</v>
      </c>
      <c r="AJ4" s="481">
        <f>'Saleplan&amp;PnL'!AL4</f>
        <v>46721</v>
      </c>
      <c r="AK4" s="481">
        <f>'Saleplan&amp;PnL'!AM4</f>
        <v>46752</v>
      </c>
      <c r="AL4" s="481">
        <f>'Saleplan&amp;PnL'!AN4</f>
        <v>46783</v>
      </c>
      <c r="AM4" s="481">
        <f>'Saleplan&amp;PnL'!AO4</f>
        <v>46812</v>
      </c>
      <c r="AN4" s="481">
        <f>'Saleplan&amp;PnL'!AP4</f>
        <v>46843</v>
      </c>
      <c r="AO4" s="481">
        <f>'Saleplan&amp;PnL'!AQ4</f>
        <v>46873</v>
      </c>
      <c r="AP4" s="481">
        <f>'Saleplan&amp;PnL'!AR4</f>
        <v>46904</v>
      </c>
      <c r="AQ4" s="481">
        <f>'Saleplan&amp;PnL'!AS4</f>
        <v>46934</v>
      </c>
      <c r="AR4" s="481">
        <f>'Saleplan&amp;PnL'!AT4</f>
        <v>46965</v>
      </c>
      <c r="AS4" s="481">
        <f>'Saleplan&amp;PnL'!AU4</f>
        <v>46996</v>
      </c>
      <c r="AT4" s="481">
        <f>'Saleplan&amp;PnL'!AV4</f>
        <v>47026</v>
      </c>
      <c r="AU4" s="481">
        <f>'Saleplan&amp;PnL'!AW4</f>
        <v>47057</v>
      </c>
      <c r="AV4" s="481">
        <f>'Saleplan&amp;PnL'!AX4</f>
        <v>47087</v>
      </c>
      <c r="AW4" s="481">
        <f>'Saleplan&amp;PnL'!AY4</f>
        <v>47118</v>
      </c>
      <c r="AX4" s="481">
        <f>'Saleplan&amp;PnL'!AZ4</f>
        <v>47149</v>
      </c>
      <c r="AY4" s="481">
        <f>'Saleplan&amp;PnL'!BA4</f>
        <v>47177</v>
      </c>
      <c r="AZ4" s="481">
        <f>'Saleplan&amp;PnL'!BB4</f>
        <v>47208</v>
      </c>
      <c r="BA4" s="481">
        <f>'Saleplan&amp;PnL'!BC4</f>
        <v>47238</v>
      </c>
      <c r="BB4" s="481">
        <f>'Saleplan&amp;PnL'!BD4</f>
        <v>47269</v>
      </c>
      <c r="BC4" s="481">
        <f>'Saleplan&amp;PnL'!BE4</f>
        <v>47299</v>
      </c>
      <c r="BD4" s="481">
        <f>'Saleplan&amp;PnL'!BF4</f>
        <v>47330</v>
      </c>
      <c r="BE4" s="481">
        <f>'Saleplan&amp;PnL'!BG4</f>
        <v>47361</v>
      </c>
      <c r="BF4" s="481">
        <f>'Saleplan&amp;PnL'!BH4</f>
        <v>47391</v>
      </c>
      <c r="BG4" s="481">
        <f>'Saleplan&amp;PnL'!BI4</f>
        <v>47422</v>
      </c>
      <c r="BH4" s="481">
        <f>'Saleplan&amp;PnL'!BJ4</f>
        <v>47452</v>
      </c>
      <c r="BI4" s="481">
        <f>'Saleplan&amp;PnL'!BK4</f>
        <v>47483</v>
      </c>
    </row>
    <row r="5" spans="1:61" s="476" customFormat="1" outlineLevel="1" x14ac:dyDescent="0.15">
      <c r="A5" s="482" t="s">
        <v>583</v>
      </c>
      <c r="B5" s="482">
        <v>1</v>
      </c>
      <c r="C5" s="482">
        <v>2</v>
      </c>
      <c r="D5" s="482">
        <v>3</v>
      </c>
      <c r="E5" s="482">
        <v>4</v>
      </c>
      <c r="F5" s="482">
        <v>5</v>
      </c>
      <c r="G5" s="482">
        <v>6</v>
      </c>
      <c r="H5" s="482">
        <v>7</v>
      </c>
      <c r="I5" s="482">
        <v>8</v>
      </c>
      <c r="J5" s="482">
        <v>9</v>
      </c>
      <c r="K5" s="482">
        <v>10</v>
      </c>
      <c r="L5" s="482">
        <v>11</v>
      </c>
      <c r="M5" s="482">
        <v>12</v>
      </c>
      <c r="N5" s="482">
        <v>13</v>
      </c>
      <c r="O5" s="482">
        <v>14</v>
      </c>
      <c r="P5" s="482">
        <v>15</v>
      </c>
      <c r="Q5" s="482">
        <v>16</v>
      </c>
      <c r="R5" s="482">
        <v>17</v>
      </c>
      <c r="S5" s="482">
        <v>18</v>
      </c>
      <c r="T5" s="482">
        <v>19</v>
      </c>
      <c r="U5" s="482">
        <v>20</v>
      </c>
      <c r="V5" s="482">
        <v>21</v>
      </c>
      <c r="W5" s="482">
        <v>22</v>
      </c>
      <c r="X5" s="482">
        <v>23</v>
      </c>
      <c r="Y5" s="482">
        <v>24</v>
      </c>
      <c r="Z5" s="482">
        <v>25</v>
      </c>
      <c r="AA5" s="482">
        <v>26</v>
      </c>
      <c r="AB5" s="482">
        <v>27</v>
      </c>
      <c r="AC5" s="482">
        <v>28</v>
      </c>
      <c r="AD5" s="482">
        <v>29</v>
      </c>
      <c r="AE5" s="482">
        <v>30</v>
      </c>
      <c r="AF5" s="482">
        <v>31</v>
      </c>
      <c r="AG5" s="482">
        <v>32</v>
      </c>
      <c r="AH5" s="482">
        <v>33</v>
      </c>
      <c r="AI5" s="482">
        <v>34</v>
      </c>
      <c r="AJ5" s="482">
        <v>35</v>
      </c>
      <c r="AK5" s="482">
        <v>36</v>
      </c>
      <c r="AL5" s="482">
        <f t="shared" ref="AL5:BI5" si="1">AK5+1</f>
        <v>37</v>
      </c>
      <c r="AM5" s="482">
        <f t="shared" si="1"/>
        <v>38</v>
      </c>
      <c r="AN5" s="482">
        <f t="shared" si="1"/>
        <v>39</v>
      </c>
      <c r="AO5" s="482">
        <f t="shared" si="1"/>
        <v>40</v>
      </c>
      <c r="AP5" s="482">
        <f t="shared" si="1"/>
        <v>41</v>
      </c>
      <c r="AQ5" s="482">
        <f t="shared" si="1"/>
        <v>42</v>
      </c>
      <c r="AR5" s="482">
        <f t="shared" si="1"/>
        <v>43</v>
      </c>
      <c r="AS5" s="482">
        <f t="shared" si="1"/>
        <v>44</v>
      </c>
      <c r="AT5" s="482">
        <f t="shared" si="1"/>
        <v>45</v>
      </c>
      <c r="AU5" s="482">
        <f t="shared" si="1"/>
        <v>46</v>
      </c>
      <c r="AV5" s="482">
        <f t="shared" si="1"/>
        <v>47</v>
      </c>
      <c r="AW5" s="482">
        <f t="shared" si="1"/>
        <v>48</v>
      </c>
      <c r="AX5" s="482">
        <f t="shared" si="1"/>
        <v>49</v>
      </c>
      <c r="AY5" s="482">
        <f t="shared" si="1"/>
        <v>50</v>
      </c>
      <c r="AZ5" s="482">
        <f t="shared" si="1"/>
        <v>51</v>
      </c>
      <c r="BA5" s="482">
        <f t="shared" si="1"/>
        <v>52</v>
      </c>
      <c r="BB5" s="482">
        <f t="shared" si="1"/>
        <v>53</v>
      </c>
      <c r="BC5" s="482">
        <f t="shared" si="1"/>
        <v>54</v>
      </c>
      <c r="BD5" s="482">
        <f t="shared" si="1"/>
        <v>55</v>
      </c>
      <c r="BE5" s="482">
        <f t="shared" si="1"/>
        <v>56</v>
      </c>
      <c r="BF5" s="482">
        <f t="shared" si="1"/>
        <v>57</v>
      </c>
      <c r="BG5" s="482">
        <f t="shared" si="1"/>
        <v>58</v>
      </c>
      <c r="BH5" s="482">
        <f t="shared" si="1"/>
        <v>59</v>
      </c>
      <c r="BI5" s="482">
        <f t="shared" si="1"/>
        <v>60</v>
      </c>
    </row>
    <row r="6" spans="1:61" x14ac:dyDescent="0.15">
      <c r="A6" s="477" t="s">
        <v>584</v>
      </c>
      <c r="K6" s="478"/>
    </row>
    <row r="7" spans="1:61" s="476" customFormat="1" x14ac:dyDescent="0.15">
      <c r="A7" s="476" t="s">
        <v>295</v>
      </c>
      <c r="B7" s="483" cm="1">
        <f t="array" aca="1" ref="B7" ca="1">SUMPRODUCT(B$54:B$113,TRANSPOSE(SAP_Speadsheet!$E$42:$BL$42))</f>
        <v>0</v>
      </c>
      <c r="C7" s="483" cm="1">
        <f t="array" aca="1" ref="C7" ca="1">SUMPRODUCT(C$54:C$113,TRANSPOSE(SAP_Speadsheet!$E$42:$BL$42))</f>
        <v>0</v>
      </c>
      <c r="D7" s="483" cm="1">
        <f t="array" aca="1" ref="D7" ca="1">SUMPRODUCT(D$54:D$113,TRANSPOSE(SAP_Speadsheet!$E$42:$BL$42))</f>
        <v>0</v>
      </c>
      <c r="E7" s="483" cm="1">
        <f t="array" aca="1" ref="E7" ca="1">SUMPRODUCT(E$54:E$113,TRANSPOSE(SAP_Speadsheet!$E$42:$BL$42))</f>
        <v>0</v>
      </c>
      <c r="F7" s="483" cm="1">
        <f t="array" aca="1" ref="F7" ca="1">SUMPRODUCT(F$54:F$113,TRANSPOSE(SAP_Speadsheet!$E$42:$BL$42))</f>
        <v>0</v>
      </c>
      <c r="G7" s="483" cm="1">
        <f t="array" aca="1" ref="G7" ca="1">SUMPRODUCT(G$54:G$113,TRANSPOSE(SAP_Speadsheet!$E$42:$BL$42))</f>
        <v>0</v>
      </c>
      <c r="H7" s="483" cm="1">
        <f t="array" aca="1" ref="H7" ca="1">SUMPRODUCT(H$54:H$113,TRANSPOSE(SAP_Speadsheet!$E$42:$BL$42))</f>
        <v>0</v>
      </c>
      <c r="I7" s="483" cm="1">
        <f t="array" aca="1" ref="I7" ca="1">SUMPRODUCT(I$54:I$113,TRANSPOSE(SAP_Speadsheet!$E$42:$BL$42))</f>
        <v>0</v>
      </c>
      <c r="J7" s="483" cm="1">
        <f t="array" aca="1" ref="J7" ca="1">SUMPRODUCT(J$54:J$113,TRANSPOSE(SAP_Speadsheet!$E$42:$BL$42))</f>
        <v>0</v>
      </c>
      <c r="K7" s="483" cm="1">
        <f t="array" aca="1" ref="K7" ca="1">SUMPRODUCT(K$54:K$113,TRANSPOSE(SAP_Speadsheet!$E$42:$BL$42))</f>
        <v>0</v>
      </c>
      <c r="L7" s="483" cm="1">
        <f t="array" aca="1" ref="L7" ca="1">SUMPRODUCT(L$54:L$113,TRANSPOSE(SAP_Speadsheet!$E$42:$BL$42))</f>
        <v>0</v>
      </c>
      <c r="M7" s="483" cm="1">
        <f t="array" aca="1" ref="M7" ca="1">SUMPRODUCT(M$54:M$113,TRANSPOSE(SAP_Speadsheet!$E$42:$BL$42))</f>
        <v>0</v>
      </c>
      <c r="N7" s="483" cm="1">
        <f t="array" aca="1" ref="N7" ca="1">SUMPRODUCT(N$54:N$113,TRANSPOSE(SAP_Speadsheet!$E$42:$BL$42))</f>
        <v>0</v>
      </c>
      <c r="O7" s="483" cm="1">
        <f t="array" aca="1" ref="O7" ca="1">SUMPRODUCT(O$54:O$113,TRANSPOSE(SAP_Speadsheet!$E$42:$BL$42))</f>
        <v>0</v>
      </c>
      <c r="P7" s="483" cm="1">
        <f t="array" aca="1" ref="P7" ca="1">SUMPRODUCT(P$54:P$113,TRANSPOSE(SAP_Speadsheet!$E$42:$BL$42))</f>
        <v>0</v>
      </c>
      <c r="Q7" s="483" cm="1">
        <f t="array" aca="1" ref="Q7" ca="1">SUMPRODUCT(Q$54:Q$113,TRANSPOSE(SAP_Speadsheet!$E$42:$BL$42))</f>
        <v>0</v>
      </c>
      <c r="R7" s="483" cm="1">
        <f t="array" aca="1" ref="R7" ca="1">SUMPRODUCT(R$54:R$113,TRANSPOSE(SAP_Speadsheet!$E$42:$BL$42))</f>
        <v>0</v>
      </c>
      <c r="S7" s="483" cm="1">
        <f t="array" aca="1" ref="S7" ca="1">SUMPRODUCT(S$54:S$113,TRANSPOSE(SAP_Speadsheet!$E$42:$BL$42))</f>
        <v>0</v>
      </c>
      <c r="T7" s="483" cm="1">
        <f t="array" aca="1" ref="T7" ca="1">SUMPRODUCT(T$54:T$113,TRANSPOSE(SAP_Speadsheet!$E$42:$BL$42))</f>
        <v>0</v>
      </c>
      <c r="U7" s="483" cm="1">
        <f t="array" aca="1" ref="U7" ca="1">SUMPRODUCT(U$54:U$113,TRANSPOSE(SAP_Speadsheet!$E$42:$BL$42))</f>
        <v>0</v>
      </c>
      <c r="V7" s="483" cm="1">
        <f t="array" aca="1" ref="V7" ca="1">SUMPRODUCT(V$54:V$113,TRANSPOSE(SAP_Speadsheet!$E$42:$BL$42))</f>
        <v>0</v>
      </c>
      <c r="W7" s="483" cm="1">
        <f t="array" aca="1" ref="W7" ca="1">SUMPRODUCT(W$54:W$113,TRANSPOSE(SAP_Speadsheet!$E$42:$BL$42))</f>
        <v>0</v>
      </c>
      <c r="X7" s="483" cm="1">
        <f t="array" aca="1" ref="X7" ca="1">SUMPRODUCT(X$54:X$113,TRANSPOSE(SAP_Speadsheet!$E$42:$BL$42))</f>
        <v>0</v>
      </c>
      <c r="Y7" s="483" cm="1">
        <f t="array" aca="1" ref="Y7" ca="1">SUMPRODUCT(Y$54:Y$113,TRANSPOSE(SAP_Speadsheet!$E$42:$BL$42))</f>
        <v>0</v>
      </c>
      <c r="Z7" s="483" cm="1">
        <f t="array" aca="1" ref="Z7" ca="1">SUMPRODUCT(Z$54:Z$113,TRANSPOSE(SAP_Speadsheet!$E$42:$BL$42))</f>
        <v>0</v>
      </c>
      <c r="AA7" s="483" cm="1">
        <f t="array" aca="1" ref="AA7" ca="1">SUMPRODUCT(AA$54:AA$113,TRANSPOSE(SAP_Speadsheet!$E$42:$BL$42))</f>
        <v>0</v>
      </c>
      <c r="AB7" s="483" cm="1">
        <f t="array" aca="1" ref="AB7" ca="1">SUMPRODUCT(AB$54:AB$113,TRANSPOSE(SAP_Speadsheet!$E$42:$BL$42))</f>
        <v>0</v>
      </c>
      <c r="AC7" s="483" cm="1">
        <f t="array" aca="1" ref="AC7" ca="1">SUMPRODUCT(AC$54:AC$113,TRANSPOSE(SAP_Speadsheet!$E$42:$BL$42))</f>
        <v>0</v>
      </c>
      <c r="AD7" s="483" cm="1">
        <f t="array" aca="1" ref="AD7" ca="1">SUMPRODUCT(AD$54:AD$113,TRANSPOSE(SAP_Speadsheet!$E$42:$BL$42))</f>
        <v>0</v>
      </c>
      <c r="AE7" s="483" cm="1">
        <f t="array" aca="1" ref="AE7" ca="1">SUMPRODUCT(AE$54:AE$113,TRANSPOSE(SAP_Speadsheet!$E$42:$BL$42))</f>
        <v>0</v>
      </c>
      <c r="AF7" s="483" cm="1">
        <f t="array" aca="1" ref="AF7" ca="1">SUMPRODUCT(AF$54:AF$113,TRANSPOSE(SAP_Speadsheet!$E$42:$BL$42))</f>
        <v>0</v>
      </c>
      <c r="AG7" s="483" cm="1">
        <f t="array" aca="1" ref="AG7" ca="1">SUMPRODUCT(AG$54:AG$113,TRANSPOSE(SAP_Speadsheet!$E$42:$BL$42))</f>
        <v>0</v>
      </c>
      <c r="AH7" s="483" cm="1">
        <f t="array" aca="1" ref="AH7" ca="1">SUMPRODUCT(AH$54:AH$113,TRANSPOSE(SAP_Speadsheet!$E$42:$BL$42))</f>
        <v>0</v>
      </c>
      <c r="AI7" s="483" cm="1">
        <f t="array" aca="1" ref="AI7" ca="1">SUMPRODUCT(AI$54:AI$113,TRANSPOSE(SAP_Speadsheet!$E$42:$BL$42))</f>
        <v>0</v>
      </c>
      <c r="AJ7" s="483" cm="1">
        <f t="array" aca="1" ref="AJ7" ca="1">SUMPRODUCT(AJ$54:AJ$113,TRANSPOSE(SAP_Speadsheet!$E$42:$BL$42))</f>
        <v>0</v>
      </c>
      <c r="AK7" s="483" cm="1">
        <f t="array" aca="1" ref="AK7" ca="1">SUMPRODUCT(AK$54:AK$113,TRANSPOSE(SAP_Speadsheet!$E$42:$BL$42))</f>
        <v>0</v>
      </c>
      <c r="AL7" s="483" cm="1">
        <f t="array" aca="1" ref="AL7" ca="1">SUMPRODUCT(AL$54:AL$113,TRANSPOSE(SAP_Speadsheet!$E$42:$BL$42))</f>
        <v>0</v>
      </c>
      <c r="AM7" s="483" cm="1">
        <f t="array" aca="1" ref="AM7" ca="1">SUMPRODUCT(AM$54:AM$113,TRANSPOSE(SAP_Speadsheet!$E$42:$BL$42))</f>
        <v>0</v>
      </c>
      <c r="AN7" s="483" cm="1">
        <f t="array" aca="1" ref="AN7" ca="1">SUMPRODUCT(AN$54:AN$113,TRANSPOSE(SAP_Speadsheet!$E$42:$BL$42))</f>
        <v>0</v>
      </c>
      <c r="AO7" s="483" cm="1">
        <f t="array" aca="1" ref="AO7" ca="1">SUMPRODUCT(AO$54:AO$113,TRANSPOSE(SAP_Speadsheet!$E$42:$BL$42))</f>
        <v>0</v>
      </c>
      <c r="AP7" s="483" cm="1">
        <f t="array" aca="1" ref="AP7" ca="1">SUMPRODUCT(AP$54:AP$113,TRANSPOSE(SAP_Speadsheet!$E$42:$BL$42))</f>
        <v>0</v>
      </c>
      <c r="AQ7" s="483" cm="1">
        <f t="array" aca="1" ref="AQ7" ca="1">SUMPRODUCT(AQ$54:AQ$113,TRANSPOSE(SAP_Speadsheet!$E$42:$BL$42))</f>
        <v>0</v>
      </c>
      <c r="AR7" s="483" cm="1">
        <f t="array" aca="1" ref="AR7" ca="1">SUMPRODUCT(AR$54:AR$113,TRANSPOSE(SAP_Speadsheet!$E$42:$BL$42))</f>
        <v>0</v>
      </c>
      <c r="AS7" s="483" cm="1">
        <f t="array" aca="1" ref="AS7" ca="1">SUMPRODUCT(AS$54:AS$113,TRANSPOSE(SAP_Speadsheet!$E$42:$BL$42))</f>
        <v>0</v>
      </c>
      <c r="AT7" s="483" cm="1">
        <f t="array" aca="1" ref="AT7" ca="1">SUMPRODUCT(AT$54:AT$113,TRANSPOSE(SAP_Speadsheet!$E$42:$BL$42))</f>
        <v>0</v>
      </c>
      <c r="AU7" s="483" cm="1">
        <f t="array" aca="1" ref="AU7" ca="1">SUMPRODUCT(AU$54:AU$113,TRANSPOSE(SAP_Speadsheet!$E$42:$BL$42))</f>
        <v>0</v>
      </c>
      <c r="AV7" s="483" cm="1">
        <f t="array" aca="1" ref="AV7" ca="1">SUMPRODUCT(AV$54:AV$113,TRANSPOSE(SAP_Speadsheet!$E$42:$BL$42))</f>
        <v>0</v>
      </c>
      <c r="AW7" s="483" cm="1">
        <f t="array" aca="1" ref="AW7" ca="1">SUMPRODUCT(AW$54:AW$113,TRANSPOSE(SAP_Speadsheet!$E$42:$BL$42))</f>
        <v>0</v>
      </c>
      <c r="AX7" s="483" cm="1">
        <f t="array" aca="1" ref="AX7" ca="1">SUMPRODUCT(AX$54:AX$113,TRANSPOSE(SAP_Speadsheet!$E$42:$BL$42))</f>
        <v>0</v>
      </c>
      <c r="AY7" s="483" cm="1">
        <f t="array" aca="1" ref="AY7" ca="1">SUMPRODUCT(AY$54:AY$113,TRANSPOSE(SAP_Speadsheet!$E$42:$BL$42))</f>
        <v>0</v>
      </c>
      <c r="AZ7" s="483" cm="1">
        <f t="array" aca="1" ref="AZ7" ca="1">SUMPRODUCT(AZ$54:AZ$113,TRANSPOSE(SAP_Speadsheet!$E$42:$BL$42))</f>
        <v>0</v>
      </c>
      <c r="BA7" s="483" cm="1">
        <f t="array" aca="1" ref="BA7" ca="1">SUMPRODUCT(BA$54:BA$113,TRANSPOSE(SAP_Speadsheet!$E$42:$BL$42))</f>
        <v>0</v>
      </c>
      <c r="BB7" s="483" cm="1">
        <f t="array" aca="1" ref="BB7" ca="1">SUMPRODUCT(BB$54:BB$113,TRANSPOSE(SAP_Speadsheet!$E$42:$BL$42))</f>
        <v>0</v>
      </c>
      <c r="BC7" s="483" cm="1">
        <f t="array" aca="1" ref="BC7" ca="1">SUMPRODUCT(BC$54:BC$113,TRANSPOSE(SAP_Speadsheet!$E$42:$BL$42))</f>
        <v>0</v>
      </c>
      <c r="BD7" s="483" cm="1">
        <f t="array" aca="1" ref="BD7" ca="1">SUMPRODUCT(BD$54:BD$113,TRANSPOSE(SAP_Speadsheet!$E$42:$BL$42))</f>
        <v>0</v>
      </c>
      <c r="BE7" s="483" cm="1">
        <f t="array" aca="1" ref="BE7" ca="1">SUMPRODUCT(BE$54:BE$113,TRANSPOSE(SAP_Speadsheet!$E$42:$BL$42))</f>
        <v>0</v>
      </c>
      <c r="BF7" s="483" cm="1">
        <f t="array" aca="1" ref="BF7" ca="1">SUMPRODUCT(BF$54:BF$113,TRANSPOSE(SAP_Speadsheet!$E$42:$BL$42))</f>
        <v>0</v>
      </c>
      <c r="BG7" s="483" cm="1">
        <f t="array" aca="1" ref="BG7" ca="1">SUMPRODUCT(BG$54:BG$113,TRANSPOSE(SAP_Speadsheet!$E$42:$BL$42))</f>
        <v>0</v>
      </c>
      <c r="BH7" s="483" cm="1">
        <f t="array" aca="1" ref="BH7" ca="1">SUMPRODUCT(BH$54:BH$113,TRANSPOSE(SAP_Speadsheet!$E$42:$BL$42))</f>
        <v>0</v>
      </c>
      <c r="BI7" s="483" cm="1">
        <f t="array" aca="1" ref="BI7" ca="1">SUMPRODUCT(BI$54:BI$113,TRANSPOSE(SAP_Speadsheet!$E$42:$BL$42))</f>
        <v>0</v>
      </c>
    </row>
    <row r="8" spans="1:61" s="476" customFormat="1" x14ac:dyDescent="0.15">
      <c r="A8" s="476" t="s">
        <v>407</v>
      </c>
      <c r="B8" s="483" cm="1">
        <f t="array" aca="1" ref="B8" ca="1">SUMPRODUCT(B$54:B$113,TRANSPOSE(SAP_Speadsheet!$E$48:$BL$48))</f>
        <v>0</v>
      </c>
      <c r="C8" s="483" cm="1">
        <f t="array" aca="1" ref="C8" ca="1">SUMPRODUCT(C$54:C$113,TRANSPOSE(SAP_Speadsheet!$E$48:$BL$48))</f>
        <v>0</v>
      </c>
      <c r="D8" s="483" cm="1">
        <f t="array" aca="1" ref="D8" ca="1">SUMPRODUCT(D$54:D$113,TRANSPOSE(SAP_Speadsheet!$E$48:$BL$48))</f>
        <v>0</v>
      </c>
      <c r="E8" s="483" cm="1">
        <f t="array" aca="1" ref="E8" ca="1">SUMPRODUCT(E$54:E$113,TRANSPOSE(SAP_Speadsheet!$E$48:$BL$48))</f>
        <v>0</v>
      </c>
      <c r="F8" s="483" cm="1">
        <f t="array" aca="1" ref="F8" ca="1">SUMPRODUCT(F$54:F$113,TRANSPOSE(SAP_Speadsheet!$E$48:$BL$48))</f>
        <v>0</v>
      </c>
      <c r="G8" s="483" cm="1">
        <f t="array" aca="1" ref="G8" ca="1">SUMPRODUCT(G$54:G$113,TRANSPOSE(SAP_Speadsheet!$E$48:$BL$48))</f>
        <v>0</v>
      </c>
      <c r="H8" s="483" cm="1">
        <f t="array" aca="1" ref="H8" ca="1">SUMPRODUCT(H$54:H$113,TRANSPOSE(SAP_Speadsheet!$E$48:$BL$48))</f>
        <v>0</v>
      </c>
      <c r="I8" s="483" cm="1">
        <f t="array" aca="1" ref="I8" ca="1">SUMPRODUCT(I$54:I$113,TRANSPOSE(SAP_Speadsheet!$E$48:$BL$48))</f>
        <v>0</v>
      </c>
      <c r="J8" s="483" cm="1">
        <f t="array" aca="1" ref="J8" ca="1">SUMPRODUCT(J$54:J$113,TRANSPOSE(SAP_Speadsheet!$E$48:$BL$48))</f>
        <v>0</v>
      </c>
      <c r="K8" s="483" cm="1">
        <f t="array" aca="1" ref="K8" ca="1">SUMPRODUCT(K$54:K$113,TRANSPOSE(SAP_Speadsheet!$E$48:$BL$48))</f>
        <v>0</v>
      </c>
      <c r="L8" s="483" cm="1">
        <f t="array" aca="1" ref="L8" ca="1">SUMPRODUCT(L$54:L$113,TRANSPOSE(SAP_Speadsheet!$E$48:$BL$48))</f>
        <v>0</v>
      </c>
      <c r="M8" s="483" cm="1">
        <f t="array" aca="1" ref="M8" ca="1">SUMPRODUCT(M$54:M$113,TRANSPOSE(SAP_Speadsheet!$E$48:$BL$48))</f>
        <v>0</v>
      </c>
      <c r="N8" s="483" cm="1">
        <f t="array" aca="1" ref="N8" ca="1">SUMPRODUCT(N$54:N$113,TRANSPOSE(SAP_Speadsheet!$E$48:$BL$48))</f>
        <v>0</v>
      </c>
      <c r="O8" s="483" cm="1">
        <f t="array" aca="1" ref="O8" ca="1">SUMPRODUCT(O$54:O$113,TRANSPOSE(SAP_Speadsheet!$E$48:$BL$48))</f>
        <v>0</v>
      </c>
      <c r="P8" s="483" cm="1">
        <f t="array" aca="1" ref="P8" ca="1">SUMPRODUCT(P$54:P$113,TRANSPOSE(SAP_Speadsheet!$E$48:$BL$48))</f>
        <v>0</v>
      </c>
      <c r="Q8" s="483" cm="1">
        <f t="array" aca="1" ref="Q8" ca="1">SUMPRODUCT(Q$54:Q$113,TRANSPOSE(SAP_Speadsheet!$E$48:$BL$48))</f>
        <v>0</v>
      </c>
      <c r="R8" s="483" cm="1">
        <f t="array" aca="1" ref="R8" ca="1">SUMPRODUCT(R$54:R$113,TRANSPOSE(SAP_Speadsheet!$E$48:$BL$48))</f>
        <v>0</v>
      </c>
      <c r="S8" s="483" cm="1">
        <f t="array" aca="1" ref="S8" ca="1">SUMPRODUCT(S$54:S$113,TRANSPOSE(SAP_Speadsheet!$E$48:$BL$48))</f>
        <v>0</v>
      </c>
      <c r="T8" s="483" cm="1">
        <f t="array" aca="1" ref="T8" ca="1">SUMPRODUCT(T$54:T$113,TRANSPOSE(SAP_Speadsheet!$E$48:$BL$48))</f>
        <v>0</v>
      </c>
      <c r="U8" s="483" cm="1">
        <f t="array" aca="1" ref="U8" ca="1">SUMPRODUCT(U$54:U$113,TRANSPOSE(SAP_Speadsheet!$E$48:$BL$48))</f>
        <v>0</v>
      </c>
      <c r="V8" s="483" cm="1">
        <f t="array" aca="1" ref="V8" ca="1">SUMPRODUCT(V$54:V$113,TRANSPOSE(SAP_Speadsheet!$E$48:$BL$48))</f>
        <v>0</v>
      </c>
      <c r="W8" s="483" cm="1">
        <f t="array" aca="1" ref="W8" ca="1">SUMPRODUCT(W$54:W$113,TRANSPOSE(SAP_Speadsheet!$E$48:$BL$48))</f>
        <v>0</v>
      </c>
      <c r="X8" s="483" cm="1">
        <f t="array" aca="1" ref="X8" ca="1">SUMPRODUCT(X$54:X$113,TRANSPOSE(SAP_Speadsheet!$E$48:$BL$48))</f>
        <v>0</v>
      </c>
      <c r="Y8" s="483" cm="1">
        <f t="array" aca="1" ref="Y8" ca="1">SUMPRODUCT(Y$54:Y$113,TRANSPOSE(SAP_Speadsheet!$E$48:$BL$48))</f>
        <v>0</v>
      </c>
      <c r="Z8" s="483" cm="1">
        <f t="array" aca="1" ref="Z8" ca="1">SUMPRODUCT(Z$54:Z$113,TRANSPOSE(SAP_Speadsheet!$E$48:$BL$48))</f>
        <v>0</v>
      </c>
      <c r="AA8" s="483" cm="1">
        <f t="array" aca="1" ref="AA8" ca="1">SUMPRODUCT(AA$54:AA$113,TRANSPOSE(SAP_Speadsheet!$E$48:$BL$48))</f>
        <v>0</v>
      </c>
      <c r="AB8" s="483" cm="1">
        <f t="array" aca="1" ref="AB8" ca="1">SUMPRODUCT(AB$54:AB$113,TRANSPOSE(SAP_Speadsheet!$E$48:$BL$48))</f>
        <v>0</v>
      </c>
      <c r="AC8" s="483" cm="1">
        <f t="array" aca="1" ref="AC8" ca="1">SUMPRODUCT(AC$54:AC$113,TRANSPOSE(SAP_Speadsheet!$E$48:$BL$48))</f>
        <v>0</v>
      </c>
      <c r="AD8" s="483" cm="1">
        <f t="array" aca="1" ref="AD8" ca="1">SUMPRODUCT(AD$54:AD$113,TRANSPOSE(SAP_Speadsheet!$E$48:$BL$48))</f>
        <v>0</v>
      </c>
      <c r="AE8" s="483" cm="1">
        <f t="array" aca="1" ref="AE8" ca="1">SUMPRODUCT(AE$54:AE$113,TRANSPOSE(SAP_Speadsheet!$E$48:$BL$48))</f>
        <v>0</v>
      </c>
      <c r="AF8" s="483" cm="1">
        <f t="array" aca="1" ref="AF8" ca="1">SUMPRODUCT(AF$54:AF$113,TRANSPOSE(SAP_Speadsheet!$E$48:$BL$48))</f>
        <v>0</v>
      </c>
      <c r="AG8" s="483" cm="1">
        <f t="array" aca="1" ref="AG8" ca="1">SUMPRODUCT(AG$54:AG$113,TRANSPOSE(SAP_Speadsheet!$E$48:$BL$48))</f>
        <v>0</v>
      </c>
      <c r="AH8" s="483" cm="1">
        <f t="array" aca="1" ref="AH8" ca="1">SUMPRODUCT(AH$54:AH$113,TRANSPOSE(SAP_Speadsheet!$E$48:$BL$48))</f>
        <v>0</v>
      </c>
      <c r="AI8" s="483" cm="1">
        <f t="array" aca="1" ref="AI8" ca="1">SUMPRODUCT(AI$54:AI$113,TRANSPOSE(SAP_Speadsheet!$E$48:$BL$48))</f>
        <v>0</v>
      </c>
      <c r="AJ8" s="483" cm="1">
        <f t="array" aca="1" ref="AJ8" ca="1">SUMPRODUCT(AJ$54:AJ$113,TRANSPOSE(SAP_Speadsheet!$E$48:$BL$48))</f>
        <v>0</v>
      </c>
      <c r="AK8" s="483" cm="1">
        <f t="array" aca="1" ref="AK8" ca="1">SUMPRODUCT(AK$54:AK$113,TRANSPOSE(SAP_Speadsheet!$E$48:$BL$48))</f>
        <v>0</v>
      </c>
      <c r="AL8" s="483" cm="1">
        <f t="array" aca="1" ref="AL8" ca="1">SUMPRODUCT(AL$54:AL$113,TRANSPOSE(SAP_Speadsheet!$E$48:$BL$48))</f>
        <v>0</v>
      </c>
      <c r="AM8" s="483" cm="1">
        <f t="array" aca="1" ref="AM8" ca="1">SUMPRODUCT(AM$54:AM$113,TRANSPOSE(SAP_Speadsheet!$E$48:$BL$48))</f>
        <v>0</v>
      </c>
      <c r="AN8" s="483" cm="1">
        <f t="array" aca="1" ref="AN8" ca="1">SUMPRODUCT(AN$54:AN$113,TRANSPOSE(SAP_Speadsheet!$E$48:$BL$48))</f>
        <v>0</v>
      </c>
      <c r="AO8" s="483" cm="1">
        <f t="array" aca="1" ref="AO8" ca="1">SUMPRODUCT(AO$54:AO$113,TRANSPOSE(SAP_Speadsheet!$E$48:$BL$48))</f>
        <v>0</v>
      </c>
      <c r="AP8" s="483" cm="1">
        <f t="array" aca="1" ref="AP8" ca="1">SUMPRODUCT(AP$54:AP$113,TRANSPOSE(SAP_Speadsheet!$E$48:$BL$48))</f>
        <v>0</v>
      </c>
      <c r="AQ8" s="483" cm="1">
        <f t="array" aca="1" ref="AQ8" ca="1">SUMPRODUCT(AQ$54:AQ$113,TRANSPOSE(SAP_Speadsheet!$E$48:$BL$48))</f>
        <v>0</v>
      </c>
      <c r="AR8" s="483" cm="1">
        <f t="array" aca="1" ref="AR8" ca="1">SUMPRODUCT(AR$54:AR$113,TRANSPOSE(SAP_Speadsheet!$E$48:$BL$48))</f>
        <v>0</v>
      </c>
      <c r="AS8" s="483" cm="1">
        <f t="array" aca="1" ref="AS8" ca="1">SUMPRODUCT(AS$54:AS$113,TRANSPOSE(SAP_Speadsheet!$E$48:$BL$48))</f>
        <v>0</v>
      </c>
      <c r="AT8" s="483" cm="1">
        <f t="array" aca="1" ref="AT8" ca="1">SUMPRODUCT(AT$54:AT$113,TRANSPOSE(SAP_Speadsheet!$E$48:$BL$48))</f>
        <v>0</v>
      </c>
      <c r="AU8" s="483" cm="1">
        <f t="array" aca="1" ref="AU8" ca="1">SUMPRODUCT(AU$54:AU$113,TRANSPOSE(SAP_Speadsheet!$E$48:$BL$48))</f>
        <v>0</v>
      </c>
      <c r="AV8" s="483" cm="1">
        <f t="array" aca="1" ref="AV8" ca="1">SUMPRODUCT(AV$54:AV$113,TRANSPOSE(SAP_Speadsheet!$E$48:$BL$48))</f>
        <v>0</v>
      </c>
      <c r="AW8" s="483" cm="1">
        <f t="array" aca="1" ref="AW8" ca="1">SUMPRODUCT(AW$54:AW$113,TRANSPOSE(SAP_Speadsheet!$E$48:$BL$48))</f>
        <v>0</v>
      </c>
      <c r="AX8" s="483" cm="1">
        <f t="array" aca="1" ref="AX8" ca="1">SUMPRODUCT(AX$54:AX$113,TRANSPOSE(SAP_Speadsheet!$E$48:$BL$48))</f>
        <v>0</v>
      </c>
      <c r="AY8" s="483" cm="1">
        <f t="array" aca="1" ref="AY8" ca="1">SUMPRODUCT(AY$54:AY$113,TRANSPOSE(SAP_Speadsheet!$E$48:$BL$48))</f>
        <v>0</v>
      </c>
      <c r="AZ8" s="483" cm="1">
        <f t="array" aca="1" ref="AZ8" ca="1">SUMPRODUCT(AZ$54:AZ$113,TRANSPOSE(SAP_Speadsheet!$E$48:$BL$48))</f>
        <v>0</v>
      </c>
      <c r="BA8" s="483" cm="1">
        <f t="array" aca="1" ref="BA8" ca="1">SUMPRODUCT(BA$54:BA$113,TRANSPOSE(SAP_Speadsheet!$E$48:$BL$48))</f>
        <v>0</v>
      </c>
      <c r="BB8" s="483" cm="1">
        <f t="array" aca="1" ref="BB8" ca="1">SUMPRODUCT(BB$54:BB$113,TRANSPOSE(SAP_Speadsheet!$E$48:$BL$48))</f>
        <v>0</v>
      </c>
      <c r="BC8" s="483" cm="1">
        <f t="array" aca="1" ref="BC8" ca="1">SUMPRODUCT(BC$54:BC$113,TRANSPOSE(SAP_Speadsheet!$E$48:$BL$48))</f>
        <v>0</v>
      </c>
      <c r="BD8" s="483" cm="1">
        <f t="array" aca="1" ref="BD8" ca="1">SUMPRODUCT(BD$54:BD$113,TRANSPOSE(SAP_Speadsheet!$E$48:$BL$48))</f>
        <v>0</v>
      </c>
      <c r="BE8" s="483" cm="1">
        <f t="array" aca="1" ref="BE8" ca="1">SUMPRODUCT(BE$54:BE$113,TRANSPOSE(SAP_Speadsheet!$E$48:$BL$48))</f>
        <v>0</v>
      </c>
      <c r="BF8" s="483" cm="1">
        <f t="array" aca="1" ref="BF8" ca="1">SUMPRODUCT(BF$54:BF$113,TRANSPOSE(SAP_Speadsheet!$E$48:$BL$48))</f>
        <v>0</v>
      </c>
      <c r="BG8" s="483" cm="1">
        <f t="array" aca="1" ref="BG8" ca="1">SUMPRODUCT(BG$54:BG$113,TRANSPOSE(SAP_Speadsheet!$E$48:$BL$48))</f>
        <v>0</v>
      </c>
      <c r="BH8" s="483" cm="1">
        <f t="array" aca="1" ref="BH8" ca="1">SUMPRODUCT(BH$54:BH$113,TRANSPOSE(SAP_Speadsheet!$E$48:$BL$48))</f>
        <v>0</v>
      </c>
      <c r="BI8" s="483" cm="1">
        <f t="array" aca="1" ref="BI8" ca="1">SUMPRODUCT(BI$54:BI$113,TRANSPOSE(SAP_Speadsheet!$E$48:$BL$48))</f>
        <v>0</v>
      </c>
    </row>
    <row r="9" spans="1:61" s="476" customFormat="1" x14ac:dyDescent="0.15">
      <c r="A9" s="476" t="s">
        <v>260</v>
      </c>
      <c r="B9" s="483" cm="1">
        <f t="array" aca="1" ref="B9" ca="1">SUMPRODUCT(B$54:B$113,TRANSPOSE(SAP_Speadsheet!$E$53:$BL$53))</f>
        <v>0</v>
      </c>
      <c r="C9" s="483" cm="1">
        <f t="array" aca="1" ref="C9" ca="1">SUMPRODUCT(C$54:C$113,TRANSPOSE(SAP_Speadsheet!$E$53:$BL$53))</f>
        <v>0</v>
      </c>
      <c r="D9" s="483" cm="1">
        <f t="array" aca="1" ref="D9" ca="1">SUMPRODUCT(D$54:D$113,TRANSPOSE(SAP_Speadsheet!$E$53:$BL$53))</f>
        <v>0</v>
      </c>
      <c r="E9" s="483" cm="1">
        <f t="array" aca="1" ref="E9" ca="1">SUMPRODUCT(E$54:E$113,TRANSPOSE(SAP_Speadsheet!$E$53:$BL$53))</f>
        <v>0</v>
      </c>
      <c r="F9" s="483" cm="1">
        <f t="array" aca="1" ref="F9" ca="1">SUMPRODUCT(F$54:F$113,TRANSPOSE(SAP_Speadsheet!$E$53:$BL$53))</f>
        <v>0</v>
      </c>
      <c r="G9" s="483" cm="1">
        <f t="array" aca="1" ref="G9" ca="1">SUMPRODUCT(G$54:G$113,TRANSPOSE(SAP_Speadsheet!$E$53:$BL$53))</f>
        <v>0</v>
      </c>
      <c r="H9" s="483" cm="1">
        <f t="array" aca="1" ref="H9" ca="1">SUMPRODUCT(H$54:H$113,TRANSPOSE(SAP_Speadsheet!$E$53:$BL$53))</f>
        <v>0</v>
      </c>
      <c r="I9" s="483" cm="1">
        <f t="array" aca="1" ref="I9" ca="1">SUMPRODUCT(I$54:I$113,TRANSPOSE(SAP_Speadsheet!$E$53:$BL$53))</f>
        <v>0</v>
      </c>
      <c r="J9" s="483" cm="1">
        <f t="array" aca="1" ref="J9" ca="1">SUMPRODUCT(J$54:J$113,TRANSPOSE(SAP_Speadsheet!$E$53:$BL$53))</f>
        <v>0</v>
      </c>
      <c r="K9" s="483" cm="1">
        <f t="array" aca="1" ref="K9" ca="1">SUMPRODUCT(K$54:K$113,TRANSPOSE(SAP_Speadsheet!$E$53:$BL$53))</f>
        <v>0</v>
      </c>
      <c r="L9" s="483" cm="1">
        <f t="array" aca="1" ref="L9" ca="1">SUMPRODUCT(L$54:L$113,TRANSPOSE(SAP_Speadsheet!$E$53:$BL$53))</f>
        <v>0</v>
      </c>
      <c r="M9" s="483" cm="1">
        <f t="array" aca="1" ref="M9" ca="1">SUMPRODUCT(M$54:M$113,TRANSPOSE(SAP_Speadsheet!$E$53:$BL$53))</f>
        <v>0</v>
      </c>
      <c r="N9" s="483" cm="1">
        <f t="array" aca="1" ref="N9" ca="1">SUMPRODUCT(N$54:N$113,TRANSPOSE(SAP_Speadsheet!$E$53:$BL$53))</f>
        <v>0</v>
      </c>
      <c r="O9" s="483" cm="1">
        <f t="array" aca="1" ref="O9" ca="1">SUMPRODUCT(O$54:O$113,TRANSPOSE(SAP_Speadsheet!$E$53:$BL$53))</f>
        <v>0</v>
      </c>
      <c r="P9" s="483" cm="1">
        <f t="array" aca="1" ref="P9" ca="1">SUMPRODUCT(P$54:P$113,TRANSPOSE(SAP_Speadsheet!$E$53:$BL$53))</f>
        <v>0</v>
      </c>
      <c r="Q9" s="483" cm="1">
        <f t="array" aca="1" ref="Q9" ca="1">SUMPRODUCT(Q$54:Q$113,TRANSPOSE(SAP_Speadsheet!$E$53:$BL$53))</f>
        <v>0</v>
      </c>
      <c r="R9" s="483" cm="1">
        <f t="array" aca="1" ref="R9" ca="1">SUMPRODUCT(R$54:R$113,TRANSPOSE(SAP_Speadsheet!$E$53:$BL$53))</f>
        <v>0</v>
      </c>
      <c r="S9" s="483" cm="1">
        <f t="array" aca="1" ref="S9" ca="1">SUMPRODUCT(S$54:S$113,TRANSPOSE(SAP_Speadsheet!$E$53:$BL$53))</f>
        <v>0</v>
      </c>
      <c r="T9" s="483" cm="1">
        <f t="array" aca="1" ref="T9" ca="1">SUMPRODUCT(T$54:T$113,TRANSPOSE(SAP_Speadsheet!$E$53:$BL$53))</f>
        <v>0</v>
      </c>
      <c r="U9" s="483" cm="1">
        <f t="array" aca="1" ref="U9" ca="1">SUMPRODUCT(U$54:U$113,TRANSPOSE(SAP_Speadsheet!$E$53:$BL$53))</f>
        <v>0</v>
      </c>
      <c r="V9" s="483" cm="1">
        <f t="array" aca="1" ref="V9" ca="1">SUMPRODUCT(V$54:V$113,TRANSPOSE(SAP_Speadsheet!$E$53:$BL$53))</f>
        <v>0</v>
      </c>
      <c r="W9" s="483" cm="1">
        <f t="array" aca="1" ref="W9" ca="1">SUMPRODUCT(W$54:W$113,TRANSPOSE(SAP_Speadsheet!$E$53:$BL$53))</f>
        <v>0</v>
      </c>
      <c r="X9" s="483" cm="1">
        <f t="array" aca="1" ref="X9" ca="1">SUMPRODUCT(X$54:X$113,TRANSPOSE(SAP_Speadsheet!$E$53:$BL$53))</f>
        <v>0</v>
      </c>
      <c r="Y9" s="483" cm="1">
        <f t="array" aca="1" ref="Y9" ca="1">SUMPRODUCT(Y$54:Y$113,TRANSPOSE(SAP_Speadsheet!$E$53:$BL$53))</f>
        <v>0</v>
      </c>
      <c r="Z9" s="483" cm="1">
        <f t="array" aca="1" ref="Z9" ca="1">SUMPRODUCT(Z$54:Z$113,TRANSPOSE(SAP_Speadsheet!$E$53:$BL$53))</f>
        <v>0</v>
      </c>
      <c r="AA9" s="483" cm="1">
        <f t="array" aca="1" ref="AA9" ca="1">SUMPRODUCT(AA$54:AA$113,TRANSPOSE(SAP_Speadsheet!$E$53:$BL$53))</f>
        <v>0</v>
      </c>
      <c r="AB9" s="483" cm="1">
        <f t="array" aca="1" ref="AB9" ca="1">SUMPRODUCT(AB$54:AB$113,TRANSPOSE(SAP_Speadsheet!$E$53:$BL$53))</f>
        <v>0</v>
      </c>
      <c r="AC9" s="483" cm="1">
        <f t="array" aca="1" ref="AC9" ca="1">SUMPRODUCT(AC$54:AC$113,TRANSPOSE(SAP_Speadsheet!$E$53:$BL$53))</f>
        <v>0</v>
      </c>
      <c r="AD9" s="483" cm="1">
        <f t="array" aca="1" ref="AD9" ca="1">SUMPRODUCT(AD$54:AD$113,TRANSPOSE(SAP_Speadsheet!$E$53:$BL$53))</f>
        <v>0</v>
      </c>
      <c r="AE9" s="483" cm="1">
        <f t="array" aca="1" ref="AE9" ca="1">SUMPRODUCT(AE$54:AE$113,TRANSPOSE(SAP_Speadsheet!$E$53:$BL$53))</f>
        <v>0</v>
      </c>
      <c r="AF9" s="483" cm="1">
        <f t="array" aca="1" ref="AF9" ca="1">SUMPRODUCT(AF$54:AF$113,TRANSPOSE(SAP_Speadsheet!$E$53:$BL$53))</f>
        <v>0</v>
      </c>
      <c r="AG9" s="483" cm="1">
        <f t="array" aca="1" ref="AG9" ca="1">SUMPRODUCT(AG$54:AG$113,TRANSPOSE(SAP_Speadsheet!$E$53:$BL$53))</f>
        <v>0</v>
      </c>
      <c r="AH9" s="483" cm="1">
        <f t="array" aca="1" ref="AH9" ca="1">SUMPRODUCT(AH$54:AH$113,TRANSPOSE(SAP_Speadsheet!$E$53:$BL$53))</f>
        <v>0</v>
      </c>
      <c r="AI9" s="483" cm="1">
        <f t="array" aca="1" ref="AI9" ca="1">SUMPRODUCT(AI$54:AI$113,TRANSPOSE(SAP_Speadsheet!$E$53:$BL$53))</f>
        <v>0</v>
      </c>
      <c r="AJ9" s="483" cm="1">
        <f t="array" aca="1" ref="AJ9" ca="1">SUMPRODUCT(AJ$54:AJ$113,TRANSPOSE(SAP_Speadsheet!$E$53:$BL$53))</f>
        <v>0</v>
      </c>
      <c r="AK9" s="483" cm="1">
        <f t="array" aca="1" ref="AK9" ca="1">SUMPRODUCT(AK$54:AK$113,TRANSPOSE(SAP_Speadsheet!$E$53:$BL$53))</f>
        <v>0</v>
      </c>
      <c r="AL9" s="483" cm="1">
        <f t="array" aca="1" ref="AL9" ca="1">SUMPRODUCT(AL$54:AL$113,TRANSPOSE(SAP_Speadsheet!$E$53:$BL$53))</f>
        <v>0</v>
      </c>
      <c r="AM9" s="483" cm="1">
        <f t="array" aca="1" ref="AM9" ca="1">SUMPRODUCT(AM$54:AM$113,TRANSPOSE(SAP_Speadsheet!$E$53:$BL$53))</f>
        <v>0</v>
      </c>
      <c r="AN9" s="483" cm="1">
        <f t="array" aca="1" ref="AN9" ca="1">SUMPRODUCT(AN$54:AN$113,TRANSPOSE(SAP_Speadsheet!$E$53:$BL$53))</f>
        <v>0</v>
      </c>
      <c r="AO9" s="483" cm="1">
        <f t="array" aca="1" ref="AO9" ca="1">SUMPRODUCT(AO$54:AO$113,TRANSPOSE(SAP_Speadsheet!$E$53:$BL$53))</f>
        <v>0</v>
      </c>
      <c r="AP9" s="483" cm="1">
        <f t="array" aca="1" ref="AP9" ca="1">SUMPRODUCT(AP$54:AP$113,TRANSPOSE(SAP_Speadsheet!$E$53:$BL$53))</f>
        <v>0</v>
      </c>
      <c r="AQ9" s="483" cm="1">
        <f t="array" aca="1" ref="AQ9" ca="1">SUMPRODUCT(AQ$54:AQ$113,TRANSPOSE(SAP_Speadsheet!$E$53:$BL$53))</f>
        <v>0</v>
      </c>
      <c r="AR9" s="483" cm="1">
        <f t="array" aca="1" ref="AR9" ca="1">SUMPRODUCT(AR$54:AR$113,TRANSPOSE(SAP_Speadsheet!$E$53:$BL$53))</f>
        <v>0</v>
      </c>
      <c r="AS9" s="483" cm="1">
        <f t="array" aca="1" ref="AS9" ca="1">SUMPRODUCT(AS$54:AS$113,TRANSPOSE(SAP_Speadsheet!$E$53:$BL$53))</f>
        <v>0</v>
      </c>
      <c r="AT9" s="483" cm="1">
        <f t="array" aca="1" ref="AT9" ca="1">SUMPRODUCT(AT$54:AT$113,TRANSPOSE(SAP_Speadsheet!$E$53:$BL$53))</f>
        <v>0</v>
      </c>
      <c r="AU9" s="483" cm="1">
        <f t="array" aca="1" ref="AU9" ca="1">SUMPRODUCT(AU$54:AU$113,TRANSPOSE(SAP_Speadsheet!$E$53:$BL$53))</f>
        <v>0</v>
      </c>
      <c r="AV9" s="483" cm="1">
        <f t="array" aca="1" ref="AV9" ca="1">SUMPRODUCT(AV$54:AV$113,TRANSPOSE(SAP_Speadsheet!$E$53:$BL$53))</f>
        <v>0</v>
      </c>
      <c r="AW9" s="483" cm="1">
        <f t="array" aca="1" ref="AW9" ca="1">SUMPRODUCT(AW$54:AW$113,TRANSPOSE(SAP_Speadsheet!$E$53:$BL$53))</f>
        <v>0</v>
      </c>
      <c r="AX9" s="483" cm="1">
        <f t="array" aca="1" ref="AX9" ca="1">SUMPRODUCT(AX$54:AX$113,TRANSPOSE(SAP_Speadsheet!$E$53:$BL$53))</f>
        <v>0</v>
      </c>
      <c r="AY9" s="483" cm="1">
        <f t="array" aca="1" ref="AY9" ca="1">SUMPRODUCT(AY$54:AY$113,TRANSPOSE(SAP_Speadsheet!$E$53:$BL$53))</f>
        <v>0</v>
      </c>
      <c r="AZ9" s="483" cm="1">
        <f t="array" aca="1" ref="AZ9" ca="1">SUMPRODUCT(AZ$54:AZ$113,TRANSPOSE(SAP_Speadsheet!$E$53:$BL$53))</f>
        <v>0</v>
      </c>
      <c r="BA9" s="483" cm="1">
        <f t="array" aca="1" ref="BA9" ca="1">SUMPRODUCT(BA$54:BA$113,TRANSPOSE(SAP_Speadsheet!$E$53:$BL$53))</f>
        <v>0</v>
      </c>
      <c r="BB9" s="483" cm="1">
        <f t="array" aca="1" ref="BB9" ca="1">SUMPRODUCT(BB$54:BB$113,TRANSPOSE(SAP_Speadsheet!$E$53:$BL$53))</f>
        <v>0</v>
      </c>
      <c r="BC9" s="483" cm="1">
        <f t="array" aca="1" ref="BC9" ca="1">SUMPRODUCT(BC$54:BC$113,TRANSPOSE(SAP_Speadsheet!$E$53:$BL$53))</f>
        <v>0</v>
      </c>
      <c r="BD9" s="483" cm="1">
        <f t="array" aca="1" ref="BD9" ca="1">SUMPRODUCT(BD$54:BD$113,TRANSPOSE(SAP_Speadsheet!$E$53:$BL$53))</f>
        <v>0</v>
      </c>
      <c r="BE9" s="483" cm="1">
        <f t="array" aca="1" ref="BE9" ca="1">SUMPRODUCT(BE$54:BE$113,TRANSPOSE(SAP_Speadsheet!$E$53:$BL$53))</f>
        <v>0</v>
      </c>
      <c r="BF9" s="483" cm="1">
        <f t="array" aca="1" ref="BF9" ca="1">SUMPRODUCT(BF$54:BF$113,TRANSPOSE(SAP_Speadsheet!$E$53:$BL$53))</f>
        <v>0</v>
      </c>
      <c r="BG9" s="483" cm="1">
        <f t="array" aca="1" ref="BG9" ca="1">SUMPRODUCT(BG$54:BG$113,TRANSPOSE(SAP_Speadsheet!$E$53:$BL$53))</f>
        <v>0</v>
      </c>
      <c r="BH9" s="483" cm="1">
        <f t="array" aca="1" ref="BH9" ca="1">SUMPRODUCT(BH$54:BH$113,TRANSPOSE(SAP_Speadsheet!$E$53:$BL$53))</f>
        <v>0</v>
      </c>
      <c r="BI9" s="483" cm="1">
        <f t="array" aca="1" ref="BI9" ca="1">SUMPRODUCT(BI$54:BI$113,TRANSPOSE(SAP_Speadsheet!$E$53:$BL$53))</f>
        <v>0</v>
      </c>
    </row>
    <row r="10" spans="1:61" s="486" customFormat="1" x14ac:dyDescent="0.15">
      <c r="A10" s="484" t="s">
        <v>560</v>
      </c>
      <c r="B10" s="485">
        <f t="shared" ref="B10:BI10" ca="1" si="2">B9-B11-B14</f>
        <v>0</v>
      </c>
      <c r="C10" s="485">
        <f t="shared" ca="1" si="2"/>
        <v>0</v>
      </c>
      <c r="D10" s="485">
        <f t="shared" ca="1" si="2"/>
        <v>0</v>
      </c>
      <c r="E10" s="485">
        <f t="shared" ca="1" si="2"/>
        <v>0</v>
      </c>
      <c r="F10" s="485">
        <f t="shared" ca="1" si="2"/>
        <v>0</v>
      </c>
      <c r="G10" s="485">
        <f t="shared" ca="1" si="2"/>
        <v>0</v>
      </c>
      <c r="H10" s="485">
        <f t="shared" ca="1" si="2"/>
        <v>0</v>
      </c>
      <c r="I10" s="485">
        <f t="shared" ca="1" si="2"/>
        <v>0</v>
      </c>
      <c r="J10" s="485">
        <f t="shared" ca="1" si="2"/>
        <v>0</v>
      </c>
      <c r="K10" s="485">
        <f t="shared" ca="1" si="2"/>
        <v>0</v>
      </c>
      <c r="L10" s="485">
        <f t="shared" ca="1" si="2"/>
        <v>0</v>
      </c>
      <c r="M10" s="485">
        <f t="shared" ca="1" si="2"/>
        <v>0</v>
      </c>
      <c r="N10" s="485">
        <f t="shared" ca="1" si="2"/>
        <v>0</v>
      </c>
      <c r="O10" s="485">
        <f t="shared" ca="1" si="2"/>
        <v>0</v>
      </c>
      <c r="P10" s="485">
        <f t="shared" ca="1" si="2"/>
        <v>0</v>
      </c>
      <c r="Q10" s="485">
        <f t="shared" ca="1" si="2"/>
        <v>0</v>
      </c>
      <c r="R10" s="485">
        <f t="shared" ca="1" si="2"/>
        <v>0</v>
      </c>
      <c r="S10" s="485">
        <f t="shared" ca="1" si="2"/>
        <v>0</v>
      </c>
      <c r="T10" s="485">
        <f t="shared" ca="1" si="2"/>
        <v>0</v>
      </c>
      <c r="U10" s="485">
        <f t="shared" ca="1" si="2"/>
        <v>0</v>
      </c>
      <c r="V10" s="485">
        <f t="shared" ca="1" si="2"/>
        <v>0</v>
      </c>
      <c r="W10" s="485">
        <f t="shared" ca="1" si="2"/>
        <v>0</v>
      </c>
      <c r="X10" s="485">
        <f t="shared" ca="1" si="2"/>
        <v>0</v>
      </c>
      <c r="Y10" s="485">
        <f t="shared" ca="1" si="2"/>
        <v>0</v>
      </c>
      <c r="Z10" s="485">
        <f t="shared" ca="1" si="2"/>
        <v>0</v>
      </c>
      <c r="AA10" s="485">
        <f t="shared" ca="1" si="2"/>
        <v>0</v>
      </c>
      <c r="AB10" s="485">
        <f t="shared" ca="1" si="2"/>
        <v>0</v>
      </c>
      <c r="AC10" s="485">
        <f t="shared" ca="1" si="2"/>
        <v>0</v>
      </c>
      <c r="AD10" s="485">
        <f t="shared" ca="1" si="2"/>
        <v>0</v>
      </c>
      <c r="AE10" s="485">
        <f t="shared" ca="1" si="2"/>
        <v>0</v>
      </c>
      <c r="AF10" s="485">
        <f t="shared" ca="1" si="2"/>
        <v>0</v>
      </c>
      <c r="AG10" s="485">
        <f t="shared" ca="1" si="2"/>
        <v>0</v>
      </c>
      <c r="AH10" s="485">
        <f t="shared" ca="1" si="2"/>
        <v>0</v>
      </c>
      <c r="AI10" s="485">
        <f t="shared" ca="1" si="2"/>
        <v>0</v>
      </c>
      <c r="AJ10" s="485">
        <f t="shared" ca="1" si="2"/>
        <v>0</v>
      </c>
      <c r="AK10" s="485">
        <f t="shared" ca="1" si="2"/>
        <v>0</v>
      </c>
      <c r="AL10" s="485">
        <f t="shared" ca="1" si="2"/>
        <v>0</v>
      </c>
      <c r="AM10" s="485">
        <f t="shared" ca="1" si="2"/>
        <v>0</v>
      </c>
      <c r="AN10" s="485">
        <f t="shared" ca="1" si="2"/>
        <v>0</v>
      </c>
      <c r="AO10" s="485">
        <f t="shared" ca="1" si="2"/>
        <v>0</v>
      </c>
      <c r="AP10" s="485">
        <f t="shared" ca="1" si="2"/>
        <v>0</v>
      </c>
      <c r="AQ10" s="485">
        <f t="shared" ca="1" si="2"/>
        <v>0</v>
      </c>
      <c r="AR10" s="485">
        <f t="shared" ca="1" si="2"/>
        <v>0</v>
      </c>
      <c r="AS10" s="485">
        <f t="shared" ca="1" si="2"/>
        <v>0</v>
      </c>
      <c r="AT10" s="485">
        <f t="shared" ca="1" si="2"/>
        <v>0</v>
      </c>
      <c r="AU10" s="485">
        <f t="shared" ca="1" si="2"/>
        <v>0</v>
      </c>
      <c r="AV10" s="485">
        <f t="shared" ca="1" si="2"/>
        <v>0</v>
      </c>
      <c r="AW10" s="485">
        <f t="shared" ca="1" si="2"/>
        <v>0</v>
      </c>
      <c r="AX10" s="485">
        <f t="shared" ca="1" si="2"/>
        <v>0</v>
      </c>
      <c r="AY10" s="485">
        <f t="shared" ca="1" si="2"/>
        <v>0</v>
      </c>
      <c r="AZ10" s="485">
        <f t="shared" ca="1" si="2"/>
        <v>0</v>
      </c>
      <c r="BA10" s="485">
        <f t="shared" ca="1" si="2"/>
        <v>0</v>
      </c>
      <c r="BB10" s="485">
        <f t="shared" ca="1" si="2"/>
        <v>0</v>
      </c>
      <c r="BC10" s="485">
        <f t="shared" ca="1" si="2"/>
        <v>0</v>
      </c>
      <c r="BD10" s="485">
        <f t="shared" ca="1" si="2"/>
        <v>0</v>
      </c>
      <c r="BE10" s="485">
        <f t="shared" ca="1" si="2"/>
        <v>0</v>
      </c>
      <c r="BF10" s="485">
        <f t="shared" ca="1" si="2"/>
        <v>0</v>
      </c>
      <c r="BG10" s="485">
        <f t="shared" ca="1" si="2"/>
        <v>0</v>
      </c>
      <c r="BH10" s="485">
        <f t="shared" ca="1" si="2"/>
        <v>0</v>
      </c>
      <c r="BI10" s="485">
        <f t="shared" ca="1" si="2"/>
        <v>0</v>
      </c>
    </row>
    <row r="11" spans="1:61" s="476" customFormat="1" x14ac:dyDescent="0.15">
      <c r="A11" s="476" t="s">
        <v>261</v>
      </c>
      <c r="B11" s="483" cm="1">
        <f t="array" aca="1" ref="B11" ca="1">SUMPRODUCT(B$54:B$113,TRANSPOSE(SAP_Speadsheet!$E$55:$BL$55))</f>
        <v>0</v>
      </c>
      <c r="C11" s="483" cm="1">
        <f t="array" aca="1" ref="C11" ca="1">SUMPRODUCT(C$54:C$113,TRANSPOSE(SAP_Speadsheet!$E$55:$BL$55))</f>
        <v>0</v>
      </c>
      <c r="D11" s="483" cm="1">
        <f t="array" aca="1" ref="D11" ca="1">SUMPRODUCT(D$54:D$113,TRANSPOSE(SAP_Speadsheet!$E$55:$BL$55))</f>
        <v>0</v>
      </c>
      <c r="E11" s="483" cm="1">
        <f t="array" aca="1" ref="E11" ca="1">SUMPRODUCT(E$54:E$113,TRANSPOSE(SAP_Speadsheet!$E$55:$BL$55))</f>
        <v>0</v>
      </c>
      <c r="F11" s="483" cm="1">
        <f t="array" aca="1" ref="F11" ca="1">SUMPRODUCT(F$54:F$113,TRANSPOSE(SAP_Speadsheet!$E$55:$BL$55))</f>
        <v>0</v>
      </c>
      <c r="G11" s="483" cm="1">
        <f t="array" aca="1" ref="G11" ca="1">SUMPRODUCT(G$54:G$113,TRANSPOSE(SAP_Speadsheet!$E$55:$BL$55))</f>
        <v>0</v>
      </c>
      <c r="H11" s="483" cm="1">
        <f t="array" aca="1" ref="H11" ca="1">SUMPRODUCT(H$54:H$113,TRANSPOSE(SAP_Speadsheet!$E$55:$BL$55))</f>
        <v>0</v>
      </c>
      <c r="I11" s="483" cm="1">
        <f t="array" aca="1" ref="I11" ca="1">SUMPRODUCT(I$54:I$113,TRANSPOSE(SAP_Speadsheet!$E$55:$BL$55))</f>
        <v>0</v>
      </c>
      <c r="J11" s="483" cm="1">
        <f t="array" aca="1" ref="J11" ca="1">SUMPRODUCT(J$54:J$113,TRANSPOSE(SAP_Speadsheet!$E$55:$BL$55))</f>
        <v>0</v>
      </c>
      <c r="K11" s="483" cm="1">
        <f t="array" aca="1" ref="K11" ca="1">SUMPRODUCT(K$54:K$113,TRANSPOSE(SAP_Speadsheet!$E$55:$BL$55))</f>
        <v>0</v>
      </c>
      <c r="L11" s="483" cm="1">
        <f t="array" aca="1" ref="L11" ca="1">SUMPRODUCT(L$54:L$113,TRANSPOSE(SAP_Speadsheet!$E$55:$BL$55))</f>
        <v>0</v>
      </c>
      <c r="M11" s="483" cm="1">
        <f t="array" aca="1" ref="M11" ca="1">SUMPRODUCT(M$54:M$113,TRANSPOSE(SAP_Speadsheet!$E$55:$BL$55))</f>
        <v>0</v>
      </c>
      <c r="N11" s="483" cm="1">
        <f t="array" aca="1" ref="N11" ca="1">SUMPRODUCT(N$54:N$113,TRANSPOSE(SAP_Speadsheet!$E$55:$BL$55))</f>
        <v>0</v>
      </c>
      <c r="O11" s="483" cm="1">
        <f t="array" aca="1" ref="O11" ca="1">SUMPRODUCT(O$54:O$113,TRANSPOSE(SAP_Speadsheet!$E$55:$BL$55))</f>
        <v>0</v>
      </c>
      <c r="P11" s="483" cm="1">
        <f t="array" aca="1" ref="P11" ca="1">SUMPRODUCT(P$54:P$113,TRANSPOSE(SAP_Speadsheet!$E$55:$BL$55))</f>
        <v>0</v>
      </c>
      <c r="Q11" s="483" cm="1">
        <f t="array" aca="1" ref="Q11" ca="1">SUMPRODUCT(Q$54:Q$113,TRANSPOSE(SAP_Speadsheet!$E$55:$BL$55))</f>
        <v>0</v>
      </c>
      <c r="R11" s="483" cm="1">
        <f t="array" aca="1" ref="R11" ca="1">SUMPRODUCT(R$54:R$113,TRANSPOSE(SAP_Speadsheet!$E$55:$BL$55))</f>
        <v>0</v>
      </c>
      <c r="S11" s="483" cm="1">
        <f t="array" aca="1" ref="S11" ca="1">SUMPRODUCT(S$54:S$113,TRANSPOSE(SAP_Speadsheet!$E$55:$BL$55))</f>
        <v>0</v>
      </c>
      <c r="T11" s="483" cm="1">
        <f t="array" aca="1" ref="T11" ca="1">SUMPRODUCT(T$54:T$113,TRANSPOSE(SAP_Speadsheet!$E$55:$BL$55))</f>
        <v>0</v>
      </c>
      <c r="U11" s="483" cm="1">
        <f t="array" aca="1" ref="U11" ca="1">SUMPRODUCT(U$54:U$113,TRANSPOSE(SAP_Speadsheet!$E$55:$BL$55))</f>
        <v>0</v>
      </c>
      <c r="V11" s="483" cm="1">
        <f t="array" aca="1" ref="V11" ca="1">SUMPRODUCT(V$54:V$113,TRANSPOSE(SAP_Speadsheet!$E$55:$BL$55))</f>
        <v>0</v>
      </c>
      <c r="W11" s="483" cm="1">
        <f t="array" aca="1" ref="W11" ca="1">SUMPRODUCT(W$54:W$113,TRANSPOSE(SAP_Speadsheet!$E$55:$BL$55))</f>
        <v>0</v>
      </c>
      <c r="X11" s="483" cm="1">
        <f t="array" aca="1" ref="X11" ca="1">SUMPRODUCT(X$54:X$113,TRANSPOSE(SAP_Speadsheet!$E$55:$BL$55))</f>
        <v>0</v>
      </c>
      <c r="Y11" s="483" cm="1">
        <f t="array" aca="1" ref="Y11" ca="1">SUMPRODUCT(Y$54:Y$113,TRANSPOSE(SAP_Speadsheet!$E$55:$BL$55))</f>
        <v>0</v>
      </c>
      <c r="Z11" s="483" cm="1">
        <f t="array" aca="1" ref="Z11" ca="1">SUMPRODUCT(Z$54:Z$113,TRANSPOSE(SAP_Speadsheet!$E$55:$BL$55))</f>
        <v>0</v>
      </c>
      <c r="AA11" s="483" cm="1">
        <f t="array" aca="1" ref="AA11" ca="1">SUMPRODUCT(AA$54:AA$113,TRANSPOSE(SAP_Speadsheet!$E$55:$BL$55))</f>
        <v>0</v>
      </c>
      <c r="AB11" s="483" cm="1">
        <f t="array" aca="1" ref="AB11" ca="1">SUMPRODUCT(AB$54:AB$113,TRANSPOSE(SAP_Speadsheet!$E$55:$BL$55))</f>
        <v>0</v>
      </c>
      <c r="AC11" s="483" cm="1">
        <f t="array" aca="1" ref="AC11" ca="1">SUMPRODUCT(AC$54:AC$113,TRANSPOSE(SAP_Speadsheet!$E$55:$BL$55))</f>
        <v>0</v>
      </c>
      <c r="AD11" s="483" cm="1">
        <f t="array" aca="1" ref="AD11" ca="1">SUMPRODUCT(AD$54:AD$113,TRANSPOSE(SAP_Speadsheet!$E$55:$BL$55))</f>
        <v>0</v>
      </c>
      <c r="AE11" s="483" cm="1">
        <f t="array" aca="1" ref="AE11" ca="1">SUMPRODUCT(AE$54:AE$113,TRANSPOSE(SAP_Speadsheet!$E$55:$BL$55))</f>
        <v>0</v>
      </c>
      <c r="AF11" s="483" cm="1">
        <f t="array" aca="1" ref="AF11" ca="1">SUMPRODUCT(AF$54:AF$113,TRANSPOSE(SAP_Speadsheet!$E$55:$BL$55))</f>
        <v>0</v>
      </c>
      <c r="AG11" s="483" cm="1">
        <f t="array" aca="1" ref="AG11" ca="1">SUMPRODUCT(AG$54:AG$113,TRANSPOSE(SAP_Speadsheet!$E$55:$BL$55))</f>
        <v>0</v>
      </c>
      <c r="AH11" s="483" cm="1">
        <f t="array" aca="1" ref="AH11" ca="1">SUMPRODUCT(AH$54:AH$113,TRANSPOSE(SAP_Speadsheet!$E$55:$BL$55))</f>
        <v>0</v>
      </c>
      <c r="AI11" s="483" cm="1">
        <f t="array" aca="1" ref="AI11" ca="1">SUMPRODUCT(AI$54:AI$113,TRANSPOSE(SAP_Speadsheet!$E$55:$BL$55))</f>
        <v>0</v>
      </c>
      <c r="AJ11" s="483" cm="1">
        <f t="array" aca="1" ref="AJ11" ca="1">SUMPRODUCT(AJ$54:AJ$113,TRANSPOSE(SAP_Speadsheet!$E$55:$BL$55))</f>
        <v>0</v>
      </c>
      <c r="AK11" s="483" cm="1">
        <f t="array" aca="1" ref="AK11" ca="1">SUMPRODUCT(AK$54:AK$113,TRANSPOSE(SAP_Speadsheet!$E$55:$BL$55))</f>
        <v>0</v>
      </c>
      <c r="AL11" s="483" cm="1">
        <f t="array" aca="1" ref="AL11" ca="1">SUMPRODUCT(AL$54:AL$113,TRANSPOSE(SAP_Speadsheet!$E$55:$BL$55))</f>
        <v>0</v>
      </c>
      <c r="AM11" s="483" cm="1">
        <f t="array" aca="1" ref="AM11" ca="1">SUMPRODUCT(AM$54:AM$113,TRANSPOSE(SAP_Speadsheet!$E$55:$BL$55))</f>
        <v>0</v>
      </c>
      <c r="AN11" s="483" cm="1">
        <f t="array" aca="1" ref="AN11" ca="1">SUMPRODUCT(AN$54:AN$113,TRANSPOSE(SAP_Speadsheet!$E$55:$BL$55))</f>
        <v>0</v>
      </c>
      <c r="AO11" s="483" cm="1">
        <f t="array" aca="1" ref="AO11" ca="1">SUMPRODUCT(AO$54:AO$113,TRANSPOSE(SAP_Speadsheet!$E$55:$BL$55))</f>
        <v>0</v>
      </c>
      <c r="AP11" s="483" cm="1">
        <f t="array" aca="1" ref="AP11" ca="1">SUMPRODUCT(AP$54:AP$113,TRANSPOSE(SAP_Speadsheet!$E$55:$BL$55))</f>
        <v>0</v>
      </c>
      <c r="AQ11" s="483" cm="1">
        <f t="array" aca="1" ref="AQ11" ca="1">SUMPRODUCT(AQ$54:AQ$113,TRANSPOSE(SAP_Speadsheet!$E$55:$BL$55))</f>
        <v>0</v>
      </c>
      <c r="AR11" s="483" cm="1">
        <f t="array" aca="1" ref="AR11" ca="1">SUMPRODUCT(AR$54:AR$113,TRANSPOSE(SAP_Speadsheet!$E$55:$BL$55))</f>
        <v>0</v>
      </c>
      <c r="AS11" s="483" cm="1">
        <f t="array" aca="1" ref="AS11" ca="1">SUMPRODUCT(AS$54:AS$113,TRANSPOSE(SAP_Speadsheet!$E$55:$BL$55))</f>
        <v>0</v>
      </c>
      <c r="AT11" s="483" cm="1">
        <f t="array" aca="1" ref="AT11" ca="1">SUMPRODUCT(AT$54:AT$113,TRANSPOSE(SAP_Speadsheet!$E$55:$BL$55))</f>
        <v>0</v>
      </c>
      <c r="AU11" s="483" cm="1">
        <f t="array" aca="1" ref="AU11" ca="1">SUMPRODUCT(AU$54:AU$113,TRANSPOSE(SAP_Speadsheet!$E$55:$BL$55))</f>
        <v>0</v>
      </c>
      <c r="AV11" s="483" cm="1">
        <f t="array" aca="1" ref="AV11" ca="1">SUMPRODUCT(AV$54:AV$113,TRANSPOSE(SAP_Speadsheet!$E$55:$BL$55))</f>
        <v>0</v>
      </c>
      <c r="AW11" s="483" cm="1">
        <f t="array" aca="1" ref="AW11" ca="1">SUMPRODUCT(AW$54:AW$113,TRANSPOSE(SAP_Speadsheet!$E$55:$BL$55))</f>
        <v>0</v>
      </c>
      <c r="AX11" s="483" cm="1">
        <f t="array" aca="1" ref="AX11" ca="1">SUMPRODUCT(AX$54:AX$113,TRANSPOSE(SAP_Speadsheet!$E$55:$BL$55))</f>
        <v>0</v>
      </c>
      <c r="AY11" s="483" cm="1">
        <f t="array" aca="1" ref="AY11" ca="1">SUMPRODUCT(AY$54:AY$113,TRANSPOSE(SAP_Speadsheet!$E$55:$BL$55))</f>
        <v>0</v>
      </c>
      <c r="AZ11" s="483" cm="1">
        <f t="array" aca="1" ref="AZ11" ca="1">SUMPRODUCT(AZ$54:AZ$113,TRANSPOSE(SAP_Speadsheet!$E$55:$BL$55))</f>
        <v>0</v>
      </c>
      <c r="BA11" s="483" cm="1">
        <f t="array" aca="1" ref="BA11" ca="1">SUMPRODUCT(BA$54:BA$113,TRANSPOSE(SAP_Speadsheet!$E$55:$BL$55))</f>
        <v>0</v>
      </c>
      <c r="BB11" s="483" cm="1">
        <f t="array" aca="1" ref="BB11" ca="1">SUMPRODUCT(BB$54:BB$113,TRANSPOSE(SAP_Speadsheet!$E$55:$BL$55))</f>
        <v>0</v>
      </c>
      <c r="BC11" s="483" cm="1">
        <f t="array" aca="1" ref="BC11" ca="1">SUMPRODUCT(BC$54:BC$113,TRANSPOSE(SAP_Speadsheet!$E$55:$BL$55))</f>
        <v>0</v>
      </c>
      <c r="BD11" s="483" cm="1">
        <f t="array" aca="1" ref="BD11" ca="1">SUMPRODUCT(BD$54:BD$113,TRANSPOSE(SAP_Speadsheet!$E$55:$BL$55))</f>
        <v>0</v>
      </c>
      <c r="BE11" s="483" cm="1">
        <f t="array" aca="1" ref="BE11" ca="1">SUMPRODUCT(BE$54:BE$113,TRANSPOSE(SAP_Speadsheet!$E$55:$BL$55))</f>
        <v>0</v>
      </c>
      <c r="BF11" s="483" cm="1">
        <f t="array" aca="1" ref="BF11" ca="1">SUMPRODUCT(BF$54:BF$113,TRANSPOSE(SAP_Speadsheet!$E$55:$BL$55))</f>
        <v>0</v>
      </c>
      <c r="BG11" s="483" cm="1">
        <f t="array" aca="1" ref="BG11" ca="1">SUMPRODUCT(BG$54:BG$113,TRANSPOSE(SAP_Speadsheet!$E$55:$BL$55))</f>
        <v>0</v>
      </c>
      <c r="BH11" s="483" cm="1">
        <f t="array" aca="1" ref="BH11" ca="1">SUMPRODUCT(BH$54:BH$113,TRANSPOSE(SAP_Speadsheet!$E$55:$BL$55))</f>
        <v>0</v>
      </c>
      <c r="BI11" s="483" cm="1">
        <f t="array" aca="1" ref="BI11" ca="1">SUMPRODUCT(BI$54:BI$113,TRANSPOSE(SAP_Speadsheet!$E$55:$BL$55))</f>
        <v>0</v>
      </c>
    </row>
    <row r="12" spans="1:61" x14ac:dyDescent="0.15">
      <c r="A12" s="487" t="s">
        <v>424</v>
      </c>
      <c r="B12" s="488" cm="1">
        <f t="array" aca="1" ref="B12" ca="1">SUMPRODUCT(B$54:B$113,TRANSPOSE(SAP_Speadsheet!$E$56:$BL$56))</f>
        <v>0</v>
      </c>
      <c r="C12" s="488" cm="1">
        <f t="array" aca="1" ref="C12" ca="1">SUMPRODUCT(C$54:C$113,TRANSPOSE(SAP_Speadsheet!$E$56:$BL$56))</f>
        <v>0</v>
      </c>
      <c r="D12" s="488" cm="1">
        <f t="array" aca="1" ref="D12" ca="1">SUMPRODUCT(D$54:D$113,TRANSPOSE(SAP_Speadsheet!$E$56:$BL$56))</f>
        <v>0</v>
      </c>
      <c r="E12" s="488" cm="1">
        <f t="array" aca="1" ref="E12" ca="1">SUMPRODUCT(E$54:E$113,TRANSPOSE(SAP_Speadsheet!$E$56:$BL$56))</f>
        <v>0</v>
      </c>
      <c r="F12" s="488" cm="1">
        <f t="array" aca="1" ref="F12" ca="1">SUMPRODUCT(F$54:F$113,TRANSPOSE(SAP_Speadsheet!$E$56:$BL$56))</f>
        <v>0</v>
      </c>
      <c r="G12" s="488" cm="1">
        <f t="array" aca="1" ref="G12" ca="1">SUMPRODUCT(G$54:G$113,TRANSPOSE(SAP_Speadsheet!$E$56:$BL$56))</f>
        <v>0</v>
      </c>
      <c r="H12" s="488" cm="1">
        <f t="array" aca="1" ref="H12" ca="1">SUMPRODUCT(H$54:H$113,TRANSPOSE(SAP_Speadsheet!$E$56:$BL$56))</f>
        <v>0</v>
      </c>
      <c r="I12" s="488" cm="1">
        <f t="array" aca="1" ref="I12" ca="1">SUMPRODUCT(I$54:I$113,TRANSPOSE(SAP_Speadsheet!$E$56:$BL$56))</f>
        <v>0</v>
      </c>
      <c r="J12" s="488" cm="1">
        <f t="array" aca="1" ref="J12" ca="1">SUMPRODUCT(J$54:J$113,TRANSPOSE(SAP_Speadsheet!$E$56:$BL$56))</f>
        <v>0</v>
      </c>
      <c r="K12" s="488" cm="1">
        <f t="array" aca="1" ref="K12" ca="1">SUMPRODUCT(K$54:K$113,TRANSPOSE(SAP_Speadsheet!$E$56:$BL$56))</f>
        <v>0</v>
      </c>
      <c r="L12" s="488" cm="1">
        <f t="array" aca="1" ref="L12" ca="1">SUMPRODUCT(L$54:L$113,TRANSPOSE(SAP_Speadsheet!$E$56:$BL$56))</f>
        <v>0</v>
      </c>
      <c r="M12" s="488" cm="1">
        <f t="array" aca="1" ref="M12" ca="1">SUMPRODUCT(M$54:M$113,TRANSPOSE(SAP_Speadsheet!$E$56:$BL$56))</f>
        <v>0</v>
      </c>
      <c r="N12" s="488" cm="1">
        <f t="array" aca="1" ref="N12" ca="1">SUMPRODUCT(N$54:N$113,TRANSPOSE(SAP_Speadsheet!$E$56:$BL$56))</f>
        <v>0</v>
      </c>
      <c r="O12" s="488" cm="1">
        <f t="array" aca="1" ref="O12" ca="1">SUMPRODUCT(O$54:O$113,TRANSPOSE(SAP_Speadsheet!$E$56:$BL$56))</f>
        <v>0</v>
      </c>
      <c r="P12" s="488" cm="1">
        <f t="array" aca="1" ref="P12" ca="1">SUMPRODUCT(P$54:P$113,TRANSPOSE(SAP_Speadsheet!$E$56:$BL$56))</f>
        <v>0</v>
      </c>
      <c r="Q12" s="488" cm="1">
        <f t="array" aca="1" ref="Q12" ca="1">SUMPRODUCT(Q$54:Q$113,TRANSPOSE(SAP_Speadsheet!$E$56:$BL$56))</f>
        <v>0</v>
      </c>
      <c r="R12" s="488" cm="1">
        <f t="array" aca="1" ref="R12" ca="1">SUMPRODUCT(R$54:R$113,TRANSPOSE(SAP_Speadsheet!$E$56:$BL$56))</f>
        <v>0</v>
      </c>
      <c r="S12" s="488" cm="1">
        <f t="array" aca="1" ref="S12" ca="1">SUMPRODUCT(S$54:S$113,TRANSPOSE(SAP_Speadsheet!$E$56:$BL$56))</f>
        <v>0</v>
      </c>
      <c r="T12" s="488" cm="1">
        <f t="array" aca="1" ref="T12" ca="1">SUMPRODUCT(T$54:T$113,TRANSPOSE(SAP_Speadsheet!$E$56:$BL$56))</f>
        <v>0</v>
      </c>
      <c r="U12" s="488" cm="1">
        <f t="array" aca="1" ref="U12" ca="1">SUMPRODUCT(U$54:U$113,TRANSPOSE(SAP_Speadsheet!$E$56:$BL$56))</f>
        <v>0</v>
      </c>
      <c r="V12" s="488" cm="1">
        <f t="array" aca="1" ref="V12" ca="1">SUMPRODUCT(V$54:V$113,TRANSPOSE(SAP_Speadsheet!$E$56:$BL$56))</f>
        <v>0</v>
      </c>
      <c r="W12" s="488" cm="1">
        <f t="array" aca="1" ref="W12" ca="1">SUMPRODUCT(W$54:W$113,TRANSPOSE(SAP_Speadsheet!$E$56:$BL$56))</f>
        <v>0</v>
      </c>
      <c r="X12" s="488" cm="1">
        <f t="array" aca="1" ref="X12" ca="1">SUMPRODUCT(X$54:X$113,TRANSPOSE(SAP_Speadsheet!$E$56:$BL$56))</f>
        <v>0</v>
      </c>
      <c r="Y12" s="488" cm="1">
        <f t="array" aca="1" ref="Y12" ca="1">SUMPRODUCT(Y$54:Y$113,TRANSPOSE(SAP_Speadsheet!$E$56:$BL$56))</f>
        <v>0</v>
      </c>
      <c r="Z12" s="488" cm="1">
        <f t="array" aca="1" ref="Z12" ca="1">SUMPRODUCT(Z$54:Z$113,TRANSPOSE(SAP_Speadsheet!$E$56:$BL$56))</f>
        <v>0</v>
      </c>
      <c r="AA12" s="488" cm="1">
        <f t="array" aca="1" ref="AA12" ca="1">SUMPRODUCT(AA$54:AA$113,TRANSPOSE(SAP_Speadsheet!$E$56:$BL$56))</f>
        <v>0</v>
      </c>
      <c r="AB12" s="488" cm="1">
        <f t="array" aca="1" ref="AB12" ca="1">SUMPRODUCT(AB$54:AB$113,TRANSPOSE(SAP_Speadsheet!$E$56:$BL$56))</f>
        <v>0</v>
      </c>
      <c r="AC12" s="488" cm="1">
        <f t="array" aca="1" ref="AC12" ca="1">SUMPRODUCT(AC$54:AC$113,TRANSPOSE(SAP_Speadsheet!$E$56:$BL$56))</f>
        <v>0</v>
      </c>
      <c r="AD12" s="488" cm="1">
        <f t="array" aca="1" ref="AD12" ca="1">SUMPRODUCT(AD$54:AD$113,TRANSPOSE(SAP_Speadsheet!$E$56:$BL$56))</f>
        <v>0</v>
      </c>
      <c r="AE12" s="488" cm="1">
        <f t="array" aca="1" ref="AE12" ca="1">SUMPRODUCT(AE$54:AE$113,TRANSPOSE(SAP_Speadsheet!$E$56:$BL$56))</f>
        <v>0</v>
      </c>
      <c r="AF12" s="488" cm="1">
        <f t="array" aca="1" ref="AF12" ca="1">SUMPRODUCT(AF$54:AF$113,TRANSPOSE(SAP_Speadsheet!$E$56:$BL$56))</f>
        <v>0</v>
      </c>
      <c r="AG12" s="488" cm="1">
        <f t="array" aca="1" ref="AG12" ca="1">SUMPRODUCT(AG$54:AG$113,TRANSPOSE(SAP_Speadsheet!$E$56:$BL$56))</f>
        <v>0</v>
      </c>
      <c r="AH12" s="488" cm="1">
        <f t="array" aca="1" ref="AH12" ca="1">SUMPRODUCT(AH$54:AH$113,TRANSPOSE(SAP_Speadsheet!$E$56:$BL$56))</f>
        <v>0</v>
      </c>
      <c r="AI12" s="488" cm="1">
        <f t="array" aca="1" ref="AI12" ca="1">SUMPRODUCT(AI$54:AI$113,TRANSPOSE(SAP_Speadsheet!$E$56:$BL$56))</f>
        <v>0</v>
      </c>
      <c r="AJ12" s="488" cm="1">
        <f t="array" aca="1" ref="AJ12" ca="1">SUMPRODUCT(AJ$54:AJ$113,TRANSPOSE(SAP_Speadsheet!$E$56:$BL$56))</f>
        <v>0</v>
      </c>
      <c r="AK12" s="488" cm="1">
        <f t="array" aca="1" ref="AK12" ca="1">SUMPRODUCT(AK$54:AK$113,TRANSPOSE(SAP_Speadsheet!$E$56:$BL$56))</f>
        <v>0</v>
      </c>
      <c r="AL12" s="488" cm="1">
        <f t="array" aca="1" ref="AL12" ca="1">SUMPRODUCT(AL$54:AL$113,TRANSPOSE(SAP_Speadsheet!$E$56:$BL$56))</f>
        <v>0</v>
      </c>
      <c r="AM12" s="488" cm="1">
        <f t="array" aca="1" ref="AM12" ca="1">SUMPRODUCT(AM$54:AM$113,TRANSPOSE(SAP_Speadsheet!$E$56:$BL$56))</f>
        <v>0</v>
      </c>
      <c r="AN12" s="488" cm="1">
        <f t="array" aca="1" ref="AN12" ca="1">SUMPRODUCT(AN$54:AN$113,TRANSPOSE(SAP_Speadsheet!$E$56:$BL$56))</f>
        <v>0</v>
      </c>
      <c r="AO12" s="488" cm="1">
        <f t="array" aca="1" ref="AO12" ca="1">SUMPRODUCT(AO$54:AO$113,TRANSPOSE(SAP_Speadsheet!$E$56:$BL$56))</f>
        <v>0</v>
      </c>
      <c r="AP12" s="488" cm="1">
        <f t="array" aca="1" ref="AP12" ca="1">SUMPRODUCT(AP$54:AP$113,TRANSPOSE(SAP_Speadsheet!$E$56:$BL$56))</f>
        <v>0</v>
      </c>
      <c r="AQ12" s="488" cm="1">
        <f t="array" aca="1" ref="AQ12" ca="1">SUMPRODUCT(AQ$54:AQ$113,TRANSPOSE(SAP_Speadsheet!$E$56:$BL$56))</f>
        <v>0</v>
      </c>
      <c r="AR12" s="488" cm="1">
        <f t="array" aca="1" ref="AR12" ca="1">SUMPRODUCT(AR$54:AR$113,TRANSPOSE(SAP_Speadsheet!$E$56:$BL$56))</f>
        <v>0</v>
      </c>
      <c r="AS12" s="488" cm="1">
        <f t="array" aca="1" ref="AS12" ca="1">SUMPRODUCT(AS$54:AS$113,TRANSPOSE(SAP_Speadsheet!$E$56:$BL$56))</f>
        <v>0</v>
      </c>
      <c r="AT12" s="488" cm="1">
        <f t="array" aca="1" ref="AT12" ca="1">SUMPRODUCT(AT$54:AT$113,TRANSPOSE(SAP_Speadsheet!$E$56:$BL$56))</f>
        <v>0</v>
      </c>
      <c r="AU12" s="488" cm="1">
        <f t="array" aca="1" ref="AU12" ca="1">SUMPRODUCT(AU$54:AU$113,TRANSPOSE(SAP_Speadsheet!$E$56:$BL$56))</f>
        <v>0</v>
      </c>
      <c r="AV12" s="488" cm="1">
        <f t="array" aca="1" ref="AV12" ca="1">SUMPRODUCT(AV$54:AV$113,TRANSPOSE(SAP_Speadsheet!$E$56:$BL$56))</f>
        <v>0</v>
      </c>
      <c r="AW12" s="488" cm="1">
        <f t="array" aca="1" ref="AW12" ca="1">SUMPRODUCT(AW$54:AW$113,TRANSPOSE(SAP_Speadsheet!$E$56:$BL$56))</f>
        <v>0</v>
      </c>
      <c r="AX12" s="488" cm="1">
        <f t="array" aca="1" ref="AX12" ca="1">SUMPRODUCT(AX$54:AX$113,TRANSPOSE(SAP_Speadsheet!$E$56:$BL$56))</f>
        <v>0</v>
      </c>
      <c r="AY12" s="488" cm="1">
        <f t="array" aca="1" ref="AY12" ca="1">SUMPRODUCT(AY$54:AY$113,TRANSPOSE(SAP_Speadsheet!$E$56:$BL$56))</f>
        <v>0</v>
      </c>
      <c r="AZ12" s="488" cm="1">
        <f t="array" aca="1" ref="AZ12" ca="1">SUMPRODUCT(AZ$54:AZ$113,TRANSPOSE(SAP_Speadsheet!$E$56:$BL$56))</f>
        <v>0</v>
      </c>
      <c r="BA12" s="488" cm="1">
        <f t="array" aca="1" ref="BA12" ca="1">SUMPRODUCT(BA$54:BA$113,TRANSPOSE(SAP_Speadsheet!$E$56:$BL$56))</f>
        <v>0</v>
      </c>
      <c r="BB12" s="488" cm="1">
        <f t="array" aca="1" ref="BB12" ca="1">SUMPRODUCT(BB$54:BB$113,TRANSPOSE(SAP_Speadsheet!$E$56:$BL$56))</f>
        <v>0</v>
      </c>
      <c r="BC12" s="488" cm="1">
        <f t="array" aca="1" ref="BC12" ca="1">SUMPRODUCT(BC$54:BC$113,TRANSPOSE(SAP_Speadsheet!$E$56:$BL$56))</f>
        <v>0</v>
      </c>
      <c r="BD12" s="488" cm="1">
        <f t="array" aca="1" ref="BD12" ca="1">SUMPRODUCT(BD$54:BD$113,TRANSPOSE(SAP_Speadsheet!$E$56:$BL$56))</f>
        <v>0</v>
      </c>
      <c r="BE12" s="488" cm="1">
        <f t="array" aca="1" ref="BE12" ca="1">SUMPRODUCT(BE$54:BE$113,TRANSPOSE(SAP_Speadsheet!$E$56:$BL$56))</f>
        <v>0</v>
      </c>
      <c r="BF12" s="488" cm="1">
        <f t="array" aca="1" ref="BF12" ca="1">SUMPRODUCT(BF$54:BF$113,TRANSPOSE(SAP_Speadsheet!$E$56:$BL$56))</f>
        <v>0</v>
      </c>
      <c r="BG12" s="488" cm="1">
        <f t="array" aca="1" ref="BG12" ca="1">SUMPRODUCT(BG$54:BG$113,TRANSPOSE(SAP_Speadsheet!$E$56:$BL$56))</f>
        <v>0</v>
      </c>
      <c r="BH12" s="488" cm="1">
        <f t="array" aca="1" ref="BH12" ca="1">SUMPRODUCT(BH$54:BH$113,TRANSPOSE(SAP_Speadsheet!$E$56:$BL$56))</f>
        <v>0</v>
      </c>
      <c r="BI12" s="488" cm="1">
        <f t="array" aca="1" ref="BI12" ca="1">SUMPRODUCT(BI$54:BI$113,TRANSPOSE(SAP_Speadsheet!$E$56:$BL$56))</f>
        <v>0</v>
      </c>
    </row>
    <row r="13" spans="1:61" x14ac:dyDescent="0.15">
      <c r="A13" s="487" t="s">
        <v>425</v>
      </c>
      <c r="B13" s="488" cm="1">
        <f t="array" aca="1" ref="B13" ca="1">SUMPRODUCT(B$54:B$113,TRANSPOSE(SAP_Speadsheet!$E$57:$BL$57))</f>
        <v>0</v>
      </c>
      <c r="C13" s="488" cm="1">
        <f t="array" aca="1" ref="C13" ca="1">SUMPRODUCT(C$54:C$113,TRANSPOSE(SAP_Speadsheet!$E$57:$BL$57))</f>
        <v>0</v>
      </c>
      <c r="D13" s="488" cm="1">
        <f t="array" aca="1" ref="D13" ca="1">SUMPRODUCT(D$54:D$113,TRANSPOSE(SAP_Speadsheet!$E$57:$BL$57))</f>
        <v>0</v>
      </c>
      <c r="E13" s="488" cm="1">
        <f t="array" aca="1" ref="E13" ca="1">SUMPRODUCT(E$54:E$113,TRANSPOSE(SAP_Speadsheet!$E$57:$BL$57))</f>
        <v>0</v>
      </c>
      <c r="F13" s="488" cm="1">
        <f t="array" aca="1" ref="F13" ca="1">SUMPRODUCT(F$54:F$113,TRANSPOSE(SAP_Speadsheet!$E$57:$BL$57))</f>
        <v>0</v>
      </c>
      <c r="G13" s="488" cm="1">
        <f t="array" aca="1" ref="G13" ca="1">SUMPRODUCT(G$54:G$113,TRANSPOSE(SAP_Speadsheet!$E$57:$BL$57))</f>
        <v>0</v>
      </c>
      <c r="H13" s="488" cm="1">
        <f t="array" aca="1" ref="H13" ca="1">SUMPRODUCT(H$54:H$113,TRANSPOSE(SAP_Speadsheet!$E$57:$BL$57))</f>
        <v>0</v>
      </c>
      <c r="I13" s="488" cm="1">
        <f t="array" aca="1" ref="I13" ca="1">SUMPRODUCT(I$54:I$113,TRANSPOSE(SAP_Speadsheet!$E$57:$BL$57))</f>
        <v>0</v>
      </c>
      <c r="J13" s="488" cm="1">
        <f t="array" aca="1" ref="J13" ca="1">SUMPRODUCT(J$54:J$113,TRANSPOSE(SAP_Speadsheet!$E$57:$BL$57))</f>
        <v>0</v>
      </c>
      <c r="K13" s="488" cm="1">
        <f t="array" aca="1" ref="K13" ca="1">SUMPRODUCT(K$54:K$113,TRANSPOSE(SAP_Speadsheet!$E$57:$BL$57))</f>
        <v>0</v>
      </c>
      <c r="L13" s="488" cm="1">
        <f t="array" aca="1" ref="L13" ca="1">SUMPRODUCT(L$54:L$113,TRANSPOSE(SAP_Speadsheet!$E$57:$BL$57))</f>
        <v>0</v>
      </c>
      <c r="M13" s="488" cm="1">
        <f t="array" aca="1" ref="M13" ca="1">SUMPRODUCT(M$54:M$113,TRANSPOSE(SAP_Speadsheet!$E$57:$BL$57))</f>
        <v>0</v>
      </c>
      <c r="N13" s="488" cm="1">
        <f t="array" aca="1" ref="N13" ca="1">SUMPRODUCT(N$54:N$113,TRANSPOSE(SAP_Speadsheet!$E$57:$BL$57))</f>
        <v>0</v>
      </c>
      <c r="O13" s="488" cm="1">
        <f t="array" aca="1" ref="O13" ca="1">SUMPRODUCT(O$54:O$113,TRANSPOSE(SAP_Speadsheet!$E$57:$BL$57))</f>
        <v>0</v>
      </c>
      <c r="P13" s="488" cm="1">
        <f t="array" aca="1" ref="P13" ca="1">SUMPRODUCT(P$54:P$113,TRANSPOSE(SAP_Speadsheet!$E$57:$BL$57))</f>
        <v>0</v>
      </c>
      <c r="Q13" s="488" cm="1">
        <f t="array" aca="1" ref="Q13" ca="1">SUMPRODUCT(Q$54:Q$113,TRANSPOSE(SAP_Speadsheet!$E$57:$BL$57))</f>
        <v>0</v>
      </c>
      <c r="R13" s="488" cm="1">
        <f t="array" aca="1" ref="R13" ca="1">SUMPRODUCT(R$54:R$113,TRANSPOSE(SAP_Speadsheet!$E$57:$BL$57))</f>
        <v>0</v>
      </c>
      <c r="S13" s="488" cm="1">
        <f t="array" aca="1" ref="S13" ca="1">SUMPRODUCT(S$54:S$113,TRANSPOSE(SAP_Speadsheet!$E$57:$BL$57))</f>
        <v>0</v>
      </c>
      <c r="T13" s="488" cm="1">
        <f t="array" aca="1" ref="T13" ca="1">SUMPRODUCT(T$54:T$113,TRANSPOSE(SAP_Speadsheet!$E$57:$BL$57))</f>
        <v>0</v>
      </c>
      <c r="U13" s="488" cm="1">
        <f t="array" aca="1" ref="U13" ca="1">SUMPRODUCT(U$54:U$113,TRANSPOSE(SAP_Speadsheet!$E$57:$BL$57))</f>
        <v>0</v>
      </c>
      <c r="V13" s="488" cm="1">
        <f t="array" aca="1" ref="V13" ca="1">SUMPRODUCT(V$54:V$113,TRANSPOSE(SAP_Speadsheet!$E$57:$BL$57))</f>
        <v>0</v>
      </c>
      <c r="W13" s="488" cm="1">
        <f t="array" aca="1" ref="W13" ca="1">SUMPRODUCT(W$54:W$113,TRANSPOSE(SAP_Speadsheet!$E$57:$BL$57))</f>
        <v>0</v>
      </c>
      <c r="X13" s="488" cm="1">
        <f t="array" aca="1" ref="X13" ca="1">SUMPRODUCT(X$54:X$113,TRANSPOSE(SAP_Speadsheet!$E$57:$BL$57))</f>
        <v>0</v>
      </c>
      <c r="Y13" s="488" cm="1">
        <f t="array" aca="1" ref="Y13" ca="1">SUMPRODUCT(Y$54:Y$113,TRANSPOSE(SAP_Speadsheet!$E$57:$BL$57))</f>
        <v>0</v>
      </c>
      <c r="Z13" s="488" cm="1">
        <f t="array" aca="1" ref="Z13" ca="1">SUMPRODUCT(Z$54:Z$113,TRANSPOSE(SAP_Speadsheet!$E$57:$BL$57))</f>
        <v>0</v>
      </c>
      <c r="AA13" s="488" cm="1">
        <f t="array" aca="1" ref="AA13" ca="1">SUMPRODUCT(AA$54:AA$113,TRANSPOSE(SAP_Speadsheet!$E$57:$BL$57))</f>
        <v>0</v>
      </c>
      <c r="AB13" s="488" cm="1">
        <f t="array" aca="1" ref="AB13" ca="1">SUMPRODUCT(AB$54:AB$113,TRANSPOSE(SAP_Speadsheet!$E$57:$BL$57))</f>
        <v>0</v>
      </c>
      <c r="AC13" s="488" cm="1">
        <f t="array" aca="1" ref="AC13" ca="1">SUMPRODUCT(AC$54:AC$113,TRANSPOSE(SAP_Speadsheet!$E$57:$BL$57))</f>
        <v>0</v>
      </c>
      <c r="AD13" s="488" cm="1">
        <f t="array" aca="1" ref="AD13" ca="1">SUMPRODUCT(AD$54:AD$113,TRANSPOSE(SAP_Speadsheet!$E$57:$BL$57))</f>
        <v>0</v>
      </c>
      <c r="AE13" s="488" cm="1">
        <f t="array" aca="1" ref="AE13" ca="1">SUMPRODUCT(AE$54:AE$113,TRANSPOSE(SAP_Speadsheet!$E$57:$BL$57))</f>
        <v>0</v>
      </c>
      <c r="AF13" s="488" cm="1">
        <f t="array" aca="1" ref="AF13" ca="1">SUMPRODUCT(AF$54:AF$113,TRANSPOSE(SAP_Speadsheet!$E$57:$BL$57))</f>
        <v>0</v>
      </c>
      <c r="AG13" s="488" cm="1">
        <f t="array" aca="1" ref="AG13" ca="1">SUMPRODUCT(AG$54:AG$113,TRANSPOSE(SAP_Speadsheet!$E$57:$BL$57))</f>
        <v>0</v>
      </c>
      <c r="AH13" s="488" cm="1">
        <f t="array" aca="1" ref="AH13" ca="1">SUMPRODUCT(AH$54:AH$113,TRANSPOSE(SAP_Speadsheet!$E$57:$BL$57))</f>
        <v>0</v>
      </c>
      <c r="AI13" s="488" cm="1">
        <f t="array" aca="1" ref="AI13" ca="1">SUMPRODUCT(AI$54:AI$113,TRANSPOSE(SAP_Speadsheet!$E$57:$BL$57))</f>
        <v>0</v>
      </c>
      <c r="AJ13" s="488" cm="1">
        <f t="array" aca="1" ref="AJ13" ca="1">SUMPRODUCT(AJ$54:AJ$113,TRANSPOSE(SAP_Speadsheet!$E$57:$BL$57))</f>
        <v>0</v>
      </c>
      <c r="AK13" s="488" cm="1">
        <f t="array" aca="1" ref="AK13" ca="1">SUMPRODUCT(AK$54:AK$113,TRANSPOSE(SAP_Speadsheet!$E$57:$BL$57))</f>
        <v>0</v>
      </c>
      <c r="AL13" s="488" cm="1">
        <f t="array" aca="1" ref="AL13" ca="1">SUMPRODUCT(AL$54:AL$113,TRANSPOSE(SAP_Speadsheet!$E$57:$BL$57))</f>
        <v>0</v>
      </c>
      <c r="AM13" s="488" cm="1">
        <f t="array" aca="1" ref="AM13" ca="1">SUMPRODUCT(AM$54:AM$113,TRANSPOSE(SAP_Speadsheet!$E$57:$BL$57))</f>
        <v>0</v>
      </c>
      <c r="AN13" s="488" cm="1">
        <f t="array" aca="1" ref="AN13" ca="1">SUMPRODUCT(AN$54:AN$113,TRANSPOSE(SAP_Speadsheet!$E$57:$BL$57))</f>
        <v>0</v>
      </c>
      <c r="AO13" s="488" cm="1">
        <f t="array" aca="1" ref="AO13" ca="1">SUMPRODUCT(AO$54:AO$113,TRANSPOSE(SAP_Speadsheet!$E$57:$BL$57))</f>
        <v>0</v>
      </c>
      <c r="AP13" s="488" cm="1">
        <f t="array" aca="1" ref="AP13" ca="1">SUMPRODUCT(AP$54:AP$113,TRANSPOSE(SAP_Speadsheet!$E$57:$BL$57))</f>
        <v>0</v>
      </c>
      <c r="AQ13" s="488" cm="1">
        <f t="array" aca="1" ref="AQ13" ca="1">SUMPRODUCT(AQ$54:AQ$113,TRANSPOSE(SAP_Speadsheet!$E$57:$BL$57))</f>
        <v>0</v>
      </c>
      <c r="AR13" s="488" cm="1">
        <f t="array" aca="1" ref="AR13" ca="1">SUMPRODUCT(AR$54:AR$113,TRANSPOSE(SAP_Speadsheet!$E$57:$BL$57))</f>
        <v>0</v>
      </c>
      <c r="AS13" s="488" cm="1">
        <f t="array" aca="1" ref="AS13" ca="1">SUMPRODUCT(AS$54:AS$113,TRANSPOSE(SAP_Speadsheet!$E$57:$BL$57))</f>
        <v>0</v>
      </c>
      <c r="AT13" s="488" cm="1">
        <f t="array" aca="1" ref="AT13" ca="1">SUMPRODUCT(AT$54:AT$113,TRANSPOSE(SAP_Speadsheet!$E$57:$BL$57))</f>
        <v>0</v>
      </c>
      <c r="AU13" s="488" cm="1">
        <f t="array" aca="1" ref="AU13" ca="1">SUMPRODUCT(AU$54:AU$113,TRANSPOSE(SAP_Speadsheet!$E$57:$BL$57))</f>
        <v>0</v>
      </c>
      <c r="AV13" s="488" cm="1">
        <f t="array" aca="1" ref="AV13" ca="1">SUMPRODUCT(AV$54:AV$113,TRANSPOSE(SAP_Speadsheet!$E$57:$BL$57))</f>
        <v>0</v>
      </c>
      <c r="AW13" s="488" cm="1">
        <f t="array" aca="1" ref="AW13" ca="1">SUMPRODUCT(AW$54:AW$113,TRANSPOSE(SAP_Speadsheet!$E$57:$BL$57))</f>
        <v>0</v>
      </c>
      <c r="AX13" s="488" cm="1">
        <f t="array" aca="1" ref="AX13" ca="1">SUMPRODUCT(AX$54:AX$113,TRANSPOSE(SAP_Speadsheet!$E$57:$BL$57))</f>
        <v>0</v>
      </c>
      <c r="AY13" s="488" cm="1">
        <f t="array" aca="1" ref="AY13" ca="1">SUMPRODUCT(AY$54:AY$113,TRANSPOSE(SAP_Speadsheet!$E$57:$BL$57))</f>
        <v>0</v>
      </c>
      <c r="AZ13" s="488" cm="1">
        <f t="array" aca="1" ref="AZ13" ca="1">SUMPRODUCT(AZ$54:AZ$113,TRANSPOSE(SAP_Speadsheet!$E$57:$BL$57))</f>
        <v>0</v>
      </c>
      <c r="BA13" s="488" cm="1">
        <f t="array" aca="1" ref="BA13" ca="1">SUMPRODUCT(BA$54:BA$113,TRANSPOSE(SAP_Speadsheet!$E$57:$BL$57))</f>
        <v>0</v>
      </c>
      <c r="BB13" s="488" cm="1">
        <f t="array" aca="1" ref="BB13" ca="1">SUMPRODUCT(BB$54:BB$113,TRANSPOSE(SAP_Speadsheet!$E$57:$BL$57))</f>
        <v>0</v>
      </c>
      <c r="BC13" s="488" cm="1">
        <f t="array" aca="1" ref="BC13" ca="1">SUMPRODUCT(BC$54:BC$113,TRANSPOSE(SAP_Speadsheet!$E$57:$BL$57))</f>
        <v>0</v>
      </c>
      <c r="BD13" s="488" cm="1">
        <f t="array" aca="1" ref="BD13" ca="1">SUMPRODUCT(BD$54:BD$113,TRANSPOSE(SAP_Speadsheet!$E$57:$BL$57))</f>
        <v>0</v>
      </c>
      <c r="BE13" s="488" cm="1">
        <f t="array" aca="1" ref="BE13" ca="1">SUMPRODUCT(BE$54:BE$113,TRANSPOSE(SAP_Speadsheet!$E$57:$BL$57))</f>
        <v>0</v>
      </c>
      <c r="BF13" s="488" cm="1">
        <f t="array" aca="1" ref="BF13" ca="1">SUMPRODUCT(BF$54:BF$113,TRANSPOSE(SAP_Speadsheet!$E$57:$BL$57))</f>
        <v>0</v>
      </c>
      <c r="BG13" s="488" cm="1">
        <f t="array" aca="1" ref="BG13" ca="1">SUMPRODUCT(BG$54:BG$113,TRANSPOSE(SAP_Speadsheet!$E$57:$BL$57))</f>
        <v>0</v>
      </c>
      <c r="BH13" s="488" cm="1">
        <f t="array" aca="1" ref="BH13" ca="1">SUMPRODUCT(BH$54:BH$113,TRANSPOSE(SAP_Speadsheet!$E$57:$BL$57))</f>
        <v>0</v>
      </c>
      <c r="BI13" s="488" cm="1">
        <f t="array" aca="1" ref="BI13" ca="1">SUMPRODUCT(BI$54:BI$113,TRANSPOSE(SAP_Speadsheet!$E$57:$BL$57))</f>
        <v>0</v>
      </c>
    </row>
    <row r="14" spans="1:61" x14ac:dyDescent="0.15">
      <c r="A14" s="476" t="s">
        <v>265</v>
      </c>
      <c r="B14" s="483" cm="1">
        <f t="array" aca="1" ref="B14" ca="1">SUMPRODUCT(B$54:B$113,TRANSPOSE(SAP_Speadsheet!$E$59:$BL$59))</f>
        <v>0</v>
      </c>
      <c r="C14" s="483" cm="1">
        <f t="array" aca="1" ref="C14" ca="1">SUMPRODUCT(C$54:C$113,TRANSPOSE(SAP_Speadsheet!$E$59:$BL$59))</f>
        <v>0</v>
      </c>
      <c r="D14" s="483" cm="1">
        <f t="array" aca="1" ref="D14" ca="1">SUMPRODUCT(D$54:D$113,TRANSPOSE(SAP_Speadsheet!$E$59:$BL$59))</f>
        <v>0</v>
      </c>
      <c r="E14" s="483" cm="1">
        <f t="array" aca="1" ref="E14" ca="1">SUMPRODUCT(E$54:E$113,TRANSPOSE(SAP_Speadsheet!$E$59:$BL$59))</f>
        <v>0</v>
      </c>
      <c r="F14" s="483" cm="1">
        <f t="array" aca="1" ref="F14" ca="1">SUMPRODUCT(F$54:F$113,TRANSPOSE(SAP_Speadsheet!$E$59:$BL$59))</f>
        <v>0</v>
      </c>
      <c r="G14" s="483" cm="1">
        <f t="array" aca="1" ref="G14" ca="1">SUMPRODUCT(G$54:G$113,TRANSPOSE(SAP_Speadsheet!$E$59:$BL$59))</f>
        <v>0</v>
      </c>
      <c r="H14" s="483" cm="1">
        <f t="array" aca="1" ref="H14" ca="1">SUMPRODUCT(H$54:H$113,TRANSPOSE(SAP_Speadsheet!$E$59:$BL$59))</f>
        <v>0</v>
      </c>
      <c r="I14" s="483" cm="1">
        <f t="array" aca="1" ref="I14" ca="1">SUMPRODUCT(I$54:I$113,TRANSPOSE(SAP_Speadsheet!$E$59:$BL$59))</f>
        <v>0</v>
      </c>
      <c r="J14" s="483" cm="1">
        <f t="array" aca="1" ref="J14" ca="1">SUMPRODUCT(J$54:J$113,TRANSPOSE(SAP_Speadsheet!$E$59:$BL$59))</f>
        <v>0</v>
      </c>
      <c r="K14" s="483" cm="1">
        <f t="array" aca="1" ref="K14" ca="1">SUMPRODUCT(K$54:K$113,TRANSPOSE(SAP_Speadsheet!$E$59:$BL$59))</f>
        <v>0</v>
      </c>
      <c r="L14" s="483" cm="1">
        <f t="array" aca="1" ref="L14" ca="1">SUMPRODUCT(L$54:L$113,TRANSPOSE(SAP_Speadsheet!$E$59:$BL$59))</f>
        <v>0</v>
      </c>
      <c r="M14" s="483" cm="1">
        <f t="array" aca="1" ref="M14" ca="1">SUMPRODUCT(M$54:M$113,TRANSPOSE(SAP_Speadsheet!$E$59:$BL$59))</f>
        <v>0</v>
      </c>
      <c r="N14" s="483" cm="1">
        <f t="array" aca="1" ref="N14" ca="1">SUMPRODUCT(N$54:N$113,TRANSPOSE(SAP_Speadsheet!$E$59:$BL$59))</f>
        <v>0</v>
      </c>
      <c r="O14" s="483" cm="1">
        <f t="array" aca="1" ref="O14" ca="1">SUMPRODUCT(O$54:O$113,TRANSPOSE(SAP_Speadsheet!$E$59:$BL$59))</f>
        <v>0</v>
      </c>
      <c r="P14" s="483" cm="1">
        <f t="array" aca="1" ref="P14" ca="1">SUMPRODUCT(P$54:P$113,TRANSPOSE(SAP_Speadsheet!$E$59:$BL$59))</f>
        <v>0</v>
      </c>
      <c r="Q14" s="483" cm="1">
        <f t="array" aca="1" ref="Q14" ca="1">SUMPRODUCT(Q$54:Q$113,TRANSPOSE(SAP_Speadsheet!$E$59:$BL$59))</f>
        <v>0</v>
      </c>
      <c r="R14" s="483" cm="1">
        <f t="array" aca="1" ref="R14" ca="1">SUMPRODUCT(R$54:R$113,TRANSPOSE(SAP_Speadsheet!$E$59:$BL$59))</f>
        <v>0</v>
      </c>
      <c r="S14" s="483" cm="1">
        <f t="array" aca="1" ref="S14" ca="1">SUMPRODUCT(S$54:S$113,TRANSPOSE(SAP_Speadsheet!$E$59:$BL$59))</f>
        <v>0</v>
      </c>
      <c r="T14" s="483" cm="1">
        <f t="array" aca="1" ref="T14" ca="1">SUMPRODUCT(T$54:T$113,TRANSPOSE(SAP_Speadsheet!$E$59:$BL$59))</f>
        <v>0</v>
      </c>
      <c r="U14" s="483" cm="1">
        <f t="array" aca="1" ref="U14" ca="1">SUMPRODUCT(U$54:U$113,TRANSPOSE(SAP_Speadsheet!$E$59:$BL$59))</f>
        <v>0</v>
      </c>
      <c r="V14" s="483" cm="1">
        <f t="array" aca="1" ref="V14" ca="1">SUMPRODUCT(V$54:V$113,TRANSPOSE(SAP_Speadsheet!$E$59:$BL$59))</f>
        <v>0</v>
      </c>
      <c r="W14" s="483" cm="1">
        <f t="array" aca="1" ref="W14" ca="1">SUMPRODUCT(W$54:W$113,TRANSPOSE(SAP_Speadsheet!$E$59:$BL$59))</f>
        <v>0</v>
      </c>
      <c r="X14" s="483" cm="1">
        <f t="array" aca="1" ref="X14" ca="1">SUMPRODUCT(X$54:X$113,TRANSPOSE(SAP_Speadsheet!$E$59:$BL$59))</f>
        <v>0</v>
      </c>
      <c r="Y14" s="483" cm="1">
        <f t="array" aca="1" ref="Y14" ca="1">SUMPRODUCT(Y$54:Y$113,TRANSPOSE(SAP_Speadsheet!$E$59:$BL$59))</f>
        <v>0</v>
      </c>
      <c r="Z14" s="483" cm="1">
        <f t="array" aca="1" ref="Z14" ca="1">SUMPRODUCT(Z$54:Z$113,TRANSPOSE(SAP_Speadsheet!$E$59:$BL$59))</f>
        <v>0</v>
      </c>
      <c r="AA14" s="483" cm="1">
        <f t="array" aca="1" ref="AA14" ca="1">SUMPRODUCT(AA$54:AA$113,TRANSPOSE(SAP_Speadsheet!$E$59:$BL$59))</f>
        <v>0</v>
      </c>
      <c r="AB14" s="483" cm="1">
        <f t="array" aca="1" ref="AB14" ca="1">SUMPRODUCT(AB$54:AB$113,TRANSPOSE(SAP_Speadsheet!$E$59:$BL$59))</f>
        <v>0</v>
      </c>
      <c r="AC14" s="483" cm="1">
        <f t="array" aca="1" ref="AC14" ca="1">SUMPRODUCT(AC$54:AC$113,TRANSPOSE(SAP_Speadsheet!$E$59:$BL$59))</f>
        <v>0</v>
      </c>
      <c r="AD14" s="483" cm="1">
        <f t="array" aca="1" ref="AD14" ca="1">SUMPRODUCT(AD$54:AD$113,TRANSPOSE(SAP_Speadsheet!$E$59:$BL$59))</f>
        <v>0</v>
      </c>
      <c r="AE14" s="483" cm="1">
        <f t="array" aca="1" ref="AE14" ca="1">SUMPRODUCT(AE$54:AE$113,TRANSPOSE(SAP_Speadsheet!$E$59:$BL$59))</f>
        <v>0</v>
      </c>
      <c r="AF14" s="483" cm="1">
        <f t="array" aca="1" ref="AF14" ca="1">SUMPRODUCT(AF$54:AF$113,TRANSPOSE(SAP_Speadsheet!$E$59:$BL$59))</f>
        <v>0</v>
      </c>
      <c r="AG14" s="483" cm="1">
        <f t="array" aca="1" ref="AG14" ca="1">SUMPRODUCT(AG$54:AG$113,TRANSPOSE(SAP_Speadsheet!$E$59:$BL$59))</f>
        <v>0</v>
      </c>
      <c r="AH14" s="483" cm="1">
        <f t="array" aca="1" ref="AH14" ca="1">SUMPRODUCT(AH$54:AH$113,TRANSPOSE(SAP_Speadsheet!$E$59:$BL$59))</f>
        <v>0</v>
      </c>
      <c r="AI14" s="483" cm="1">
        <f t="array" aca="1" ref="AI14" ca="1">SUMPRODUCT(AI$54:AI$113,TRANSPOSE(SAP_Speadsheet!$E$59:$BL$59))</f>
        <v>0</v>
      </c>
      <c r="AJ14" s="483" cm="1">
        <f t="array" aca="1" ref="AJ14" ca="1">SUMPRODUCT(AJ$54:AJ$113,TRANSPOSE(SAP_Speadsheet!$E$59:$BL$59))</f>
        <v>0</v>
      </c>
      <c r="AK14" s="483" cm="1">
        <f t="array" aca="1" ref="AK14" ca="1">SUMPRODUCT(AK$54:AK$113,TRANSPOSE(SAP_Speadsheet!$E$59:$BL$59))</f>
        <v>0</v>
      </c>
      <c r="AL14" s="483" cm="1">
        <f t="array" aca="1" ref="AL14" ca="1">SUMPRODUCT(AL$54:AL$113,TRANSPOSE(SAP_Speadsheet!$E$59:$BL$59))</f>
        <v>0</v>
      </c>
      <c r="AM14" s="483" cm="1">
        <f t="array" aca="1" ref="AM14" ca="1">SUMPRODUCT(AM$54:AM$113,TRANSPOSE(SAP_Speadsheet!$E$59:$BL$59))</f>
        <v>0</v>
      </c>
      <c r="AN14" s="483" cm="1">
        <f t="array" aca="1" ref="AN14" ca="1">SUMPRODUCT(AN$54:AN$113,TRANSPOSE(SAP_Speadsheet!$E$59:$BL$59))</f>
        <v>0</v>
      </c>
      <c r="AO14" s="483" cm="1">
        <f t="array" aca="1" ref="AO14" ca="1">SUMPRODUCT(AO$54:AO$113,TRANSPOSE(SAP_Speadsheet!$E$59:$BL$59))</f>
        <v>0</v>
      </c>
      <c r="AP14" s="483" cm="1">
        <f t="array" aca="1" ref="AP14" ca="1">SUMPRODUCT(AP$54:AP$113,TRANSPOSE(SAP_Speadsheet!$E$59:$BL$59))</f>
        <v>0</v>
      </c>
      <c r="AQ14" s="483" cm="1">
        <f t="array" aca="1" ref="AQ14" ca="1">SUMPRODUCT(AQ$54:AQ$113,TRANSPOSE(SAP_Speadsheet!$E$59:$BL$59))</f>
        <v>0</v>
      </c>
      <c r="AR14" s="483" cm="1">
        <f t="array" aca="1" ref="AR14" ca="1">SUMPRODUCT(AR$54:AR$113,TRANSPOSE(SAP_Speadsheet!$E$59:$BL$59))</f>
        <v>0</v>
      </c>
      <c r="AS14" s="483" cm="1">
        <f t="array" aca="1" ref="AS14" ca="1">SUMPRODUCT(AS$54:AS$113,TRANSPOSE(SAP_Speadsheet!$E$59:$BL$59))</f>
        <v>0</v>
      </c>
      <c r="AT14" s="483" cm="1">
        <f t="array" aca="1" ref="AT14" ca="1">SUMPRODUCT(AT$54:AT$113,TRANSPOSE(SAP_Speadsheet!$E$59:$BL$59))</f>
        <v>0</v>
      </c>
      <c r="AU14" s="483" cm="1">
        <f t="array" aca="1" ref="AU14" ca="1">SUMPRODUCT(AU$54:AU$113,TRANSPOSE(SAP_Speadsheet!$E$59:$BL$59))</f>
        <v>0</v>
      </c>
      <c r="AV14" s="483" cm="1">
        <f t="array" aca="1" ref="AV14" ca="1">SUMPRODUCT(AV$54:AV$113,TRANSPOSE(SAP_Speadsheet!$E$59:$BL$59))</f>
        <v>0</v>
      </c>
      <c r="AW14" s="483" cm="1">
        <f t="array" aca="1" ref="AW14" ca="1">SUMPRODUCT(AW$54:AW$113,TRANSPOSE(SAP_Speadsheet!$E$59:$BL$59))</f>
        <v>0</v>
      </c>
      <c r="AX14" s="483" cm="1">
        <f t="array" aca="1" ref="AX14" ca="1">SUMPRODUCT(AX$54:AX$113,TRANSPOSE(SAP_Speadsheet!$E$59:$BL$59))</f>
        <v>0</v>
      </c>
      <c r="AY14" s="483" cm="1">
        <f t="array" aca="1" ref="AY14" ca="1">SUMPRODUCT(AY$54:AY$113,TRANSPOSE(SAP_Speadsheet!$E$59:$BL$59))</f>
        <v>0</v>
      </c>
      <c r="AZ14" s="483" cm="1">
        <f t="array" aca="1" ref="AZ14" ca="1">SUMPRODUCT(AZ$54:AZ$113,TRANSPOSE(SAP_Speadsheet!$E$59:$BL$59))</f>
        <v>0</v>
      </c>
      <c r="BA14" s="483" cm="1">
        <f t="array" aca="1" ref="BA14" ca="1">SUMPRODUCT(BA$54:BA$113,TRANSPOSE(SAP_Speadsheet!$E$59:$BL$59))</f>
        <v>0</v>
      </c>
      <c r="BB14" s="483" cm="1">
        <f t="array" aca="1" ref="BB14" ca="1">SUMPRODUCT(BB$54:BB$113,TRANSPOSE(SAP_Speadsheet!$E$59:$BL$59))</f>
        <v>0</v>
      </c>
      <c r="BC14" s="483" cm="1">
        <f t="array" aca="1" ref="BC14" ca="1">SUMPRODUCT(BC$54:BC$113,TRANSPOSE(SAP_Speadsheet!$E$59:$BL$59))</f>
        <v>0</v>
      </c>
      <c r="BD14" s="483" cm="1">
        <f t="array" aca="1" ref="BD14" ca="1">SUMPRODUCT(BD$54:BD$113,TRANSPOSE(SAP_Speadsheet!$E$59:$BL$59))</f>
        <v>0</v>
      </c>
      <c r="BE14" s="483" cm="1">
        <f t="array" aca="1" ref="BE14" ca="1">SUMPRODUCT(BE$54:BE$113,TRANSPOSE(SAP_Speadsheet!$E$59:$BL$59))</f>
        <v>0</v>
      </c>
      <c r="BF14" s="483" cm="1">
        <f t="array" aca="1" ref="BF14" ca="1">SUMPRODUCT(BF$54:BF$113,TRANSPOSE(SAP_Speadsheet!$E$59:$BL$59))</f>
        <v>0</v>
      </c>
      <c r="BG14" s="483" cm="1">
        <f t="array" aca="1" ref="BG14" ca="1">SUMPRODUCT(BG$54:BG$113,TRANSPOSE(SAP_Speadsheet!$E$59:$BL$59))</f>
        <v>0</v>
      </c>
      <c r="BH14" s="483" cm="1">
        <f t="array" aca="1" ref="BH14" ca="1">SUMPRODUCT(BH$54:BH$113,TRANSPOSE(SAP_Speadsheet!$E$59:$BL$59))</f>
        <v>0</v>
      </c>
      <c r="BI14" s="483" cm="1">
        <f t="array" aca="1" ref="BI14" ca="1">SUMPRODUCT(BI$54:BI$113,TRANSPOSE(SAP_Speadsheet!$E$59:$BL$59))</f>
        <v>0</v>
      </c>
    </row>
    <row r="15" spans="1:61" x14ac:dyDescent="0.15">
      <c r="A15" s="487" t="s">
        <v>266</v>
      </c>
      <c r="B15" s="488" cm="1">
        <f t="array" aca="1" ref="B15" ca="1">SUMPRODUCT(B$54:B$113,TRANSPOSE(SAP_Speadsheet!$E$60:$BL$60))</f>
        <v>0</v>
      </c>
      <c r="C15" s="488" cm="1">
        <f t="array" aca="1" ref="C15" ca="1">SUMPRODUCT(C$54:C$113,TRANSPOSE(SAP_Speadsheet!$E$60:$BL$60))</f>
        <v>0</v>
      </c>
      <c r="D15" s="488" cm="1">
        <f t="array" aca="1" ref="D15" ca="1">SUMPRODUCT(D$54:D$113,TRANSPOSE(SAP_Speadsheet!$E$60:$BL$60))</f>
        <v>0</v>
      </c>
      <c r="E15" s="488" cm="1">
        <f t="array" aca="1" ref="E15" ca="1">SUMPRODUCT(E$54:E$113,TRANSPOSE(SAP_Speadsheet!$E$60:$BL$60))</f>
        <v>0</v>
      </c>
      <c r="F15" s="488" cm="1">
        <f t="array" aca="1" ref="F15" ca="1">SUMPRODUCT(F$54:F$113,TRANSPOSE(SAP_Speadsheet!$E$60:$BL$60))</f>
        <v>0</v>
      </c>
      <c r="G15" s="488" cm="1">
        <f t="array" aca="1" ref="G15" ca="1">SUMPRODUCT(G$54:G$113,TRANSPOSE(SAP_Speadsheet!$E$60:$BL$60))</f>
        <v>0</v>
      </c>
      <c r="H15" s="488" cm="1">
        <f t="array" aca="1" ref="H15" ca="1">SUMPRODUCT(H$54:H$113,TRANSPOSE(SAP_Speadsheet!$E$60:$BL$60))</f>
        <v>0</v>
      </c>
      <c r="I15" s="488" cm="1">
        <f t="array" aca="1" ref="I15" ca="1">SUMPRODUCT(I$54:I$113,TRANSPOSE(SAP_Speadsheet!$E$60:$BL$60))</f>
        <v>0</v>
      </c>
      <c r="J15" s="488" cm="1">
        <f t="array" aca="1" ref="J15" ca="1">SUMPRODUCT(J$54:J$113,TRANSPOSE(SAP_Speadsheet!$E$60:$BL$60))</f>
        <v>0</v>
      </c>
      <c r="K15" s="488" cm="1">
        <f t="array" aca="1" ref="K15" ca="1">SUMPRODUCT(K$54:K$113,TRANSPOSE(SAP_Speadsheet!$E$60:$BL$60))</f>
        <v>0</v>
      </c>
      <c r="L15" s="488" cm="1">
        <f t="array" aca="1" ref="L15" ca="1">SUMPRODUCT(L$54:L$113,TRANSPOSE(SAP_Speadsheet!$E$60:$BL$60))</f>
        <v>0</v>
      </c>
      <c r="M15" s="488" cm="1">
        <f t="array" aca="1" ref="M15" ca="1">SUMPRODUCT(M$54:M$113,TRANSPOSE(SAP_Speadsheet!$E$60:$BL$60))</f>
        <v>0</v>
      </c>
      <c r="N15" s="488" cm="1">
        <f t="array" aca="1" ref="N15" ca="1">SUMPRODUCT(N$54:N$113,TRANSPOSE(SAP_Speadsheet!$E$60:$BL$60))</f>
        <v>0</v>
      </c>
      <c r="O15" s="488" cm="1">
        <f t="array" aca="1" ref="O15" ca="1">SUMPRODUCT(O$54:O$113,TRANSPOSE(SAP_Speadsheet!$E$60:$BL$60))</f>
        <v>0</v>
      </c>
      <c r="P15" s="488" cm="1">
        <f t="array" aca="1" ref="P15" ca="1">SUMPRODUCT(P$54:P$113,TRANSPOSE(SAP_Speadsheet!$E$60:$BL$60))</f>
        <v>0</v>
      </c>
      <c r="Q15" s="488" cm="1">
        <f t="array" aca="1" ref="Q15" ca="1">SUMPRODUCT(Q$54:Q$113,TRANSPOSE(SAP_Speadsheet!$E$60:$BL$60))</f>
        <v>0</v>
      </c>
      <c r="R15" s="488" cm="1">
        <f t="array" aca="1" ref="R15" ca="1">SUMPRODUCT(R$54:R$113,TRANSPOSE(SAP_Speadsheet!$E$60:$BL$60))</f>
        <v>0</v>
      </c>
      <c r="S15" s="488" cm="1">
        <f t="array" aca="1" ref="S15" ca="1">SUMPRODUCT(S$54:S$113,TRANSPOSE(SAP_Speadsheet!$E$60:$BL$60))</f>
        <v>0</v>
      </c>
      <c r="T15" s="488" cm="1">
        <f t="array" aca="1" ref="T15" ca="1">SUMPRODUCT(T$54:T$113,TRANSPOSE(SAP_Speadsheet!$E$60:$BL$60))</f>
        <v>0</v>
      </c>
      <c r="U15" s="488" cm="1">
        <f t="array" aca="1" ref="U15" ca="1">SUMPRODUCT(U$54:U$113,TRANSPOSE(SAP_Speadsheet!$E$60:$BL$60))</f>
        <v>0</v>
      </c>
      <c r="V15" s="488" cm="1">
        <f t="array" aca="1" ref="V15" ca="1">SUMPRODUCT(V$54:V$113,TRANSPOSE(SAP_Speadsheet!$E$60:$BL$60))</f>
        <v>0</v>
      </c>
      <c r="W15" s="488" cm="1">
        <f t="array" aca="1" ref="W15" ca="1">SUMPRODUCT(W$54:W$113,TRANSPOSE(SAP_Speadsheet!$E$60:$BL$60))</f>
        <v>0</v>
      </c>
      <c r="X15" s="488" cm="1">
        <f t="array" aca="1" ref="X15" ca="1">SUMPRODUCT(X$54:X$113,TRANSPOSE(SAP_Speadsheet!$E$60:$BL$60))</f>
        <v>0</v>
      </c>
      <c r="Y15" s="488" cm="1">
        <f t="array" aca="1" ref="Y15" ca="1">SUMPRODUCT(Y$54:Y$113,TRANSPOSE(SAP_Speadsheet!$E$60:$BL$60))</f>
        <v>0</v>
      </c>
      <c r="Z15" s="488" cm="1">
        <f t="array" aca="1" ref="Z15" ca="1">SUMPRODUCT(Z$54:Z$113,TRANSPOSE(SAP_Speadsheet!$E$60:$BL$60))</f>
        <v>0</v>
      </c>
      <c r="AA15" s="488" cm="1">
        <f t="array" aca="1" ref="AA15" ca="1">SUMPRODUCT(AA$54:AA$113,TRANSPOSE(SAP_Speadsheet!$E$60:$BL$60))</f>
        <v>0</v>
      </c>
      <c r="AB15" s="488" cm="1">
        <f t="array" aca="1" ref="AB15" ca="1">SUMPRODUCT(AB$54:AB$113,TRANSPOSE(SAP_Speadsheet!$E$60:$BL$60))</f>
        <v>0</v>
      </c>
      <c r="AC15" s="488" cm="1">
        <f t="array" aca="1" ref="AC15" ca="1">SUMPRODUCT(AC$54:AC$113,TRANSPOSE(SAP_Speadsheet!$E$60:$BL$60))</f>
        <v>0</v>
      </c>
      <c r="AD15" s="488" cm="1">
        <f t="array" aca="1" ref="AD15" ca="1">SUMPRODUCT(AD$54:AD$113,TRANSPOSE(SAP_Speadsheet!$E$60:$BL$60))</f>
        <v>0</v>
      </c>
      <c r="AE15" s="488" cm="1">
        <f t="array" aca="1" ref="AE15" ca="1">SUMPRODUCT(AE$54:AE$113,TRANSPOSE(SAP_Speadsheet!$E$60:$BL$60))</f>
        <v>0</v>
      </c>
      <c r="AF15" s="488" cm="1">
        <f t="array" aca="1" ref="AF15" ca="1">SUMPRODUCT(AF$54:AF$113,TRANSPOSE(SAP_Speadsheet!$E$60:$BL$60))</f>
        <v>0</v>
      </c>
      <c r="AG15" s="488" cm="1">
        <f t="array" aca="1" ref="AG15" ca="1">SUMPRODUCT(AG$54:AG$113,TRANSPOSE(SAP_Speadsheet!$E$60:$BL$60))</f>
        <v>0</v>
      </c>
      <c r="AH15" s="488" cm="1">
        <f t="array" aca="1" ref="AH15" ca="1">SUMPRODUCT(AH$54:AH$113,TRANSPOSE(SAP_Speadsheet!$E$60:$BL$60))</f>
        <v>0</v>
      </c>
      <c r="AI15" s="488" cm="1">
        <f t="array" aca="1" ref="AI15" ca="1">SUMPRODUCT(AI$54:AI$113,TRANSPOSE(SAP_Speadsheet!$E$60:$BL$60))</f>
        <v>0</v>
      </c>
      <c r="AJ15" s="488" cm="1">
        <f t="array" aca="1" ref="AJ15" ca="1">SUMPRODUCT(AJ$54:AJ$113,TRANSPOSE(SAP_Speadsheet!$E$60:$BL$60))</f>
        <v>0</v>
      </c>
      <c r="AK15" s="488" cm="1">
        <f t="array" aca="1" ref="AK15" ca="1">SUMPRODUCT(AK$54:AK$113,TRANSPOSE(SAP_Speadsheet!$E$60:$BL$60))</f>
        <v>0</v>
      </c>
      <c r="AL15" s="488" cm="1">
        <f t="array" aca="1" ref="AL15" ca="1">SUMPRODUCT(AL$54:AL$113,TRANSPOSE(SAP_Speadsheet!$E$60:$BL$60))</f>
        <v>0</v>
      </c>
      <c r="AM15" s="488" cm="1">
        <f t="array" aca="1" ref="AM15" ca="1">SUMPRODUCT(AM$54:AM$113,TRANSPOSE(SAP_Speadsheet!$E$60:$BL$60))</f>
        <v>0</v>
      </c>
      <c r="AN15" s="488" cm="1">
        <f t="array" aca="1" ref="AN15" ca="1">SUMPRODUCT(AN$54:AN$113,TRANSPOSE(SAP_Speadsheet!$E$60:$BL$60))</f>
        <v>0</v>
      </c>
      <c r="AO15" s="488" cm="1">
        <f t="array" aca="1" ref="AO15" ca="1">SUMPRODUCT(AO$54:AO$113,TRANSPOSE(SAP_Speadsheet!$E$60:$BL$60))</f>
        <v>0</v>
      </c>
      <c r="AP15" s="488" cm="1">
        <f t="array" aca="1" ref="AP15" ca="1">SUMPRODUCT(AP$54:AP$113,TRANSPOSE(SAP_Speadsheet!$E$60:$BL$60))</f>
        <v>0</v>
      </c>
      <c r="AQ15" s="488" cm="1">
        <f t="array" aca="1" ref="AQ15" ca="1">SUMPRODUCT(AQ$54:AQ$113,TRANSPOSE(SAP_Speadsheet!$E$60:$BL$60))</f>
        <v>0</v>
      </c>
      <c r="AR15" s="488" cm="1">
        <f t="array" aca="1" ref="AR15" ca="1">SUMPRODUCT(AR$54:AR$113,TRANSPOSE(SAP_Speadsheet!$E$60:$BL$60))</f>
        <v>0</v>
      </c>
      <c r="AS15" s="488" cm="1">
        <f t="array" aca="1" ref="AS15" ca="1">SUMPRODUCT(AS$54:AS$113,TRANSPOSE(SAP_Speadsheet!$E$60:$BL$60))</f>
        <v>0</v>
      </c>
      <c r="AT15" s="488" cm="1">
        <f t="array" aca="1" ref="AT15" ca="1">SUMPRODUCT(AT$54:AT$113,TRANSPOSE(SAP_Speadsheet!$E$60:$BL$60))</f>
        <v>0</v>
      </c>
      <c r="AU15" s="488" cm="1">
        <f t="array" aca="1" ref="AU15" ca="1">SUMPRODUCT(AU$54:AU$113,TRANSPOSE(SAP_Speadsheet!$E$60:$BL$60))</f>
        <v>0</v>
      </c>
      <c r="AV15" s="488" cm="1">
        <f t="array" aca="1" ref="AV15" ca="1">SUMPRODUCT(AV$54:AV$113,TRANSPOSE(SAP_Speadsheet!$E$60:$BL$60))</f>
        <v>0</v>
      </c>
      <c r="AW15" s="488" cm="1">
        <f t="array" aca="1" ref="AW15" ca="1">SUMPRODUCT(AW$54:AW$113,TRANSPOSE(SAP_Speadsheet!$E$60:$BL$60))</f>
        <v>0</v>
      </c>
      <c r="AX15" s="488" cm="1">
        <f t="array" aca="1" ref="AX15" ca="1">SUMPRODUCT(AX$54:AX$113,TRANSPOSE(SAP_Speadsheet!$E$60:$BL$60))</f>
        <v>0</v>
      </c>
      <c r="AY15" s="488" cm="1">
        <f t="array" aca="1" ref="AY15" ca="1">SUMPRODUCT(AY$54:AY$113,TRANSPOSE(SAP_Speadsheet!$E$60:$BL$60))</f>
        <v>0</v>
      </c>
      <c r="AZ15" s="488" cm="1">
        <f t="array" aca="1" ref="AZ15" ca="1">SUMPRODUCT(AZ$54:AZ$113,TRANSPOSE(SAP_Speadsheet!$E$60:$BL$60))</f>
        <v>0</v>
      </c>
      <c r="BA15" s="488" cm="1">
        <f t="array" aca="1" ref="BA15" ca="1">SUMPRODUCT(BA$54:BA$113,TRANSPOSE(SAP_Speadsheet!$E$60:$BL$60))</f>
        <v>0</v>
      </c>
      <c r="BB15" s="488" cm="1">
        <f t="array" aca="1" ref="BB15" ca="1">SUMPRODUCT(BB$54:BB$113,TRANSPOSE(SAP_Speadsheet!$E$60:$BL$60))</f>
        <v>0</v>
      </c>
      <c r="BC15" s="488" cm="1">
        <f t="array" aca="1" ref="BC15" ca="1">SUMPRODUCT(BC$54:BC$113,TRANSPOSE(SAP_Speadsheet!$E$60:$BL$60))</f>
        <v>0</v>
      </c>
      <c r="BD15" s="488" cm="1">
        <f t="array" aca="1" ref="BD15" ca="1">SUMPRODUCT(BD$54:BD$113,TRANSPOSE(SAP_Speadsheet!$E$60:$BL$60))</f>
        <v>0</v>
      </c>
      <c r="BE15" s="488" cm="1">
        <f t="array" aca="1" ref="BE15" ca="1">SUMPRODUCT(BE$54:BE$113,TRANSPOSE(SAP_Speadsheet!$E$60:$BL$60))</f>
        <v>0</v>
      </c>
      <c r="BF15" s="488" cm="1">
        <f t="array" aca="1" ref="BF15" ca="1">SUMPRODUCT(BF$54:BF$113,TRANSPOSE(SAP_Speadsheet!$E$60:$BL$60))</f>
        <v>0</v>
      </c>
      <c r="BG15" s="488" cm="1">
        <f t="array" aca="1" ref="BG15" ca="1">SUMPRODUCT(BG$54:BG$113,TRANSPOSE(SAP_Speadsheet!$E$60:$BL$60))</f>
        <v>0</v>
      </c>
      <c r="BH15" s="488" cm="1">
        <f t="array" aca="1" ref="BH15" ca="1">SUMPRODUCT(BH$54:BH$113,TRANSPOSE(SAP_Speadsheet!$E$60:$BL$60))</f>
        <v>0</v>
      </c>
      <c r="BI15" s="488" cm="1">
        <f t="array" aca="1" ref="BI15" ca="1">SUMPRODUCT(BI$54:BI$113,TRANSPOSE(SAP_Speadsheet!$E$60:$BL$60))</f>
        <v>0</v>
      </c>
    </row>
    <row r="16" spans="1:61" x14ac:dyDescent="0.15">
      <c r="A16" s="487" t="s">
        <v>86</v>
      </c>
      <c r="B16" s="488" cm="1">
        <f t="array" aca="1" ref="B16" ca="1">SUMPRODUCT(B$54:B$113,TRANSPOSE(SAP_Speadsheet!$E$61:$BL$61))</f>
        <v>0</v>
      </c>
      <c r="C16" s="488" cm="1">
        <f t="array" aca="1" ref="C16" ca="1">SUMPRODUCT(C$54:C$113,TRANSPOSE(SAP_Speadsheet!$E$61:$BL$61))</f>
        <v>0</v>
      </c>
      <c r="D16" s="488" cm="1">
        <f t="array" aca="1" ref="D16" ca="1">SUMPRODUCT(D$54:D$113,TRANSPOSE(SAP_Speadsheet!$E$61:$BL$61))</f>
        <v>0</v>
      </c>
      <c r="E16" s="488" cm="1">
        <f t="array" aca="1" ref="E16" ca="1">SUMPRODUCT(E$54:E$113,TRANSPOSE(SAP_Speadsheet!$E$61:$BL$61))</f>
        <v>0</v>
      </c>
      <c r="F16" s="488" cm="1">
        <f t="array" aca="1" ref="F16" ca="1">SUMPRODUCT(F$54:F$113,TRANSPOSE(SAP_Speadsheet!$E$61:$BL$61))</f>
        <v>0</v>
      </c>
      <c r="G16" s="488" cm="1">
        <f t="array" aca="1" ref="G16" ca="1">SUMPRODUCT(G$54:G$113,TRANSPOSE(SAP_Speadsheet!$E$61:$BL$61))</f>
        <v>0</v>
      </c>
      <c r="H16" s="488" cm="1">
        <f t="array" aca="1" ref="H16" ca="1">SUMPRODUCT(H$54:H$113,TRANSPOSE(SAP_Speadsheet!$E$61:$BL$61))</f>
        <v>0</v>
      </c>
      <c r="I16" s="488" cm="1">
        <f t="array" aca="1" ref="I16" ca="1">SUMPRODUCT(I$54:I$113,TRANSPOSE(SAP_Speadsheet!$E$61:$BL$61))</f>
        <v>0</v>
      </c>
      <c r="J16" s="488" cm="1">
        <f t="array" aca="1" ref="J16" ca="1">SUMPRODUCT(J$54:J$113,TRANSPOSE(SAP_Speadsheet!$E$61:$BL$61))</f>
        <v>0</v>
      </c>
      <c r="K16" s="488" cm="1">
        <f t="array" aca="1" ref="K16" ca="1">SUMPRODUCT(K$54:K$113,TRANSPOSE(SAP_Speadsheet!$E$61:$BL$61))</f>
        <v>0</v>
      </c>
      <c r="L16" s="488" cm="1">
        <f t="array" aca="1" ref="L16" ca="1">SUMPRODUCT(L$54:L$113,TRANSPOSE(SAP_Speadsheet!$E$61:$BL$61))</f>
        <v>0</v>
      </c>
      <c r="M16" s="488" cm="1">
        <f t="array" aca="1" ref="M16" ca="1">SUMPRODUCT(M$54:M$113,TRANSPOSE(SAP_Speadsheet!$E$61:$BL$61))</f>
        <v>0</v>
      </c>
      <c r="N16" s="488" cm="1">
        <f t="array" aca="1" ref="N16" ca="1">SUMPRODUCT(N$54:N$113,TRANSPOSE(SAP_Speadsheet!$E$61:$BL$61))</f>
        <v>0</v>
      </c>
      <c r="O16" s="488" cm="1">
        <f t="array" aca="1" ref="O16" ca="1">SUMPRODUCT(O$54:O$113,TRANSPOSE(SAP_Speadsheet!$E$61:$BL$61))</f>
        <v>0</v>
      </c>
      <c r="P16" s="488" cm="1">
        <f t="array" aca="1" ref="P16" ca="1">SUMPRODUCT(P$54:P$113,TRANSPOSE(SAP_Speadsheet!$E$61:$BL$61))</f>
        <v>0</v>
      </c>
      <c r="Q16" s="488" cm="1">
        <f t="array" aca="1" ref="Q16" ca="1">SUMPRODUCT(Q$54:Q$113,TRANSPOSE(SAP_Speadsheet!$E$61:$BL$61))</f>
        <v>0</v>
      </c>
      <c r="R16" s="488" cm="1">
        <f t="array" aca="1" ref="R16" ca="1">SUMPRODUCT(R$54:R$113,TRANSPOSE(SAP_Speadsheet!$E$61:$BL$61))</f>
        <v>0</v>
      </c>
      <c r="S16" s="488" cm="1">
        <f t="array" aca="1" ref="S16" ca="1">SUMPRODUCT(S$54:S$113,TRANSPOSE(SAP_Speadsheet!$E$61:$BL$61))</f>
        <v>0</v>
      </c>
      <c r="T16" s="488" cm="1">
        <f t="array" aca="1" ref="T16" ca="1">SUMPRODUCT(T$54:T$113,TRANSPOSE(SAP_Speadsheet!$E$61:$BL$61))</f>
        <v>0</v>
      </c>
      <c r="U16" s="488" cm="1">
        <f t="array" aca="1" ref="U16" ca="1">SUMPRODUCT(U$54:U$113,TRANSPOSE(SAP_Speadsheet!$E$61:$BL$61))</f>
        <v>0</v>
      </c>
      <c r="V16" s="488" cm="1">
        <f t="array" aca="1" ref="V16" ca="1">SUMPRODUCT(V$54:V$113,TRANSPOSE(SAP_Speadsheet!$E$61:$BL$61))</f>
        <v>0</v>
      </c>
      <c r="W16" s="488" cm="1">
        <f t="array" aca="1" ref="W16" ca="1">SUMPRODUCT(W$54:W$113,TRANSPOSE(SAP_Speadsheet!$E$61:$BL$61))</f>
        <v>0</v>
      </c>
      <c r="X16" s="488" cm="1">
        <f t="array" aca="1" ref="X16" ca="1">SUMPRODUCT(X$54:X$113,TRANSPOSE(SAP_Speadsheet!$E$61:$BL$61))</f>
        <v>0</v>
      </c>
      <c r="Y16" s="488" cm="1">
        <f t="array" aca="1" ref="Y16" ca="1">SUMPRODUCT(Y$54:Y$113,TRANSPOSE(SAP_Speadsheet!$E$61:$BL$61))</f>
        <v>0</v>
      </c>
      <c r="Z16" s="488" cm="1">
        <f t="array" aca="1" ref="Z16" ca="1">SUMPRODUCT(Z$54:Z$113,TRANSPOSE(SAP_Speadsheet!$E$61:$BL$61))</f>
        <v>0</v>
      </c>
      <c r="AA16" s="488" cm="1">
        <f t="array" aca="1" ref="AA16" ca="1">SUMPRODUCT(AA$54:AA$113,TRANSPOSE(SAP_Speadsheet!$E$61:$BL$61))</f>
        <v>0</v>
      </c>
      <c r="AB16" s="488" cm="1">
        <f t="array" aca="1" ref="AB16" ca="1">SUMPRODUCT(AB$54:AB$113,TRANSPOSE(SAP_Speadsheet!$E$61:$BL$61))</f>
        <v>0</v>
      </c>
      <c r="AC16" s="488" cm="1">
        <f t="array" aca="1" ref="AC16" ca="1">SUMPRODUCT(AC$54:AC$113,TRANSPOSE(SAP_Speadsheet!$E$61:$BL$61))</f>
        <v>0</v>
      </c>
      <c r="AD16" s="488" cm="1">
        <f t="array" aca="1" ref="AD16" ca="1">SUMPRODUCT(AD$54:AD$113,TRANSPOSE(SAP_Speadsheet!$E$61:$BL$61))</f>
        <v>0</v>
      </c>
      <c r="AE16" s="488" cm="1">
        <f t="array" aca="1" ref="AE16" ca="1">SUMPRODUCT(AE$54:AE$113,TRANSPOSE(SAP_Speadsheet!$E$61:$BL$61))</f>
        <v>0</v>
      </c>
      <c r="AF16" s="488" cm="1">
        <f t="array" aca="1" ref="AF16" ca="1">SUMPRODUCT(AF$54:AF$113,TRANSPOSE(SAP_Speadsheet!$E$61:$BL$61))</f>
        <v>0</v>
      </c>
      <c r="AG16" s="488" cm="1">
        <f t="array" aca="1" ref="AG16" ca="1">SUMPRODUCT(AG$54:AG$113,TRANSPOSE(SAP_Speadsheet!$E$61:$BL$61))</f>
        <v>0</v>
      </c>
      <c r="AH16" s="488" cm="1">
        <f t="array" aca="1" ref="AH16" ca="1">SUMPRODUCT(AH$54:AH$113,TRANSPOSE(SAP_Speadsheet!$E$61:$BL$61))</f>
        <v>0</v>
      </c>
      <c r="AI16" s="488" cm="1">
        <f t="array" aca="1" ref="AI16" ca="1">SUMPRODUCT(AI$54:AI$113,TRANSPOSE(SAP_Speadsheet!$E$61:$BL$61))</f>
        <v>0</v>
      </c>
      <c r="AJ16" s="488" cm="1">
        <f t="array" aca="1" ref="AJ16" ca="1">SUMPRODUCT(AJ$54:AJ$113,TRANSPOSE(SAP_Speadsheet!$E$61:$BL$61))</f>
        <v>0</v>
      </c>
      <c r="AK16" s="488" cm="1">
        <f t="array" aca="1" ref="AK16" ca="1">SUMPRODUCT(AK$54:AK$113,TRANSPOSE(SAP_Speadsheet!$E$61:$BL$61))</f>
        <v>0</v>
      </c>
      <c r="AL16" s="488" cm="1">
        <f t="array" aca="1" ref="AL16" ca="1">SUMPRODUCT(AL$54:AL$113,TRANSPOSE(SAP_Speadsheet!$E$61:$BL$61))</f>
        <v>0</v>
      </c>
      <c r="AM16" s="488" cm="1">
        <f t="array" aca="1" ref="AM16" ca="1">SUMPRODUCT(AM$54:AM$113,TRANSPOSE(SAP_Speadsheet!$E$61:$BL$61))</f>
        <v>0</v>
      </c>
      <c r="AN16" s="488" cm="1">
        <f t="array" aca="1" ref="AN16" ca="1">SUMPRODUCT(AN$54:AN$113,TRANSPOSE(SAP_Speadsheet!$E$61:$BL$61))</f>
        <v>0</v>
      </c>
      <c r="AO16" s="488" cm="1">
        <f t="array" aca="1" ref="AO16" ca="1">SUMPRODUCT(AO$54:AO$113,TRANSPOSE(SAP_Speadsheet!$E$61:$BL$61))</f>
        <v>0</v>
      </c>
      <c r="AP16" s="488" cm="1">
        <f t="array" aca="1" ref="AP16" ca="1">SUMPRODUCT(AP$54:AP$113,TRANSPOSE(SAP_Speadsheet!$E$61:$BL$61))</f>
        <v>0</v>
      </c>
      <c r="AQ16" s="488" cm="1">
        <f t="array" aca="1" ref="AQ16" ca="1">SUMPRODUCT(AQ$54:AQ$113,TRANSPOSE(SAP_Speadsheet!$E$61:$BL$61))</f>
        <v>0</v>
      </c>
      <c r="AR16" s="488" cm="1">
        <f t="array" aca="1" ref="AR16" ca="1">SUMPRODUCT(AR$54:AR$113,TRANSPOSE(SAP_Speadsheet!$E$61:$BL$61))</f>
        <v>0</v>
      </c>
      <c r="AS16" s="488" cm="1">
        <f t="array" aca="1" ref="AS16" ca="1">SUMPRODUCT(AS$54:AS$113,TRANSPOSE(SAP_Speadsheet!$E$61:$BL$61))</f>
        <v>0</v>
      </c>
      <c r="AT16" s="488" cm="1">
        <f t="array" aca="1" ref="AT16" ca="1">SUMPRODUCT(AT$54:AT$113,TRANSPOSE(SAP_Speadsheet!$E$61:$BL$61))</f>
        <v>0</v>
      </c>
      <c r="AU16" s="488" cm="1">
        <f t="array" aca="1" ref="AU16" ca="1">SUMPRODUCT(AU$54:AU$113,TRANSPOSE(SAP_Speadsheet!$E$61:$BL$61))</f>
        <v>0</v>
      </c>
      <c r="AV16" s="488" cm="1">
        <f t="array" aca="1" ref="AV16" ca="1">SUMPRODUCT(AV$54:AV$113,TRANSPOSE(SAP_Speadsheet!$E$61:$BL$61))</f>
        <v>0</v>
      </c>
      <c r="AW16" s="488" cm="1">
        <f t="array" aca="1" ref="AW16" ca="1">SUMPRODUCT(AW$54:AW$113,TRANSPOSE(SAP_Speadsheet!$E$61:$BL$61))</f>
        <v>0</v>
      </c>
      <c r="AX16" s="488" cm="1">
        <f t="array" aca="1" ref="AX16" ca="1">SUMPRODUCT(AX$54:AX$113,TRANSPOSE(SAP_Speadsheet!$E$61:$BL$61))</f>
        <v>0</v>
      </c>
      <c r="AY16" s="488" cm="1">
        <f t="array" aca="1" ref="AY16" ca="1">SUMPRODUCT(AY$54:AY$113,TRANSPOSE(SAP_Speadsheet!$E$61:$BL$61))</f>
        <v>0</v>
      </c>
      <c r="AZ16" s="488" cm="1">
        <f t="array" aca="1" ref="AZ16" ca="1">SUMPRODUCT(AZ$54:AZ$113,TRANSPOSE(SAP_Speadsheet!$E$61:$BL$61))</f>
        <v>0</v>
      </c>
      <c r="BA16" s="488" cm="1">
        <f t="array" aca="1" ref="BA16" ca="1">SUMPRODUCT(BA$54:BA$113,TRANSPOSE(SAP_Speadsheet!$E$61:$BL$61))</f>
        <v>0</v>
      </c>
      <c r="BB16" s="488" cm="1">
        <f t="array" aca="1" ref="BB16" ca="1">SUMPRODUCT(BB$54:BB$113,TRANSPOSE(SAP_Speadsheet!$E$61:$BL$61))</f>
        <v>0</v>
      </c>
      <c r="BC16" s="488" cm="1">
        <f t="array" aca="1" ref="BC16" ca="1">SUMPRODUCT(BC$54:BC$113,TRANSPOSE(SAP_Speadsheet!$E$61:$BL$61))</f>
        <v>0</v>
      </c>
      <c r="BD16" s="488" cm="1">
        <f t="array" aca="1" ref="BD16" ca="1">SUMPRODUCT(BD$54:BD$113,TRANSPOSE(SAP_Speadsheet!$E$61:$BL$61))</f>
        <v>0</v>
      </c>
      <c r="BE16" s="488" cm="1">
        <f t="array" aca="1" ref="BE16" ca="1">SUMPRODUCT(BE$54:BE$113,TRANSPOSE(SAP_Speadsheet!$E$61:$BL$61))</f>
        <v>0</v>
      </c>
      <c r="BF16" s="488" cm="1">
        <f t="array" aca="1" ref="BF16" ca="1">SUMPRODUCT(BF$54:BF$113,TRANSPOSE(SAP_Speadsheet!$E$61:$BL$61))</f>
        <v>0</v>
      </c>
      <c r="BG16" s="488" cm="1">
        <f t="array" aca="1" ref="BG16" ca="1">SUMPRODUCT(BG$54:BG$113,TRANSPOSE(SAP_Speadsheet!$E$61:$BL$61))</f>
        <v>0</v>
      </c>
      <c r="BH16" s="488" cm="1">
        <f t="array" aca="1" ref="BH16" ca="1">SUMPRODUCT(BH$54:BH$113,TRANSPOSE(SAP_Speadsheet!$E$61:$BL$61))</f>
        <v>0</v>
      </c>
      <c r="BI16" s="488" cm="1">
        <f t="array" aca="1" ref="BI16" ca="1">SUMPRODUCT(BI$54:BI$113,TRANSPOSE(SAP_Speadsheet!$E$61:$BL$61))</f>
        <v>0</v>
      </c>
    </row>
    <row r="17" spans="1:61" x14ac:dyDescent="0.15">
      <c r="A17" s="476" t="s">
        <v>408</v>
      </c>
      <c r="B17" s="488" cm="1">
        <f t="array" aca="1" ref="B17" ca="1">SUMPRODUCT(B$54:B$113,TRANSPOSE(SAP_Speadsheet!$E$63:$BL$63))</f>
        <v>0</v>
      </c>
      <c r="C17" s="488" cm="1">
        <f t="array" aca="1" ref="C17" ca="1">SUMPRODUCT(C$54:C$113,TRANSPOSE(SAP_Speadsheet!$E$63:$BL$63))</f>
        <v>0</v>
      </c>
      <c r="D17" s="488" cm="1">
        <f t="array" aca="1" ref="D17" ca="1">SUMPRODUCT(D$54:D$113,TRANSPOSE(SAP_Speadsheet!$E$63:$BL$63))</f>
        <v>0</v>
      </c>
      <c r="E17" s="488" cm="1">
        <f t="array" aca="1" ref="E17" ca="1">SUMPRODUCT(E$54:E$113,TRANSPOSE(SAP_Speadsheet!$E$63:$BL$63))</f>
        <v>0</v>
      </c>
      <c r="F17" s="488" cm="1">
        <f t="array" aca="1" ref="F17" ca="1">SUMPRODUCT(F$54:F$113,TRANSPOSE(SAP_Speadsheet!$E$63:$BL$63))</f>
        <v>0</v>
      </c>
      <c r="G17" s="488" cm="1">
        <f t="array" aca="1" ref="G17" ca="1">SUMPRODUCT(G$54:G$113,TRANSPOSE(SAP_Speadsheet!$E$63:$BL$63))</f>
        <v>0</v>
      </c>
      <c r="H17" s="488" cm="1">
        <f t="array" aca="1" ref="H17" ca="1">SUMPRODUCT(H$54:H$113,TRANSPOSE(SAP_Speadsheet!$E$63:$BL$63))</f>
        <v>0</v>
      </c>
      <c r="I17" s="488" cm="1">
        <f t="array" aca="1" ref="I17" ca="1">SUMPRODUCT(I$54:I$113,TRANSPOSE(SAP_Speadsheet!$E$63:$BL$63))</f>
        <v>0</v>
      </c>
      <c r="J17" s="488" cm="1">
        <f t="array" aca="1" ref="J17" ca="1">SUMPRODUCT(J$54:J$113,TRANSPOSE(SAP_Speadsheet!$E$63:$BL$63))</f>
        <v>0</v>
      </c>
      <c r="K17" s="488" cm="1">
        <f t="array" aca="1" ref="K17" ca="1">SUMPRODUCT(K$54:K$113,TRANSPOSE(SAP_Speadsheet!$E$63:$BL$63))</f>
        <v>0</v>
      </c>
      <c r="L17" s="488" cm="1">
        <f t="array" aca="1" ref="L17" ca="1">SUMPRODUCT(L$54:L$113,TRANSPOSE(SAP_Speadsheet!$E$63:$BL$63))</f>
        <v>0</v>
      </c>
      <c r="M17" s="488" cm="1">
        <f t="array" aca="1" ref="M17" ca="1">SUMPRODUCT(M$54:M$113,TRANSPOSE(SAP_Speadsheet!$E$63:$BL$63))</f>
        <v>0</v>
      </c>
      <c r="N17" s="488" cm="1">
        <f t="array" aca="1" ref="N17" ca="1">SUMPRODUCT(N$54:N$113,TRANSPOSE(SAP_Speadsheet!$E$63:$BL$63))</f>
        <v>0</v>
      </c>
      <c r="O17" s="488" cm="1">
        <f t="array" aca="1" ref="O17" ca="1">SUMPRODUCT(O$54:O$113,TRANSPOSE(SAP_Speadsheet!$E$63:$BL$63))</f>
        <v>0</v>
      </c>
      <c r="P17" s="488" cm="1">
        <f t="array" aca="1" ref="P17" ca="1">SUMPRODUCT(P$54:P$113,TRANSPOSE(SAP_Speadsheet!$E$63:$BL$63))</f>
        <v>0</v>
      </c>
      <c r="Q17" s="488" cm="1">
        <f t="array" aca="1" ref="Q17" ca="1">SUMPRODUCT(Q$54:Q$113,TRANSPOSE(SAP_Speadsheet!$E$63:$BL$63))</f>
        <v>0</v>
      </c>
      <c r="R17" s="488" cm="1">
        <f t="array" aca="1" ref="R17" ca="1">SUMPRODUCT(R$54:R$113,TRANSPOSE(SAP_Speadsheet!$E$63:$BL$63))</f>
        <v>0</v>
      </c>
      <c r="S17" s="488" cm="1">
        <f t="array" aca="1" ref="S17" ca="1">SUMPRODUCT(S$54:S$113,TRANSPOSE(SAP_Speadsheet!$E$63:$BL$63))</f>
        <v>0</v>
      </c>
      <c r="T17" s="488" cm="1">
        <f t="array" aca="1" ref="T17" ca="1">SUMPRODUCT(T$54:T$113,TRANSPOSE(SAP_Speadsheet!$E$63:$BL$63))</f>
        <v>0</v>
      </c>
      <c r="U17" s="488" cm="1">
        <f t="array" aca="1" ref="U17" ca="1">SUMPRODUCT(U$54:U$113,TRANSPOSE(SAP_Speadsheet!$E$63:$BL$63))</f>
        <v>0</v>
      </c>
      <c r="V17" s="488" cm="1">
        <f t="array" aca="1" ref="V17" ca="1">SUMPRODUCT(V$54:V$113,TRANSPOSE(SAP_Speadsheet!$E$63:$BL$63))</f>
        <v>0</v>
      </c>
      <c r="W17" s="488" cm="1">
        <f t="array" aca="1" ref="W17" ca="1">SUMPRODUCT(W$54:W$113,TRANSPOSE(SAP_Speadsheet!$E$63:$BL$63))</f>
        <v>0</v>
      </c>
      <c r="X17" s="488" cm="1">
        <f t="array" aca="1" ref="X17" ca="1">SUMPRODUCT(X$54:X$113,TRANSPOSE(SAP_Speadsheet!$E$63:$BL$63))</f>
        <v>0</v>
      </c>
      <c r="Y17" s="488" cm="1">
        <f t="array" aca="1" ref="Y17" ca="1">SUMPRODUCT(Y$54:Y$113,TRANSPOSE(SAP_Speadsheet!$E$63:$BL$63))</f>
        <v>0</v>
      </c>
      <c r="Z17" s="488" cm="1">
        <f t="array" aca="1" ref="Z17" ca="1">SUMPRODUCT(Z$54:Z$113,TRANSPOSE(SAP_Speadsheet!$E$63:$BL$63))</f>
        <v>0</v>
      </c>
      <c r="AA17" s="488" cm="1">
        <f t="array" aca="1" ref="AA17" ca="1">SUMPRODUCT(AA$54:AA$113,TRANSPOSE(SAP_Speadsheet!$E$63:$BL$63))</f>
        <v>0</v>
      </c>
      <c r="AB17" s="488" cm="1">
        <f t="array" aca="1" ref="AB17" ca="1">SUMPRODUCT(AB$54:AB$113,TRANSPOSE(SAP_Speadsheet!$E$63:$BL$63))</f>
        <v>0</v>
      </c>
      <c r="AC17" s="488" cm="1">
        <f t="array" aca="1" ref="AC17" ca="1">SUMPRODUCT(AC$54:AC$113,TRANSPOSE(SAP_Speadsheet!$E$63:$BL$63))</f>
        <v>0</v>
      </c>
      <c r="AD17" s="488" cm="1">
        <f t="array" aca="1" ref="AD17" ca="1">SUMPRODUCT(AD$54:AD$113,TRANSPOSE(SAP_Speadsheet!$E$63:$BL$63))</f>
        <v>0</v>
      </c>
      <c r="AE17" s="488" cm="1">
        <f t="array" aca="1" ref="AE17" ca="1">SUMPRODUCT(AE$54:AE$113,TRANSPOSE(SAP_Speadsheet!$E$63:$BL$63))</f>
        <v>0</v>
      </c>
      <c r="AF17" s="488" cm="1">
        <f t="array" aca="1" ref="AF17" ca="1">SUMPRODUCT(AF$54:AF$113,TRANSPOSE(SAP_Speadsheet!$E$63:$BL$63))</f>
        <v>0</v>
      </c>
      <c r="AG17" s="488" cm="1">
        <f t="array" aca="1" ref="AG17" ca="1">SUMPRODUCT(AG$54:AG$113,TRANSPOSE(SAP_Speadsheet!$E$63:$BL$63))</f>
        <v>0</v>
      </c>
      <c r="AH17" s="488" cm="1">
        <f t="array" aca="1" ref="AH17" ca="1">SUMPRODUCT(AH$54:AH$113,TRANSPOSE(SAP_Speadsheet!$E$63:$BL$63))</f>
        <v>0</v>
      </c>
      <c r="AI17" s="488" cm="1">
        <f t="array" aca="1" ref="AI17" ca="1">SUMPRODUCT(AI$54:AI$113,TRANSPOSE(SAP_Speadsheet!$E$63:$BL$63))</f>
        <v>0</v>
      </c>
      <c r="AJ17" s="488" cm="1">
        <f t="array" aca="1" ref="AJ17" ca="1">SUMPRODUCT(AJ$54:AJ$113,TRANSPOSE(SAP_Speadsheet!$E$63:$BL$63))</f>
        <v>0</v>
      </c>
      <c r="AK17" s="488" cm="1">
        <f t="array" aca="1" ref="AK17" ca="1">SUMPRODUCT(AK$54:AK$113,TRANSPOSE(SAP_Speadsheet!$E$63:$BL$63))</f>
        <v>0</v>
      </c>
      <c r="AL17" s="488" cm="1">
        <f t="array" aca="1" ref="AL17" ca="1">SUMPRODUCT(AL$54:AL$113,TRANSPOSE(SAP_Speadsheet!$E$63:$BL$63))</f>
        <v>0</v>
      </c>
      <c r="AM17" s="488" cm="1">
        <f t="array" aca="1" ref="AM17" ca="1">SUMPRODUCT(AM$54:AM$113,TRANSPOSE(SAP_Speadsheet!$E$63:$BL$63))</f>
        <v>0</v>
      </c>
      <c r="AN17" s="488" cm="1">
        <f t="array" aca="1" ref="AN17" ca="1">SUMPRODUCT(AN$54:AN$113,TRANSPOSE(SAP_Speadsheet!$E$63:$BL$63))</f>
        <v>0</v>
      </c>
      <c r="AO17" s="488" cm="1">
        <f t="array" aca="1" ref="AO17" ca="1">SUMPRODUCT(AO$54:AO$113,TRANSPOSE(SAP_Speadsheet!$E$63:$BL$63))</f>
        <v>0</v>
      </c>
      <c r="AP17" s="488" cm="1">
        <f t="array" aca="1" ref="AP17" ca="1">SUMPRODUCT(AP$54:AP$113,TRANSPOSE(SAP_Speadsheet!$E$63:$BL$63))</f>
        <v>0</v>
      </c>
      <c r="AQ17" s="488" cm="1">
        <f t="array" aca="1" ref="AQ17" ca="1">SUMPRODUCT(AQ$54:AQ$113,TRANSPOSE(SAP_Speadsheet!$E$63:$BL$63))</f>
        <v>0</v>
      </c>
      <c r="AR17" s="488" cm="1">
        <f t="array" aca="1" ref="AR17" ca="1">SUMPRODUCT(AR$54:AR$113,TRANSPOSE(SAP_Speadsheet!$E$63:$BL$63))</f>
        <v>0</v>
      </c>
      <c r="AS17" s="488" cm="1">
        <f t="array" aca="1" ref="AS17" ca="1">SUMPRODUCT(AS$54:AS$113,TRANSPOSE(SAP_Speadsheet!$E$63:$BL$63))</f>
        <v>0</v>
      </c>
      <c r="AT17" s="488" cm="1">
        <f t="array" aca="1" ref="AT17" ca="1">SUMPRODUCT(AT$54:AT$113,TRANSPOSE(SAP_Speadsheet!$E$63:$BL$63))</f>
        <v>0</v>
      </c>
      <c r="AU17" s="488" cm="1">
        <f t="array" aca="1" ref="AU17" ca="1">SUMPRODUCT(AU$54:AU$113,TRANSPOSE(SAP_Speadsheet!$E$63:$BL$63))</f>
        <v>0</v>
      </c>
      <c r="AV17" s="488" cm="1">
        <f t="array" aca="1" ref="AV17" ca="1">SUMPRODUCT(AV$54:AV$113,TRANSPOSE(SAP_Speadsheet!$E$63:$BL$63))</f>
        <v>0</v>
      </c>
      <c r="AW17" s="488" cm="1">
        <f t="array" aca="1" ref="AW17" ca="1">SUMPRODUCT(AW$54:AW$113,TRANSPOSE(SAP_Speadsheet!$E$63:$BL$63))</f>
        <v>0</v>
      </c>
      <c r="AX17" s="488" cm="1">
        <f t="array" aca="1" ref="AX17" ca="1">SUMPRODUCT(AX$54:AX$113,TRANSPOSE(SAP_Speadsheet!$E$63:$BL$63))</f>
        <v>0</v>
      </c>
      <c r="AY17" s="488" cm="1">
        <f t="array" aca="1" ref="AY17" ca="1">SUMPRODUCT(AY$54:AY$113,TRANSPOSE(SAP_Speadsheet!$E$63:$BL$63))</f>
        <v>0</v>
      </c>
      <c r="AZ17" s="488" cm="1">
        <f t="array" aca="1" ref="AZ17" ca="1">SUMPRODUCT(AZ$54:AZ$113,TRANSPOSE(SAP_Speadsheet!$E$63:$BL$63))</f>
        <v>0</v>
      </c>
      <c r="BA17" s="488" cm="1">
        <f t="array" aca="1" ref="BA17" ca="1">SUMPRODUCT(BA$54:BA$113,TRANSPOSE(SAP_Speadsheet!$E$63:$BL$63))</f>
        <v>0</v>
      </c>
      <c r="BB17" s="488" cm="1">
        <f t="array" aca="1" ref="BB17" ca="1">SUMPRODUCT(BB$54:BB$113,TRANSPOSE(SAP_Speadsheet!$E$63:$BL$63))</f>
        <v>0</v>
      </c>
      <c r="BC17" s="488" cm="1">
        <f t="array" aca="1" ref="BC17" ca="1">SUMPRODUCT(BC$54:BC$113,TRANSPOSE(SAP_Speadsheet!$E$63:$BL$63))</f>
        <v>0</v>
      </c>
      <c r="BD17" s="488" cm="1">
        <f t="array" aca="1" ref="BD17" ca="1">SUMPRODUCT(BD$54:BD$113,TRANSPOSE(SAP_Speadsheet!$E$63:$BL$63))</f>
        <v>0</v>
      </c>
      <c r="BE17" s="488" cm="1">
        <f t="array" aca="1" ref="BE17" ca="1">SUMPRODUCT(BE$54:BE$113,TRANSPOSE(SAP_Speadsheet!$E$63:$BL$63))</f>
        <v>0</v>
      </c>
      <c r="BF17" s="488" cm="1">
        <f t="array" aca="1" ref="BF17" ca="1">SUMPRODUCT(BF$54:BF$113,TRANSPOSE(SAP_Speadsheet!$E$63:$BL$63))</f>
        <v>0</v>
      </c>
      <c r="BG17" s="488" cm="1">
        <f t="array" aca="1" ref="BG17" ca="1">SUMPRODUCT(BG$54:BG$113,TRANSPOSE(SAP_Speadsheet!$E$63:$BL$63))</f>
        <v>0</v>
      </c>
      <c r="BH17" s="488" cm="1">
        <f t="array" aca="1" ref="BH17" ca="1">SUMPRODUCT(BH$54:BH$113,TRANSPOSE(SAP_Speadsheet!$E$63:$BL$63))</f>
        <v>0</v>
      </c>
      <c r="BI17" s="488" cm="1">
        <f t="array" aca="1" ref="BI17" ca="1">SUMPRODUCT(BI$54:BI$113,TRANSPOSE(SAP_Speadsheet!$E$63:$BL$63))</f>
        <v>0</v>
      </c>
    </row>
    <row r="18" spans="1:61" s="476" customFormat="1" x14ac:dyDescent="0.15">
      <c r="A18" s="476" t="s">
        <v>410</v>
      </c>
      <c r="B18" s="483">
        <f t="shared" ref="B18:BI18" ca="1" si="3">B19+B23+B27+B28+B29</f>
        <v>0</v>
      </c>
      <c r="C18" s="483">
        <f t="shared" ca="1" si="3"/>
        <v>0</v>
      </c>
      <c r="D18" s="483">
        <f t="shared" ca="1" si="3"/>
        <v>0</v>
      </c>
      <c r="E18" s="483">
        <f t="shared" ca="1" si="3"/>
        <v>0</v>
      </c>
      <c r="F18" s="483">
        <f t="shared" ca="1" si="3"/>
        <v>0</v>
      </c>
      <c r="G18" s="483">
        <f t="shared" ca="1" si="3"/>
        <v>0</v>
      </c>
      <c r="H18" s="483">
        <f t="shared" ca="1" si="3"/>
        <v>0</v>
      </c>
      <c r="I18" s="483">
        <f t="shared" ca="1" si="3"/>
        <v>0</v>
      </c>
      <c r="J18" s="483">
        <f t="shared" ca="1" si="3"/>
        <v>0</v>
      </c>
      <c r="K18" s="483">
        <f t="shared" ca="1" si="3"/>
        <v>0</v>
      </c>
      <c r="L18" s="483">
        <f t="shared" ca="1" si="3"/>
        <v>0</v>
      </c>
      <c r="M18" s="483">
        <f t="shared" ca="1" si="3"/>
        <v>0</v>
      </c>
      <c r="N18" s="483">
        <f t="shared" ca="1" si="3"/>
        <v>0</v>
      </c>
      <c r="O18" s="483">
        <f t="shared" ca="1" si="3"/>
        <v>0</v>
      </c>
      <c r="P18" s="483">
        <f t="shared" ca="1" si="3"/>
        <v>0</v>
      </c>
      <c r="Q18" s="483">
        <f t="shared" ca="1" si="3"/>
        <v>0</v>
      </c>
      <c r="R18" s="483">
        <f t="shared" ca="1" si="3"/>
        <v>0</v>
      </c>
      <c r="S18" s="483">
        <f t="shared" ca="1" si="3"/>
        <v>0</v>
      </c>
      <c r="T18" s="483">
        <f t="shared" ca="1" si="3"/>
        <v>0</v>
      </c>
      <c r="U18" s="483">
        <f t="shared" ca="1" si="3"/>
        <v>0</v>
      </c>
      <c r="V18" s="483">
        <f t="shared" ca="1" si="3"/>
        <v>0</v>
      </c>
      <c r="W18" s="483">
        <f t="shared" ca="1" si="3"/>
        <v>0</v>
      </c>
      <c r="X18" s="483">
        <f t="shared" ca="1" si="3"/>
        <v>0</v>
      </c>
      <c r="Y18" s="483">
        <f t="shared" ca="1" si="3"/>
        <v>0</v>
      </c>
      <c r="Z18" s="483">
        <f t="shared" ca="1" si="3"/>
        <v>0</v>
      </c>
      <c r="AA18" s="483">
        <f t="shared" ca="1" si="3"/>
        <v>0</v>
      </c>
      <c r="AB18" s="483">
        <f t="shared" ca="1" si="3"/>
        <v>0</v>
      </c>
      <c r="AC18" s="483">
        <f t="shared" ca="1" si="3"/>
        <v>0</v>
      </c>
      <c r="AD18" s="483">
        <f t="shared" ca="1" si="3"/>
        <v>0</v>
      </c>
      <c r="AE18" s="483">
        <f t="shared" ca="1" si="3"/>
        <v>0</v>
      </c>
      <c r="AF18" s="483">
        <f t="shared" ca="1" si="3"/>
        <v>0</v>
      </c>
      <c r="AG18" s="483">
        <f t="shared" ca="1" si="3"/>
        <v>0</v>
      </c>
      <c r="AH18" s="483">
        <f t="shared" ca="1" si="3"/>
        <v>0</v>
      </c>
      <c r="AI18" s="483">
        <f t="shared" ca="1" si="3"/>
        <v>0</v>
      </c>
      <c r="AJ18" s="483">
        <f t="shared" ca="1" si="3"/>
        <v>0</v>
      </c>
      <c r="AK18" s="483">
        <f t="shared" ca="1" si="3"/>
        <v>0</v>
      </c>
      <c r="AL18" s="483">
        <f t="shared" ca="1" si="3"/>
        <v>0</v>
      </c>
      <c r="AM18" s="483">
        <f t="shared" ca="1" si="3"/>
        <v>0</v>
      </c>
      <c r="AN18" s="483">
        <f t="shared" ca="1" si="3"/>
        <v>0</v>
      </c>
      <c r="AO18" s="483">
        <f t="shared" ca="1" si="3"/>
        <v>0</v>
      </c>
      <c r="AP18" s="483">
        <f t="shared" ca="1" si="3"/>
        <v>0</v>
      </c>
      <c r="AQ18" s="483">
        <f t="shared" ca="1" si="3"/>
        <v>0</v>
      </c>
      <c r="AR18" s="483">
        <f t="shared" ca="1" si="3"/>
        <v>0</v>
      </c>
      <c r="AS18" s="483">
        <f t="shared" ca="1" si="3"/>
        <v>0</v>
      </c>
      <c r="AT18" s="483">
        <f t="shared" ca="1" si="3"/>
        <v>0</v>
      </c>
      <c r="AU18" s="483">
        <f t="shared" ca="1" si="3"/>
        <v>0</v>
      </c>
      <c r="AV18" s="483">
        <f t="shared" ca="1" si="3"/>
        <v>0</v>
      </c>
      <c r="AW18" s="483">
        <f t="shared" ca="1" si="3"/>
        <v>0</v>
      </c>
      <c r="AX18" s="483">
        <f t="shared" ca="1" si="3"/>
        <v>0</v>
      </c>
      <c r="AY18" s="483">
        <f t="shared" ca="1" si="3"/>
        <v>0</v>
      </c>
      <c r="AZ18" s="483">
        <f t="shared" ca="1" si="3"/>
        <v>0</v>
      </c>
      <c r="BA18" s="483">
        <f t="shared" ca="1" si="3"/>
        <v>0</v>
      </c>
      <c r="BB18" s="483">
        <f t="shared" ca="1" si="3"/>
        <v>0</v>
      </c>
      <c r="BC18" s="483">
        <f t="shared" ca="1" si="3"/>
        <v>0</v>
      </c>
      <c r="BD18" s="483">
        <f t="shared" ca="1" si="3"/>
        <v>0</v>
      </c>
      <c r="BE18" s="483">
        <f t="shared" ca="1" si="3"/>
        <v>0</v>
      </c>
      <c r="BF18" s="483">
        <f t="shared" ca="1" si="3"/>
        <v>0</v>
      </c>
      <c r="BG18" s="483">
        <f t="shared" ca="1" si="3"/>
        <v>0</v>
      </c>
      <c r="BH18" s="483">
        <f t="shared" ca="1" si="3"/>
        <v>0</v>
      </c>
      <c r="BI18" s="483">
        <f t="shared" ca="1" si="3"/>
        <v>0</v>
      </c>
    </row>
    <row r="19" spans="1:61" x14ac:dyDescent="0.15">
      <c r="A19" s="489" t="s">
        <v>585</v>
      </c>
      <c r="B19" s="483">
        <f ca="1">SUM(B20:B22)</f>
        <v>0</v>
      </c>
      <c r="C19" s="483">
        <f t="shared" ref="C19:BI19" ca="1" si="4">SUM(C20:C22)</f>
        <v>0</v>
      </c>
      <c r="D19" s="483">
        <f t="shared" ca="1" si="4"/>
        <v>0</v>
      </c>
      <c r="E19" s="483">
        <f t="shared" ca="1" si="4"/>
        <v>0</v>
      </c>
      <c r="F19" s="483">
        <f t="shared" ca="1" si="4"/>
        <v>0</v>
      </c>
      <c r="G19" s="483">
        <f t="shared" ca="1" si="4"/>
        <v>0</v>
      </c>
      <c r="H19" s="483">
        <f t="shared" ca="1" si="4"/>
        <v>0</v>
      </c>
      <c r="I19" s="483">
        <f t="shared" ca="1" si="4"/>
        <v>0</v>
      </c>
      <c r="J19" s="483">
        <f t="shared" ca="1" si="4"/>
        <v>0</v>
      </c>
      <c r="K19" s="483">
        <f t="shared" ca="1" si="4"/>
        <v>0</v>
      </c>
      <c r="L19" s="483">
        <f t="shared" ca="1" si="4"/>
        <v>0</v>
      </c>
      <c r="M19" s="483">
        <f t="shared" ca="1" si="4"/>
        <v>0</v>
      </c>
      <c r="N19" s="483">
        <f t="shared" ca="1" si="4"/>
        <v>0</v>
      </c>
      <c r="O19" s="483">
        <f t="shared" ca="1" si="4"/>
        <v>0</v>
      </c>
      <c r="P19" s="483">
        <f t="shared" ca="1" si="4"/>
        <v>0</v>
      </c>
      <c r="Q19" s="483">
        <f t="shared" ca="1" si="4"/>
        <v>0</v>
      </c>
      <c r="R19" s="483">
        <f t="shared" ca="1" si="4"/>
        <v>0</v>
      </c>
      <c r="S19" s="483">
        <f t="shared" ca="1" si="4"/>
        <v>0</v>
      </c>
      <c r="T19" s="483">
        <f t="shared" ca="1" si="4"/>
        <v>0</v>
      </c>
      <c r="U19" s="483">
        <f t="shared" ca="1" si="4"/>
        <v>0</v>
      </c>
      <c r="V19" s="483">
        <f t="shared" ca="1" si="4"/>
        <v>0</v>
      </c>
      <c r="W19" s="483">
        <f t="shared" ca="1" si="4"/>
        <v>0</v>
      </c>
      <c r="X19" s="483">
        <f t="shared" ca="1" si="4"/>
        <v>0</v>
      </c>
      <c r="Y19" s="483">
        <f t="shared" ca="1" si="4"/>
        <v>0</v>
      </c>
      <c r="Z19" s="483">
        <f t="shared" ca="1" si="4"/>
        <v>0</v>
      </c>
      <c r="AA19" s="483">
        <f t="shared" ca="1" si="4"/>
        <v>0</v>
      </c>
      <c r="AB19" s="483">
        <f t="shared" ca="1" si="4"/>
        <v>0</v>
      </c>
      <c r="AC19" s="483">
        <f t="shared" ca="1" si="4"/>
        <v>0</v>
      </c>
      <c r="AD19" s="483">
        <f t="shared" ca="1" si="4"/>
        <v>0</v>
      </c>
      <c r="AE19" s="483">
        <f t="shared" ca="1" si="4"/>
        <v>0</v>
      </c>
      <c r="AF19" s="483">
        <f t="shared" ca="1" si="4"/>
        <v>0</v>
      </c>
      <c r="AG19" s="483">
        <f t="shared" ca="1" si="4"/>
        <v>0</v>
      </c>
      <c r="AH19" s="483">
        <f t="shared" ca="1" si="4"/>
        <v>0</v>
      </c>
      <c r="AI19" s="483">
        <f t="shared" ca="1" si="4"/>
        <v>0</v>
      </c>
      <c r="AJ19" s="483">
        <f t="shared" ca="1" si="4"/>
        <v>0</v>
      </c>
      <c r="AK19" s="483">
        <f t="shared" ca="1" si="4"/>
        <v>0</v>
      </c>
      <c r="AL19" s="483">
        <f t="shared" ca="1" si="4"/>
        <v>0</v>
      </c>
      <c r="AM19" s="483">
        <f t="shared" ca="1" si="4"/>
        <v>0</v>
      </c>
      <c r="AN19" s="483">
        <f t="shared" ca="1" si="4"/>
        <v>0</v>
      </c>
      <c r="AO19" s="483">
        <f t="shared" ca="1" si="4"/>
        <v>0</v>
      </c>
      <c r="AP19" s="483">
        <f t="shared" ca="1" si="4"/>
        <v>0</v>
      </c>
      <c r="AQ19" s="483">
        <f t="shared" ca="1" si="4"/>
        <v>0</v>
      </c>
      <c r="AR19" s="483">
        <f t="shared" ca="1" si="4"/>
        <v>0</v>
      </c>
      <c r="AS19" s="483">
        <f t="shared" ca="1" si="4"/>
        <v>0</v>
      </c>
      <c r="AT19" s="483">
        <f t="shared" ca="1" si="4"/>
        <v>0</v>
      </c>
      <c r="AU19" s="483">
        <f t="shared" ca="1" si="4"/>
        <v>0</v>
      </c>
      <c r="AV19" s="483">
        <f t="shared" ca="1" si="4"/>
        <v>0</v>
      </c>
      <c r="AW19" s="483">
        <f t="shared" ca="1" si="4"/>
        <v>0</v>
      </c>
      <c r="AX19" s="483">
        <f t="shared" ca="1" si="4"/>
        <v>0</v>
      </c>
      <c r="AY19" s="483">
        <f t="shared" ca="1" si="4"/>
        <v>0</v>
      </c>
      <c r="AZ19" s="483">
        <f t="shared" ca="1" si="4"/>
        <v>0</v>
      </c>
      <c r="BA19" s="483">
        <f t="shared" ca="1" si="4"/>
        <v>0</v>
      </c>
      <c r="BB19" s="483">
        <f t="shared" ca="1" si="4"/>
        <v>0</v>
      </c>
      <c r="BC19" s="483">
        <f t="shared" ca="1" si="4"/>
        <v>0</v>
      </c>
      <c r="BD19" s="483">
        <f t="shared" ca="1" si="4"/>
        <v>0</v>
      </c>
      <c r="BE19" s="483">
        <f t="shared" ca="1" si="4"/>
        <v>0</v>
      </c>
      <c r="BF19" s="483">
        <f t="shared" ca="1" si="4"/>
        <v>0</v>
      </c>
      <c r="BG19" s="483">
        <f t="shared" ca="1" si="4"/>
        <v>0</v>
      </c>
      <c r="BH19" s="483">
        <f t="shared" ca="1" si="4"/>
        <v>0</v>
      </c>
      <c r="BI19" s="483">
        <f t="shared" ca="1" si="4"/>
        <v>0</v>
      </c>
    </row>
    <row r="20" spans="1:61" x14ac:dyDescent="0.15">
      <c r="A20" s="477" t="s">
        <v>430</v>
      </c>
      <c r="B20" s="488" cm="1">
        <f t="array" aca="1" ref="B20" ca="1">SUMPRODUCT(B$54:B$113,TRANSPOSE(SAP_Speadsheet!$E$68:$BL$68))</f>
        <v>0</v>
      </c>
      <c r="C20" s="488" cm="1">
        <f t="array" aca="1" ref="C20" ca="1">SUMPRODUCT(C$54:C$113,TRANSPOSE(SAP_Speadsheet!$E$68:$BL$68))</f>
        <v>0</v>
      </c>
      <c r="D20" s="488" cm="1">
        <f t="array" aca="1" ref="D20" ca="1">SUMPRODUCT(D$54:D$113,TRANSPOSE(SAP_Speadsheet!$E$68:$BL$68))</f>
        <v>0</v>
      </c>
      <c r="E20" s="488" cm="1">
        <f t="array" aca="1" ref="E20" ca="1">SUMPRODUCT(E$54:E$113,TRANSPOSE(SAP_Speadsheet!$E$68:$BL$68))</f>
        <v>0</v>
      </c>
      <c r="F20" s="488" cm="1">
        <f t="array" aca="1" ref="F20" ca="1">SUMPRODUCT(F$54:F$113,TRANSPOSE(SAP_Speadsheet!$E$68:$BL$68))</f>
        <v>0</v>
      </c>
      <c r="G20" s="488" cm="1">
        <f t="array" aca="1" ref="G20" ca="1">SUMPRODUCT(G$54:G$113,TRANSPOSE(SAP_Speadsheet!$E$68:$BL$68))</f>
        <v>0</v>
      </c>
      <c r="H20" s="488" cm="1">
        <f t="array" aca="1" ref="H20" ca="1">SUMPRODUCT(H$54:H$113,TRANSPOSE(SAP_Speadsheet!$E$68:$BL$68))</f>
        <v>0</v>
      </c>
      <c r="I20" s="488" cm="1">
        <f t="array" aca="1" ref="I20" ca="1">SUMPRODUCT(I$54:I$113,TRANSPOSE(SAP_Speadsheet!$E$68:$BL$68))</f>
        <v>0</v>
      </c>
      <c r="J20" s="488" cm="1">
        <f t="array" aca="1" ref="J20" ca="1">SUMPRODUCT(J$54:J$113,TRANSPOSE(SAP_Speadsheet!$E$68:$BL$68))</f>
        <v>0</v>
      </c>
      <c r="K20" s="488" cm="1">
        <f t="array" aca="1" ref="K20" ca="1">SUMPRODUCT(K$54:K$113,TRANSPOSE(SAP_Speadsheet!$E$68:$BL$68))</f>
        <v>0</v>
      </c>
      <c r="L20" s="488" cm="1">
        <f t="array" aca="1" ref="L20" ca="1">SUMPRODUCT(L$54:L$113,TRANSPOSE(SAP_Speadsheet!$E$68:$BL$68))</f>
        <v>0</v>
      </c>
      <c r="M20" s="488" cm="1">
        <f t="array" aca="1" ref="M20" ca="1">SUMPRODUCT(M$54:M$113,TRANSPOSE(SAP_Speadsheet!$E$68:$BL$68))</f>
        <v>0</v>
      </c>
      <c r="N20" s="488" cm="1">
        <f t="array" aca="1" ref="N20" ca="1">SUMPRODUCT(N$54:N$113,TRANSPOSE(SAP_Speadsheet!$E$68:$BL$68))</f>
        <v>0</v>
      </c>
      <c r="O20" s="488" cm="1">
        <f t="array" aca="1" ref="O20" ca="1">SUMPRODUCT(O$54:O$113,TRANSPOSE(SAP_Speadsheet!$E$68:$BL$68))</f>
        <v>0</v>
      </c>
      <c r="P20" s="488" cm="1">
        <f t="array" aca="1" ref="P20" ca="1">SUMPRODUCT(P$54:P$113,TRANSPOSE(SAP_Speadsheet!$E$68:$BL$68))</f>
        <v>0</v>
      </c>
      <c r="Q20" s="488" cm="1">
        <f t="array" aca="1" ref="Q20" ca="1">SUMPRODUCT(Q$54:Q$113,TRANSPOSE(SAP_Speadsheet!$E$68:$BL$68))</f>
        <v>0</v>
      </c>
      <c r="R20" s="488" cm="1">
        <f t="array" aca="1" ref="R20" ca="1">SUMPRODUCT(R$54:R$113,TRANSPOSE(SAP_Speadsheet!$E$68:$BL$68))</f>
        <v>0</v>
      </c>
      <c r="S20" s="488" cm="1">
        <f t="array" aca="1" ref="S20" ca="1">SUMPRODUCT(S$54:S$113,TRANSPOSE(SAP_Speadsheet!$E$68:$BL$68))</f>
        <v>0</v>
      </c>
      <c r="T20" s="488" cm="1">
        <f t="array" aca="1" ref="T20" ca="1">SUMPRODUCT(T$54:T$113,TRANSPOSE(SAP_Speadsheet!$E$68:$BL$68))</f>
        <v>0</v>
      </c>
      <c r="U20" s="488" cm="1">
        <f t="array" aca="1" ref="U20" ca="1">SUMPRODUCT(U$54:U$113,TRANSPOSE(SAP_Speadsheet!$E$68:$BL$68))</f>
        <v>0</v>
      </c>
      <c r="V20" s="488" cm="1">
        <f t="array" aca="1" ref="V20" ca="1">SUMPRODUCT(V$54:V$113,TRANSPOSE(SAP_Speadsheet!$E$68:$BL$68))</f>
        <v>0</v>
      </c>
      <c r="W20" s="488" cm="1">
        <f t="array" aca="1" ref="W20" ca="1">SUMPRODUCT(W$54:W$113,TRANSPOSE(SAP_Speadsheet!$E$68:$BL$68))</f>
        <v>0</v>
      </c>
      <c r="X20" s="488" cm="1">
        <f t="array" aca="1" ref="X20" ca="1">SUMPRODUCT(X$54:X$113,TRANSPOSE(SAP_Speadsheet!$E$68:$BL$68))</f>
        <v>0</v>
      </c>
      <c r="Y20" s="488" cm="1">
        <f t="array" aca="1" ref="Y20" ca="1">SUMPRODUCT(Y$54:Y$113,TRANSPOSE(SAP_Speadsheet!$E$68:$BL$68))</f>
        <v>0</v>
      </c>
      <c r="Z20" s="488" cm="1">
        <f t="array" aca="1" ref="Z20" ca="1">SUMPRODUCT(Z$54:Z$113,TRANSPOSE(SAP_Speadsheet!$E$68:$BL$68))</f>
        <v>0</v>
      </c>
      <c r="AA20" s="488" cm="1">
        <f t="array" aca="1" ref="AA20" ca="1">SUMPRODUCT(AA$54:AA$113,TRANSPOSE(SAP_Speadsheet!$E$68:$BL$68))</f>
        <v>0</v>
      </c>
      <c r="AB20" s="488" cm="1">
        <f t="array" aca="1" ref="AB20" ca="1">SUMPRODUCT(AB$54:AB$113,TRANSPOSE(SAP_Speadsheet!$E$68:$BL$68))</f>
        <v>0</v>
      </c>
      <c r="AC20" s="488" cm="1">
        <f t="array" aca="1" ref="AC20" ca="1">SUMPRODUCT(AC$54:AC$113,TRANSPOSE(SAP_Speadsheet!$E$68:$BL$68))</f>
        <v>0</v>
      </c>
      <c r="AD20" s="488" cm="1">
        <f t="array" aca="1" ref="AD20" ca="1">SUMPRODUCT(AD$54:AD$113,TRANSPOSE(SAP_Speadsheet!$E$68:$BL$68))</f>
        <v>0</v>
      </c>
      <c r="AE20" s="488" cm="1">
        <f t="array" aca="1" ref="AE20" ca="1">SUMPRODUCT(AE$54:AE$113,TRANSPOSE(SAP_Speadsheet!$E$68:$BL$68))</f>
        <v>0</v>
      </c>
      <c r="AF20" s="488" cm="1">
        <f t="array" aca="1" ref="AF20" ca="1">SUMPRODUCT(AF$54:AF$113,TRANSPOSE(SAP_Speadsheet!$E$68:$BL$68))</f>
        <v>0</v>
      </c>
      <c r="AG20" s="488" cm="1">
        <f t="array" aca="1" ref="AG20" ca="1">SUMPRODUCT(AG$54:AG$113,TRANSPOSE(SAP_Speadsheet!$E$68:$BL$68))</f>
        <v>0</v>
      </c>
      <c r="AH20" s="488" cm="1">
        <f t="array" aca="1" ref="AH20" ca="1">SUMPRODUCT(AH$54:AH$113,TRANSPOSE(SAP_Speadsheet!$E$68:$BL$68))</f>
        <v>0</v>
      </c>
      <c r="AI20" s="488" cm="1">
        <f t="array" aca="1" ref="AI20" ca="1">SUMPRODUCT(AI$54:AI$113,TRANSPOSE(SAP_Speadsheet!$E$68:$BL$68))</f>
        <v>0</v>
      </c>
      <c r="AJ20" s="488" cm="1">
        <f t="array" aca="1" ref="AJ20" ca="1">SUMPRODUCT(AJ$54:AJ$113,TRANSPOSE(SAP_Speadsheet!$E$68:$BL$68))</f>
        <v>0</v>
      </c>
      <c r="AK20" s="488" cm="1">
        <f t="array" aca="1" ref="AK20" ca="1">SUMPRODUCT(AK$54:AK$113,TRANSPOSE(SAP_Speadsheet!$E$68:$BL$68))</f>
        <v>0</v>
      </c>
      <c r="AL20" s="488" cm="1">
        <f t="array" aca="1" ref="AL20" ca="1">SUMPRODUCT(AL$54:AL$113,TRANSPOSE(SAP_Speadsheet!$E$68:$BL$68))</f>
        <v>0</v>
      </c>
      <c r="AM20" s="488" cm="1">
        <f t="array" aca="1" ref="AM20" ca="1">SUMPRODUCT(AM$54:AM$113,TRANSPOSE(SAP_Speadsheet!$E$68:$BL$68))</f>
        <v>0</v>
      </c>
      <c r="AN20" s="488" cm="1">
        <f t="array" aca="1" ref="AN20" ca="1">SUMPRODUCT(AN$54:AN$113,TRANSPOSE(SAP_Speadsheet!$E$68:$BL$68))</f>
        <v>0</v>
      </c>
      <c r="AO20" s="488" cm="1">
        <f t="array" aca="1" ref="AO20" ca="1">SUMPRODUCT(AO$54:AO$113,TRANSPOSE(SAP_Speadsheet!$E$68:$BL$68))</f>
        <v>0</v>
      </c>
      <c r="AP20" s="488" cm="1">
        <f t="array" aca="1" ref="AP20" ca="1">SUMPRODUCT(AP$54:AP$113,TRANSPOSE(SAP_Speadsheet!$E$68:$BL$68))</f>
        <v>0</v>
      </c>
      <c r="AQ20" s="488" cm="1">
        <f t="array" aca="1" ref="AQ20" ca="1">SUMPRODUCT(AQ$54:AQ$113,TRANSPOSE(SAP_Speadsheet!$E$68:$BL$68))</f>
        <v>0</v>
      </c>
      <c r="AR20" s="488" cm="1">
        <f t="array" aca="1" ref="AR20" ca="1">SUMPRODUCT(AR$54:AR$113,TRANSPOSE(SAP_Speadsheet!$E$68:$BL$68))</f>
        <v>0</v>
      </c>
      <c r="AS20" s="488" cm="1">
        <f t="array" aca="1" ref="AS20" ca="1">SUMPRODUCT(AS$54:AS$113,TRANSPOSE(SAP_Speadsheet!$E$68:$BL$68))</f>
        <v>0</v>
      </c>
      <c r="AT20" s="488" cm="1">
        <f t="array" aca="1" ref="AT20" ca="1">SUMPRODUCT(AT$54:AT$113,TRANSPOSE(SAP_Speadsheet!$E$68:$BL$68))</f>
        <v>0</v>
      </c>
      <c r="AU20" s="488" cm="1">
        <f t="array" aca="1" ref="AU20" ca="1">SUMPRODUCT(AU$54:AU$113,TRANSPOSE(SAP_Speadsheet!$E$68:$BL$68))</f>
        <v>0</v>
      </c>
      <c r="AV20" s="488" cm="1">
        <f t="array" aca="1" ref="AV20" ca="1">SUMPRODUCT(AV$54:AV$113,TRANSPOSE(SAP_Speadsheet!$E$68:$BL$68))</f>
        <v>0</v>
      </c>
      <c r="AW20" s="488" cm="1">
        <f t="array" aca="1" ref="AW20" ca="1">SUMPRODUCT(AW$54:AW$113,TRANSPOSE(SAP_Speadsheet!$E$68:$BL$68))</f>
        <v>0</v>
      </c>
      <c r="AX20" s="488" cm="1">
        <f t="array" aca="1" ref="AX20" ca="1">SUMPRODUCT(AX$54:AX$113,TRANSPOSE(SAP_Speadsheet!$E$68:$BL$68))</f>
        <v>0</v>
      </c>
      <c r="AY20" s="488" cm="1">
        <f t="array" aca="1" ref="AY20" ca="1">SUMPRODUCT(AY$54:AY$113,TRANSPOSE(SAP_Speadsheet!$E$68:$BL$68))</f>
        <v>0</v>
      </c>
      <c r="AZ20" s="488" cm="1">
        <f t="array" aca="1" ref="AZ20" ca="1">SUMPRODUCT(AZ$54:AZ$113,TRANSPOSE(SAP_Speadsheet!$E$68:$BL$68))</f>
        <v>0</v>
      </c>
      <c r="BA20" s="488" cm="1">
        <f t="array" aca="1" ref="BA20" ca="1">SUMPRODUCT(BA$54:BA$113,TRANSPOSE(SAP_Speadsheet!$E$68:$BL$68))</f>
        <v>0</v>
      </c>
      <c r="BB20" s="488" cm="1">
        <f t="array" aca="1" ref="BB20" ca="1">SUMPRODUCT(BB$54:BB$113,TRANSPOSE(SAP_Speadsheet!$E$68:$BL$68))</f>
        <v>0</v>
      </c>
      <c r="BC20" s="488" cm="1">
        <f t="array" aca="1" ref="BC20" ca="1">SUMPRODUCT(BC$54:BC$113,TRANSPOSE(SAP_Speadsheet!$E$68:$BL$68))</f>
        <v>0</v>
      </c>
      <c r="BD20" s="488" cm="1">
        <f t="array" aca="1" ref="BD20" ca="1">SUMPRODUCT(BD$54:BD$113,TRANSPOSE(SAP_Speadsheet!$E$68:$BL$68))</f>
        <v>0</v>
      </c>
      <c r="BE20" s="488" cm="1">
        <f t="array" aca="1" ref="BE20" ca="1">SUMPRODUCT(BE$54:BE$113,TRANSPOSE(SAP_Speadsheet!$E$68:$BL$68))</f>
        <v>0</v>
      </c>
      <c r="BF20" s="488" cm="1">
        <f t="array" aca="1" ref="BF20" ca="1">SUMPRODUCT(BF$54:BF$113,TRANSPOSE(SAP_Speadsheet!$E$68:$BL$68))</f>
        <v>0</v>
      </c>
      <c r="BG20" s="488" cm="1">
        <f t="array" aca="1" ref="BG20" ca="1">SUMPRODUCT(BG$54:BG$113,TRANSPOSE(SAP_Speadsheet!$E$68:$BL$68))</f>
        <v>0</v>
      </c>
      <c r="BH20" s="488" cm="1">
        <f t="array" aca="1" ref="BH20" ca="1">SUMPRODUCT(BH$54:BH$113,TRANSPOSE(SAP_Speadsheet!$E$68:$BL$68))</f>
        <v>0</v>
      </c>
      <c r="BI20" s="488" cm="1">
        <f t="array" aca="1" ref="BI20" ca="1">SUMPRODUCT(BI$54:BI$113,TRANSPOSE(SAP_Speadsheet!$E$68:$BL$68))</f>
        <v>0</v>
      </c>
    </row>
    <row r="21" spans="1:61" x14ac:dyDescent="0.15">
      <c r="A21" s="477" t="s">
        <v>431</v>
      </c>
      <c r="B21" s="488" cm="1">
        <f t="array" aca="1" ref="B21" ca="1">SUMPRODUCT(B$54:B$113,TRANSPOSE(SAP_Speadsheet!$E$69:$BL$69))</f>
        <v>0</v>
      </c>
      <c r="C21" s="488" cm="1">
        <f t="array" aca="1" ref="C21" ca="1">SUMPRODUCT(C$54:C$113,TRANSPOSE(SAP_Speadsheet!$E$69:$BL$69))</f>
        <v>0</v>
      </c>
      <c r="D21" s="488" cm="1">
        <f t="array" aca="1" ref="D21" ca="1">SUMPRODUCT(D$54:D$113,TRANSPOSE(SAP_Speadsheet!$E$69:$BL$69))</f>
        <v>0</v>
      </c>
      <c r="E21" s="488" cm="1">
        <f t="array" aca="1" ref="E21" ca="1">SUMPRODUCT(E$54:E$113,TRANSPOSE(SAP_Speadsheet!$E$69:$BL$69))</f>
        <v>0</v>
      </c>
      <c r="F21" s="488" cm="1">
        <f t="array" aca="1" ref="F21" ca="1">SUMPRODUCT(F$54:F$113,TRANSPOSE(SAP_Speadsheet!$E$69:$BL$69))</f>
        <v>0</v>
      </c>
      <c r="G21" s="488" cm="1">
        <f t="array" aca="1" ref="G21" ca="1">SUMPRODUCT(G$54:G$113,TRANSPOSE(SAP_Speadsheet!$E$69:$BL$69))</f>
        <v>0</v>
      </c>
      <c r="H21" s="488" cm="1">
        <f t="array" aca="1" ref="H21" ca="1">SUMPRODUCT(H$54:H$113,TRANSPOSE(SAP_Speadsheet!$E$69:$BL$69))</f>
        <v>0</v>
      </c>
      <c r="I21" s="488" cm="1">
        <f t="array" aca="1" ref="I21" ca="1">SUMPRODUCT(I$54:I$113,TRANSPOSE(SAP_Speadsheet!$E$69:$BL$69))</f>
        <v>0</v>
      </c>
      <c r="J21" s="488" cm="1">
        <f t="array" aca="1" ref="J21" ca="1">SUMPRODUCT(J$54:J$113,TRANSPOSE(SAP_Speadsheet!$E$69:$BL$69))</f>
        <v>0</v>
      </c>
      <c r="K21" s="488" cm="1">
        <f t="array" aca="1" ref="K21" ca="1">SUMPRODUCT(K$54:K$113,TRANSPOSE(SAP_Speadsheet!$E$69:$BL$69))</f>
        <v>0</v>
      </c>
      <c r="L21" s="488" cm="1">
        <f t="array" aca="1" ref="L21" ca="1">SUMPRODUCT(L$54:L$113,TRANSPOSE(SAP_Speadsheet!$E$69:$BL$69))</f>
        <v>0</v>
      </c>
      <c r="M21" s="488" cm="1">
        <f t="array" aca="1" ref="M21" ca="1">SUMPRODUCT(M$54:M$113,TRANSPOSE(SAP_Speadsheet!$E$69:$BL$69))</f>
        <v>0</v>
      </c>
      <c r="N21" s="488" cm="1">
        <f t="array" aca="1" ref="N21" ca="1">SUMPRODUCT(N$54:N$113,TRANSPOSE(SAP_Speadsheet!$E$69:$BL$69))</f>
        <v>0</v>
      </c>
      <c r="O21" s="488" cm="1">
        <f t="array" aca="1" ref="O21" ca="1">SUMPRODUCT(O$54:O$113,TRANSPOSE(SAP_Speadsheet!$E$69:$BL$69))</f>
        <v>0</v>
      </c>
      <c r="P21" s="488" cm="1">
        <f t="array" aca="1" ref="P21" ca="1">SUMPRODUCT(P$54:P$113,TRANSPOSE(SAP_Speadsheet!$E$69:$BL$69))</f>
        <v>0</v>
      </c>
      <c r="Q21" s="488" cm="1">
        <f t="array" aca="1" ref="Q21" ca="1">SUMPRODUCT(Q$54:Q$113,TRANSPOSE(SAP_Speadsheet!$E$69:$BL$69))</f>
        <v>0</v>
      </c>
      <c r="R21" s="488" cm="1">
        <f t="array" aca="1" ref="R21" ca="1">SUMPRODUCT(R$54:R$113,TRANSPOSE(SAP_Speadsheet!$E$69:$BL$69))</f>
        <v>0</v>
      </c>
      <c r="S21" s="488" cm="1">
        <f t="array" aca="1" ref="S21" ca="1">SUMPRODUCT(S$54:S$113,TRANSPOSE(SAP_Speadsheet!$E$69:$BL$69))</f>
        <v>0</v>
      </c>
      <c r="T21" s="488" cm="1">
        <f t="array" aca="1" ref="T21" ca="1">SUMPRODUCT(T$54:T$113,TRANSPOSE(SAP_Speadsheet!$E$69:$BL$69))</f>
        <v>0</v>
      </c>
      <c r="U21" s="488" cm="1">
        <f t="array" aca="1" ref="U21" ca="1">SUMPRODUCT(U$54:U$113,TRANSPOSE(SAP_Speadsheet!$E$69:$BL$69))</f>
        <v>0</v>
      </c>
      <c r="V21" s="488" cm="1">
        <f t="array" aca="1" ref="V21" ca="1">SUMPRODUCT(V$54:V$113,TRANSPOSE(SAP_Speadsheet!$E$69:$BL$69))</f>
        <v>0</v>
      </c>
      <c r="W21" s="488" cm="1">
        <f t="array" aca="1" ref="W21" ca="1">SUMPRODUCT(W$54:W$113,TRANSPOSE(SAP_Speadsheet!$E$69:$BL$69))</f>
        <v>0</v>
      </c>
      <c r="X21" s="488" cm="1">
        <f t="array" aca="1" ref="X21" ca="1">SUMPRODUCT(X$54:X$113,TRANSPOSE(SAP_Speadsheet!$E$69:$BL$69))</f>
        <v>0</v>
      </c>
      <c r="Y21" s="488" cm="1">
        <f t="array" aca="1" ref="Y21" ca="1">SUMPRODUCT(Y$54:Y$113,TRANSPOSE(SAP_Speadsheet!$E$69:$BL$69))</f>
        <v>0</v>
      </c>
      <c r="Z21" s="488" cm="1">
        <f t="array" aca="1" ref="Z21" ca="1">SUMPRODUCT(Z$54:Z$113,TRANSPOSE(SAP_Speadsheet!$E$69:$BL$69))</f>
        <v>0</v>
      </c>
      <c r="AA21" s="488" cm="1">
        <f t="array" aca="1" ref="AA21" ca="1">SUMPRODUCT(AA$54:AA$113,TRANSPOSE(SAP_Speadsheet!$E$69:$BL$69))</f>
        <v>0</v>
      </c>
      <c r="AB21" s="488" cm="1">
        <f t="array" aca="1" ref="AB21" ca="1">SUMPRODUCT(AB$54:AB$113,TRANSPOSE(SAP_Speadsheet!$E$69:$BL$69))</f>
        <v>0</v>
      </c>
      <c r="AC21" s="488" cm="1">
        <f t="array" aca="1" ref="AC21" ca="1">SUMPRODUCT(AC$54:AC$113,TRANSPOSE(SAP_Speadsheet!$E$69:$BL$69))</f>
        <v>0</v>
      </c>
      <c r="AD21" s="488" cm="1">
        <f t="array" aca="1" ref="AD21" ca="1">SUMPRODUCT(AD$54:AD$113,TRANSPOSE(SAP_Speadsheet!$E$69:$BL$69))</f>
        <v>0</v>
      </c>
      <c r="AE21" s="488" cm="1">
        <f t="array" aca="1" ref="AE21" ca="1">SUMPRODUCT(AE$54:AE$113,TRANSPOSE(SAP_Speadsheet!$E$69:$BL$69))</f>
        <v>0</v>
      </c>
      <c r="AF21" s="488" cm="1">
        <f t="array" aca="1" ref="AF21" ca="1">SUMPRODUCT(AF$54:AF$113,TRANSPOSE(SAP_Speadsheet!$E$69:$BL$69))</f>
        <v>0</v>
      </c>
      <c r="AG21" s="488" cm="1">
        <f t="array" aca="1" ref="AG21" ca="1">SUMPRODUCT(AG$54:AG$113,TRANSPOSE(SAP_Speadsheet!$E$69:$BL$69))</f>
        <v>0</v>
      </c>
      <c r="AH21" s="488" cm="1">
        <f t="array" aca="1" ref="AH21" ca="1">SUMPRODUCT(AH$54:AH$113,TRANSPOSE(SAP_Speadsheet!$E$69:$BL$69))</f>
        <v>0</v>
      </c>
      <c r="AI21" s="488" cm="1">
        <f t="array" aca="1" ref="AI21" ca="1">SUMPRODUCT(AI$54:AI$113,TRANSPOSE(SAP_Speadsheet!$E$69:$BL$69))</f>
        <v>0</v>
      </c>
      <c r="AJ21" s="488" cm="1">
        <f t="array" aca="1" ref="AJ21" ca="1">SUMPRODUCT(AJ$54:AJ$113,TRANSPOSE(SAP_Speadsheet!$E$69:$BL$69))</f>
        <v>0</v>
      </c>
      <c r="AK21" s="488" cm="1">
        <f t="array" aca="1" ref="AK21" ca="1">SUMPRODUCT(AK$54:AK$113,TRANSPOSE(SAP_Speadsheet!$E$69:$BL$69))</f>
        <v>0</v>
      </c>
      <c r="AL21" s="488" cm="1">
        <f t="array" aca="1" ref="AL21" ca="1">SUMPRODUCT(AL$54:AL$113,TRANSPOSE(SAP_Speadsheet!$E$69:$BL$69))</f>
        <v>0</v>
      </c>
      <c r="AM21" s="488" cm="1">
        <f t="array" aca="1" ref="AM21" ca="1">SUMPRODUCT(AM$54:AM$113,TRANSPOSE(SAP_Speadsheet!$E$69:$BL$69))</f>
        <v>0</v>
      </c>
      <c r="AN21" s="488" cm="1">
        <f t="array" aca="1" ref="AN21" ca="1">SUMPRODUCT(AN$54:AN$113,TRANSPOSE(SAP_Speadsheet!$E$69:$BL$69))</f>
        <v>0</v>
      </c>
      <c r="AO21" s="488" cm="1">
        <f t="array" aca="1" ref="AO21" ca="1">SUMPRODUCT(AO$54:AO$113,TRANSPOSE(SAP_Speadsheet!$E$69:$BL$69))</f>
        <v>0</v>
      </c>
      <c r="AP21" s="488" cm="1">
        <f t="array" aca="1" ref="AP21" ca="1">SUMPRODUCT(AP$54:AP$113,TRANSPOSE(SAP_Speadsheet!$E$69:$BL$69))</f>
        <v>0</v>
      </c>
      <c r="AQ21" s="488" cm="1">
        <f t="array" aca="1" ref="AQ21" ca="1">SUMPRODUCT(AQ$54:AQ$113,TRANSPOSE(SAP_Speadsheet!$E$69:$BL$69))</f>
        <v>0</v>
      </c>
      <c r="AR21" s="488" cm="1">
        <f t="array" aca="1" ref="AR21" ca="1">SUMPRODUCT(AR$54:AR$113,TRANSPOSE(SAP_Speadsheet!$E$69:$BL$69))</f>
        <v>0</v>
      </c>
      <c r="AS21" s="488" cm="1">
        <f t="array" aca="1" ref="AS21" ca="1">SUMPRODUCT(AS$54:AS$113,TRANSPOSE(SAP_Speadsheet!$E$69:$BL$69))</f>
        <v>0</v>
      </c>
      <c r="AT21" s="488" cm="1">
        <f t="array" aca="1" ref="AT21" ca="1">SUMPRODUCT(AT$54:AT$113,TRANSPOSE(SAP_Speadsheet!$E$69:$BL$69))</f>
        <v>0</v>
      </c>
      <c r="AU21" s="488" cm="1">
        <f t="array" aca="1" ref="AU21" ca="1">SUMPRODUCT(AU$54:AU$113,TRANSPOSE(SAP_Speadsheet!$E$69:$BL$69))</f>
        <v>0</v>
      </c>
      <c r="AV21" s="488" cm="1">
        <f t="array" aca="1" ref="AV21" ca="1">SUMPRODUCT(AV$54:AV$113,TRANSPOSE(SAP_Speadsheet!$E$69:$BL$69))</f>
        <v>0</v>
      </c>
      <c r="AW21" s="488" cm="1">
        <f t="array" aca="1" ref="AW21" ca="1">SUMPRODUCT(AW$54:AW$113,TRANSPOSE(SAP_Speadsheet!$E$69:$BL$69))</f>
        <v>0</v>
      </c>
      <c r="AX21" s="488" cm="1">
        <f t="array" aca="1" ref="AX21" ca="1">SUMPRODUCT(AX$54:AX$113,TRANSPOSE(SAP_Speadsheet!$E$69:$BL$69))</f>
        <v>0</v>
      </c>
      <c r="AY21" s="488" cm="1">
        <f t="array" aca="1" ref="AY21" ca="1">SUMPRODUCT(AY$54:AY$113,TRANSPOSE(SAP_Speadsheet!$E$69:$BL$69))</f>
        <v>0</v>
      </c>
      <c r="AZ21" s="488" cm="1">
        <f t="array" aca="1" ref="AZ21" ca="1">SUMPRODUCT(AZ$54:AZ$113,TRANSPOSE(SAP_Speadsheet!$E$69:$BL$69))</f>
        <v>0</v>
      </c>
      <c r="BA21" s="488" cm="1">
        <f t="array" aca="1" ref="BA21" ca="1">SUMPRODUCT(BA$54:BA$113,TRANSPOSE(SAP_Speadsheet!$E$69:$BL$69))</f>
        <v>0</v>
      </c>
      <c r="BB21" s="488" cm="1">
        <f t="array" aca="1" ref="BB21" ca="1">SUMPRODUCT(BB$54:BB$113,TRANSPOSE(SAP_Speadsheet!$E$69:$BL$69))</f>
        <v>0</v>
      </c>
      <c r="BC21" s="488" cm="1">
        <f t="array" aca="1" ref="BC21" ca="1">SUMPRODUCT(BC$54:BC$113,TRANSPOSE(SAP_Speadsheet!$E$69:$BL$69))</f>
        <v>0</v>
      </c>
      <c r="BD21" s="488" cm="1">
        <f t="array" aca="1" ref="BD21" ca="1">SUMPRODUCT(BD$54:BD$113,TRANSPOSE(SAP_Speadsheet!$E$69:$BL$69))</f>
        <v>0</v>
      </c>
      <c r="BE21" s="488" cm="1">
        <f t="array" aca="1" ref="BE21" ca="1">SUMPRODUCT(BE$54:BE$113,TRANSPOSE(SAP_Speadsheet!$E$69:$BL$69))</f>
        <v>0</v>
      </c>
      <c r="BF21" s="488" cm="1">
        <f t="array" aca="1" ref="BF21" ca="1">SUMPRODUCT(BF$54:BF$113,TRANSPOSE(SAP_Speadsheet!$E$69:$BL$69))</f>
        <v>0</v>
      </c>
      <c r="BG21" s="488" cm="1">
        <f t="array" aca="1" ref="BG21" ca="1">SUMPRODUCT(BG$54:BG$113,TRANSPOSE(SAP_Speadsheet!$E$69:$BL$69))</f>
        <v>0</v>
      </c>
      <c r="BH21" s="488" cm="1">
        <f t="array" aca="1" ref="BH21" ca="1">SUMPRODUCT(BH$54:BH$113,TRANSPOSE(SAP_Speadsheet!$E$69:$BL$69))</f>
        <v>0</v>
      </c>
      <c r="BI21" s="488" cm="1">
        <f t="array" aca="1" ref="BI21" ca="1">SUMPRODUCT(BI$54:BI$113,TRANSPOSE(SAP_Speadsheet!$E$69:$BL$69))</f>
        <v>0</v>
      </c>
    </row>
    <row r="22" spans="1:61" s="476" customFormat="1" x14ac:dyDescent="0.15">
      <c r="A22" s="477" t="s">
        <v>432</v>
      </c>
      <c r="B22" s="488" cm="1">
        <f t="array" aca="1" ref="B22" ca="1">SUMPRODUCT(B$54:B$113,TRANSPOSE(SAP_Speadsheet!$E$78:$BL$78))</f>
        <v>0</v>
      </c>
      <c r="C22" s="488" cm="1">
        <f t="array" aca="1" ref="C22" ca="1">SUMPRODUCT(C$54:C$113,TRANSPOSE(SAP_Speadsheet!$E$78:$BL$78))</f>
        <v>0</v>
      </c>
      <c r="D22" s="488" cm="1">
        <f t="array" aca="1" ref="D22" ca="1">SUMPRODUCT(D$54:D$113,TRANSPOSE(SAP_Speadsheet!$E$78:$BL$78))</f>
        <v>0</v>
      </c>
      <c r="E22" s="488" cm="1">
        <f t="array" aca="1" ref="E22" ca="1">SUMPRODUCT(E$54:E$113,TRANSPOSE(SAP_Speadsheet!$E$78:$BL$78))</f>
        <v>0</v>
      </c>
      <c r="F22" s="488" cm="1">
        <f t="array" aca="1" ref="F22" ca="1">SUMPRODUCT(F$54:F$113,TRANSPOSE(SAP_Speadsheet!$E$78:$BL$78))</f>
        <v>0</v>
      </c>
      <c r="G22" s="488" cm="1">
        <f t="array" aca="1" ref="G22" ca="1">SUMPRODUCT(G$54:G$113,TRANSPOSE(SAP_Speadsheet!$E$78:$BL$78))</f>
        <v>0</v>
      </c>
      <c r="H22" s="488" cm="1">
        <f t="array" aca="1" ref="H22" ca="1">SUMPRODUCT(H$54:H$113,TRANSPOSE(SAP_Speadsheet!$E$78:$BL$78))</f>
        <v>0</v>
      </c>
      <c r="I22" s="488" cm="1">
        <f t="array" aca="1" ref="I22" ca="1">SUMPRODUCT(I$54:I$113,TRANSPOSE(SAP_Speadsheet!$E$78:$BL$78))</f>
        <v>0</v>
      </c>
      <c r="J22" s="488" cm="1">
        <f t="array" aca="1" ref="J22" ca="1">SUMPRODUCT(J$54:J$113,TRANSPOSE(SAP_Speadsheet!$E$78:$BL$78))</f>
        <v>0</v>
      </c>
      <c r="K22" s="488" cm="1">
        <f t="array" aca="1" ref="K22" ca="1">SUMPRODUCT(K$54:K$113,TRANSPOSE(SAP_Speadsheet!$E$78:$BL$78))</f>
        <v>0</v>
      </c>
      <c r="L22" s="488" cm="1">
        <f t="array" aca="1" ref="L22" ca="1">SUMPRODUCT(L$54:L$113,TRANSPOSE(SAP_Speadsheet!$E$78:$BL$78))</f>
        <v>0</v>
      </c>
      <c r="M22" s="488" cm="1">
        <f t="array" aca="1" ref="M22" ca="1">SUMPRODUCT(M$54:M$113,TRANSPOSE(SAP_Speadsheet!$E$78:$BL$78))</f>
        <v>0</v>
      </c>
      <c r="N22" s="488" cm="1">
        <f t="array" aca="1" ref="N22" ca="1">SUMPRODUCT(N$54:N$113,TRANSPOSE(SAP_Speadsheet!$E$78:$BL$78))</f>
        <v>0</v>
      </c>
      <c r="O22" s="488" cm="1">
        <f t="array" aca="1" ref="O22" ca="1">SUMPRODUCT(O$54:O$113,TRANSPOSE(SAP_Speadsheet!$E$78:$BL$78))</f>
        <v>0</v>
      </c>
      <c r="P22" s="488" cm="1">
        <f t="array" aca="1" ref="P22" ca="1">SUMPRODUCT(P$54:P$113,TRANSPOSE(SAP_Speadsheet!$E$78:$BL$78))</f>
        <v>0</v>
      </c>
      <c r="Q22" s="488" cm="1">
        <f t="array" aca="1" ref="Q22" ca="1">SUMPRODUCT(Q$54:Q$113,TRANSPOSE(SAP_Speadsheet!$E$78:$BL$78))</f>
        <v>0</v>
      </c>
      <c r="R22" s="488" cm="1">
        <f t="array" aca="1" ref="R22" ca="1">SUMPRODUCT(R$54:R$113,TRANSPOSE(SAP_Speadsheet!$E$78:$BL$78))</f>
        <v>0</v>
      </c>
      <c r="S22" s="488" cm="1">
        <f t="array" aca="1" ref="S22" ca="1">SUMPRODUCT(S$54:S$113,TRANSPOSE(SAP_Speadsheet!$E$78:$BL$78))</f>
        <v>0</v>
      </c>
      <c r="T22" s="488" cm="1">
        <f t="array" aca="1" ref="T22" ca="1">SUMPRODUCT(T$54:T$113,TRANSPOSE(SAP_Speadsheet!$E$78:$BL$78))</f>
        <v>0</v>
      </c>
      <c r="U22" s="488" cm="1">
        <f t="array" aca="1" ref="U22" ca="1">SUMPRODUCT(U$54:U$113,TRANSPOSE(SAP_Speadsheet!$E$78:$BL$78))</f>
        <v>0</v>
      </c>
      <c r="V22" s="488" cm="1">
        <f t="array" aca="1" ref="V22" ca="1">SUMPRODUCT(V$54:V$113,TRANSPOSE(SAP_Speadsheet!$E$78:$BL$78))</f>
        <v>0</v>
      </c>
      <c r="W22" s="488" cm="1">
        <f t="array" aca="1" ref="W22" ca="1">SUMPRODUCT(W$54:W$113,TRANSPOSE(SAP_Speadsheet!$E$78:$BL$78))</f>
        <v>0</v>
      </c>
      <c r="X22" s="488" cm="1">
        <f t="array" aca="1" ref="X22" ca="1">SUMPRODUCT(X$54:X$113,TRANSPOSE(SAP_Speadsheet!$E$78:$BL$78))</f>
        <v>0</v>
      </c>
      <c r="Y22" s="488" cm="1">
        <f t="array" aca="1" ref="Y22" ca="1">SUMPRODUCT(Y$54:Y$113,TRANSPOSE(SAP_Speadsheet!$E$78:$BL$78))</f>
        <v>0</v>
      </c>
      <c r="Z22" s="488" cm="1">
        <f t="array" aca="1" ref="Z22" ca="1">SUMPRODUCT(Z$54:Z$113,TRANSPOSE(SAP_Speadsheet!$E$78:$BL$78))</f>
        <v>0</v>
      </c>
      <c r="AA22" s="488" cm="1">
        <f t="array" aca="1" ref="AA22" ca="1">SUMPRODUCT(AA$54:AA$113,TRANSPOSE(SAP_Speadsheet!$E$78:$BL$78))</f>
        <v>0</v>
      </c>
      <c r="AB22" s="488" cm="1">
        <f t="array" aca="1" ref="AB22" ca="1">SUMPRODUCT(AB$54:AB$113,TRANSPOSE(SAP_Speadsheet!$E$78:$BL$78))</f>
        <v>0</v>
      </c>
      <c r="AC22" s="488" cm="1">
        <f t="array" aca="1" ref="AC22" ca="1">SUMPRODUCT(AC$54:AC$113,TRANSPOSE(SAP_Speadsheet!$E$78:$BL$78))</f>
        <v>0</v>
      </c>
      <c r="AD22" s="488" cm="1">
        <f t="array" aca="1" ref="AD22" ca="1">SUMPRODUCT(AD$54:AD$113,TRANSPOSE(SAP_Speadsheet!$E$78:$BL$78))</f>
        <v>0</v>
      </c>
      <c r="AE22" s="488" cm="1">
        <f t="array" aca="1" ref="AE22" ca="1">SUMPRODUCT(AE$54:AE$113,TRANSPOSE(SAP_Speadsheet!$E$78:$BL$78))</f>
        <v>0</v>
      </c>
      <c r="AF22" s="488" cm="1">
        <f t="array" aca="1" ref="AF22" ca="1">SUMPRODUCT(AF$54:AF$113,TRANSPOSE(SAP_Speadsheet!$E$78:$BL$78))</f>
        <v>0</v>
      </c>
      <c r="AG22" s="488" cm="1">
        <f t="array" aca="1" ref="AG22" ca="1">SUMPRODUCT(AG$54:AG$113,TRANSPOSE(SAP_Speadsheet!$E$78:$BL$78))</f>
        <v>0</v>
      </c>
      <c r="AH22" s="488" cm="1">
        <f t="array" aca="1" ref="AH22" ca="1">SUMPRODUCT(AH$54:AH$113,TRANSPOSE(SAP_Speadsheet!$E$78:$BL$78))</f>
        <v>0</v>
      </c>
      <c r="AI22" s="488" cm="1">
        <f t="array" aca="1" ref="AI22" ca="1">SUMPRODUCT(AI$54:AI$113,TRANSPOSE(SAP_Speadsheet!$E$78:$BL$78))</f>
        <v>0</v>
      </c>
      <c r="AJ22" s="488" cm="1">
        <f t="array" aca="1" ref="AJ22" ca="1">SUMPRODUCT(AJ$54:AJ$113,TRANSPOSE(SAP_Speadsheet!$E$78:$BL$78))</f>
        <v>0</v>
      </c>
      <c r="AK22" s="488" cm="1">
        <f t="array" aca="1" ref="AK22" ca="1">SUMPRODUCT(AK$54:AK$113,TRANSPOSE(SAP_Speadsheet!$E$78:$BL$78))</f>
        <v>0</v>
      </c>
      <c r="AL22" s="488" cm="1">
        <f t="array" aca="1" ref="AL22" ca="1">SUMPRODUCT(AL$54:AL$113,TRANSPOSE(SAP_Speadsheet!$E$78:$BL$78))</f>
        <v>0</v>
      </c>
      <c r="AM22" s="488" cm="1">
        <f t="array" aca="1" ref="AM22" ca="1">SUMPRODUCT(AM$54:AM$113,TRANSPOSE(SAP_Speadsheet!$E$78:$BL$78))</f>
        <v>0</v>
      </c>
      <c r="AN22" s="488" cm="1">
        <f t="array" aca="1" ref="AN22" ca="1">SUMPRODUCT(AN$54:AN$113,TRANSPOSE(SAP_Speadsheet!$E$78:$BL$78))</f>
        <v>0</v>
      </c>
      <c r="AO22" s="488" cm="1">
        <f t="array" aca="1" ref="AO22" ca="1">SUMPRODUCT(AO$54:AO$113,TRANSPOSE(SAP_Speadsheet!$E$78:$BL$78))</f>
        <v>0</v>
      </c>
      <c r="AP22" s="488" cm="1">
        <f t="array" aca="1" ref="AP22" ca="1">SUMPRODUCT(AP$54:AP$113,TRANSPOSE(SAP_Speadsheet!$E$78:$BL$78))</f>
        <v>0</v>
      </c>
      <c r="AQ22" s="488" cm="1">
        <f t="array" aca="1" ref="AQ22" ca="1">SUMPRODUCT(AQ$54:AQ$113,TRANSPOSE(SAP_Speadsheet!$E$78:$BL$78))</f>
        <v>0</v>
      </c>
      <c r="AR22" s="488" cm="1">
        <f t="array" aca="1" ref="AR22" ca="1">SUMPRODUCT(AR$54:AR$113,TRANSPOSE(SAP_Speadsheet!$E$78:$BL$78))</f>
        <v>0</v>
      </c>
      <c r="AS22" s="488" cm="1">
        <f t="array" aca="1" ref="AS22" ca="1">SUMPRODUCT(AS$54:AS$113,TRANSPOSE(SAP_Speadsheet!$E$78:$BL$78))</f>
        <v>0</v>
      </c>
      <c r="AT22" s="488" cm="1">
        <f t="array" aca="1" ref="AT22" ca="1">SUMPRODUCT(AT$54:AT$113,TRANSPOSE(SAP_Speadsheet!$E$78:$BL$78))</f>
        <v>0</v>
      </c>
      <c r="AU22" s="488" cm="1">
        <f t="array" aca="1" ref="AU22" ca="1">SUMPRODUCT(AU$54:AU$113,TRANSPOSE(SAP_Speadsheet!$E$78:$BL$78))</f>
        <v>0</v>
      </c>
      <c r="AV22" s="488" cm="1">
        <f t="array" aca="1" ref="AV22" ca="1">SUMPRODUCT(AV$54:AV$113,TRANSPOSE(SAP_Speadsheet!$E$78:$BL$78))</f>
        <v>0</v>
      </c>
      <c r="AW22" s="488">
        <v>0</v>
      </c>
      <c r="AX22" s="488" cm="1">
        <f t="array" aca="1" ref="AX22" ca="1">SUMPRODUCT(AX$54:AX$113,TRANSPOSE(SAP_Speadsheet!$E$78:$BL$78))</f>
        <v>0</v>
      </c>
      <c r="AY22" s="488" cm="1">
        <f t="array" aca="1" ref="AY22" ca="1">SUMPRODUCT(AY$54:AY$113,TRANSPOSE(SAP_Speadsheet!$E$78:$BL$78))</f>
        <v>0</v>
      </c>
      <c r="AZ22" s="488" cm="1">
        <f t="array" aca="1" ref="AZ22" ca="1">SUMPRODUCT(AZ$54:AZ$113,TRANSPOSE(SAP_Speadsheet!$E$78:$BL$78))</f>
        <v>0</v>
      </c>
      <c r="BA22" s="488" cm="1">
        <f t="array" aca="1" ref="BA22" ca="1">SUMPRODUCT(BA$54:BA$113,TRANSPOSE(SAP_Speadsheet!$E$78:$BL$78))</f>
        <v>0</v>
      </c>
      <c r="BB22" s="488" cm="1">
        <f t="array" aca="1" ref="BB22" ca="1">SUMPRODUCT(BB$54:BB$113,TRANSPOSE(SAP_Speadsheet!$E$78:$BL$78))</f>
        <v>0</v>
      </c>
      <c r="BC22" s="488" cm="1">
        <f t="array" aca="1" ref="BC22" ca="1">SUMPRODUCT(BC$54:BC$113,TRANSPOSE(SAP_Speadsheet!$E$78:$BL$78))</f>
        <v>0</v>
      </c>
      <c r="BD22" s="488" cm="1">
        <f t="array" aca="1" ref="BD22" ca="1">SUMPRODUCT(BD$54:BD$113,TRANSPOSE(SAP_Speadsheet!$E$78:$BL$78))</f>
        <v>0</v>
      </c>
      <c r="BE22" s="488" cm="1">
        <f t="array" aca="1" ref="BE22" ca="1">SUMPRODUCT(BE$54:BE$113,TRANSPOSE(SAP_Speadsheet!$E$78:$BL$78))</f>
        <v>0</v>
      </c>
      <c r="BF22" s="488" cm="1">
        <f t="array" aca="1" ref="BF22" ca="1">SUMPRODUCT(BF$54:BF$113,TRANSPOSE(SAP_Speadsheet!$E$78:$BL$78))</f>
        <v>0</v>
      </c>
      <c r="BG22" s="488" cm="1">
        <f t="array" aca="1" ref="BG22" ca="1">SUMPRODUCT(BG$54:BG$113,TRANSPOSE(SAP_Speadsheet!$E$78:$BL$78))</f>
        <v>0</v>
      </c>
      <c r="BH22" s="488" cm="1">
        <f t="array" aca="1" ref="BH22" ca="1">SUMPRODUCT(BH$54:BH$113,TRANSPOSE(SAP_Speadsheet!$E$78:$BL$78))</f>
        <v>0</v>
      </c>
      <c r="BI22" s="488" cm="1">
        <f t="array" aca="1" ref="BI22" ca="1">SUMPRODUCT(BI$54:BI$113,TRANSPOSE(SAP_Speadsheet!$E$78:$BL$78))</f>
        <v>0</v>
      </c>
    </row>
    <row r="23" spans="1:61" x14ac:dyDescent="0.15">
      <c r="A23" s="489" t="s">
        <v>413</v>
      </c>
      <c r="B23" s="483" cm="1">
        <f t="array" aca="1" ref="B23" ca="1">SUMPRODUCT(B$54:B$113,TRANSPOSE(SAP_Speadsheet!$E$80:$BL$80))</f>
        <v>0</v>
      </c>
      <c r="C23" s="483" cm="1">
        <f t="array" aca="1" ref="C23" ca="1">SUMPRODUCT(C$54:C$113,TRANSPOSE(SAP_Speadsheet!$E$80:$BL$80))</f>
        <v>0</v>
      </c>
      <c r="D23" s="483" cm="1">
        <f t="array" aca="1" ref="D23" ca="1">SUMPRODUCT(D$54:D$113,TRANSPOSE(SAP_Speadsheet!$E$80:$BL$80))</f>
        <v>0</v>
      </c>
      <c r="E23" s="483" cm="1">
        <f t="array" aca="1" ref="E23" ca="1">SUMPRODUCT(E$54:E$113,TRANSPOSE(SAP_Speadsheet!$E$80:$BL$80))</f>
        <v>0</v>
      </c>
      <c r="F23" s="483" cm="1">
        <f t="array" aca="1" ref="F23" ca="1">SUMPRODUCT(F$54:F$113,TRANSPOSE(SAP_Speadsheet!$E$80:$BL$80))</f>
        <v>0</v>
      </c>
      <c r="G23" s="483" cm="1">
        <f t="array" aca="1" ref="G23" ca="1">SUMPRODUCT(G$54:G$113,TRANSPOSE(SAP_Speadsheet!$E$80:$BL$80))</f>
        <v>0</v>
      </c>
      <c r="H23" s="483" cm="1">
        <f t="array" aca="1" ref="H23" ca="1">SUMPRODUCT(H$54:H$113,TRANSPOSE(SAP_Speadsheet!$E$80:$BL$80))</f>
        <v>0</v>
      </c>
      <c r="I23" s="483" cm="1">
        <f t="array" aca="1" ref="I23" ca="1">SUMPRODUCT(I$54:I$113,TRANSPOSE(SAP_Speadsheet!$E$80:$BL$80))</f>
        <v>0</v>
      </c>
      <c r="J23" s="483" cm="1">
        <f t="array" aca="1" ref="J23" ca="1">SUMPRODUCT(J$54:J$113,TRANSPOSE(SAP_Speadsheet!$E$80:$BL$80))</f>
        <v>0</v>
      </c>
      <c r="K23" s="483" cm="1">
        <f t="array" aca="1" ref="K23" ca="1">SUMPRODUCT(K$54:K$113,TRANSPOSE(SAP_Speadsheet!$E$80:$BL$80))</f>
        <v>0</v>
      </c>
      <c r="L23" s="483" cm="1">
        <f t="array" aca="1" ref="L23" ca="1">SUMPRODUCT(L$54:L$113,TRANSPOSE(SAP_Speadsheet!$E$80:$BL$80))</f>
        <v>0</v>
      </c>
      <c r="M23" s="483" cm="1">
        <f t="array" aca="1" ref="M23" ca="1">SUMPRODUCT(M$54:M$113,TRANSPOSE(SAP_Speadsheet!$E$80:$BL$80))</f>
        <v>0</v>
      </c>
      <c r="N23" s="483" cm="1">
        <f t="array" aca="1" ref="N23" ca="1">SUMPRODUCT(N$54:N$113,TRANSPOSE(SAP_Speadsheet!$E$80:$BL$80))</f>
        <v>0</v>
      </c>
      <c r="O23" s="483" cm="1">
        <f t="array" aca="1" ref="O23" ca="1">SUMPRODUCT(O$54:O$113,TRANSPOSE(SAP_Speadsheet!$E$80:$BL$80))</f>
        <v>0</v>
      </c>
      <c r="P23" s="483" cm="1">
        <f t="array" aca="1" ref="P23" ca="1">SUMPRODUCT(P$54:P$113,TRANSPOSE(SAP_Speadsheet!$E$80:$BL$80))</f>
        <v>0</v>
      </c>
      <c r="Q23" s="483" cm="1">
        <f t="array" aca="1" ref="Q23" ca="1">SUMPRODUCT(Q$54:Q$113,TRANSPOSE(SAP_Speadsheet!$E$80:$BL$80))</f>
        <v>0</v>
      </c>
      <c r="R23" s="483" cm="1">
        <f t="array" aca="1" ref="R23" ca="1">SUMPRODUCT(R$54:R$113,TRANSPOSE(SAP_Speadsheet!$E$80:$BL$80))</f>
        <v>0</v>
      </c>
      <c r="S23" s="483" cm="1">
        <f t="array" aca="1" ref="S23" ca="1">SUMPRODUCT(S$54:S$113,TRANSPOSE(SAP_Speadsheet!$E$80:$BL$80))</f>
        <v>0</v>
      </c>
      <c r="T23" s="483" cm="1">
        <f t="array" aca="1" ref="T23" ca="1">SUMPRODUCT(T$54:T$113,TRANSPOSE(SAP_Speadsheet!$E$80:$BL$80))</f>
        <v>0</v>
      </c>
      <c r="U23" s="483" cm="1">
        <f t="array" aca="1" ref="U23" ca="1">SUMPRODUCT(U$54:U$113,TRANSPOSE(SAP_Speadsheet!$E$80:$BL$80))</f>
        <v>0</v>
      </c>
      <c r="V23" s="483" cm="1">
        <f t="array" aca="1" ref="V23" ca="1">SUMPRODUCT(V$54:V$113,TRANSPOSE(SAP_Speadsheet!$E$80:$BL$80))</f>
        <v>0</v>
      </c>
      <c r="W23" s="483" cm="1">
        <f t="array" aca="1" ref="W23" ca="1">SUMPRODUCT(W$54:W$113,TRANSPOSE(SAP_Speadsheet!$E$80:$BL$80))</f>
        <v>0</v>
      </c>
      <c r="X23" s="483" cm="1">
        <f t="array" aca="1" ref="X23" ca="1">SUMPRODUCT(X$54:X$113,TRANSPOSE(SAP_Speadsheet!$E$80:$BL$80))</f>
        <v>0</v>
      </c>
      <c r="Y23" s="483" cm="1">
        <f t="array" aca="1" ref="Y23" ca="1">SUMPRODUCT(Y$54:Y$113,TRANSPOSE(SAP_Speadsheet!$E$80:$BL$80))</f>
        <v>0</v>
      </c>
      <c r="Z23" s="483" cm="1">
        <f t="array" aca="1" ref="Z23" ca="1">SUMPRODUCT(Z$54:Z$113,TRANSPOSE(SAP_Speadsheet!$E$80:$BL$80))</f>
        <v>0</v>
      </c>
      <c r="AA23" s="483" cm="1">
        <f t="array" aca="1" ref="AA23" ca="1">SUMPRODUCT(AA$54:AA$113,TRANSPOSE(SAP_Speadsheet!$E$80:$BL$80))</f>
        <v>0</v>
      </c>
      <c r="AB23" s="483" cm="1">
        <f t="array" aca="1" ref="AB23" ca="1">SUMPRODUCT(AB$54:AB$113,TRANSPOSE(SAP_Speadsheet!$E$80:$BL$80))</f>
        <v>0</v>
      </c>
      <c r="AC23" s="483" cm="1">
        <f t="array" aca="1" ref="AC23" ca="1">SUMPRODUCT(AC$54:AC$113,TRANSPOSE(SAP_Speadsheet!$E$80:$BL$80))</f>
        <v>0</v>
      </c>
      <c r="AD23" s="483" cm="1">
        <f t="array" aca="1" ref="AD23" ca="1">SUMPRODUCT(AD$54:AD$113,TRANSPOSE(SAP_Speadsheet!$E$80:$BL$80))</f>
        <v>0</v>
      </c>
      <c r="AE23" s="483" cm="1">
        <f t="array" aca="1" ref="AE23" ca="1">SUMPRODUCT(AE$54:AE$113,TRANSPOSE(SAP_Speadsheet!$E$80:$BL$80))</f>
        <v>0</v>
      </c>
      <c r="AF23" s="483" cm="1">
        <f t="array" aca="1" ref="AF23" ca="1">SUMPRODUCT(AF$54:AF$113,TRANSPOSE(SAP_Speadsheet!$E$80:$BL$80))</f>
        <v>0</v>
      </c>
      <c r="AG23" s="483" cm="1">
        <f t="array" aca="1" ref="AG23" ca="1">SUMPRODUCT(AG$54:AG$113,TRANSPOSE(SAP_Speadsheet!$E$80:$BL$80))</f>
        <v>0</v>
      </c>
      <c r="AH23" s="483" cm="1">
        <f t="array" aca="1" ref="AH23" ca="1">SUMPRODUCT(AH$54:AH$113,TRANSPOSE(SAP_Speadsheet!$E$80:$BL$80))</f>
        <v>0</v>
      </c>
      <c r="AI23" s="483" cm="1">
        <f t="array" aca="1" ref="AI23" ca="1">SUMPRODUCT(AI$54:AI$113,TRANSPOSE(SAP_Speadsheet!$E$80:$BL$80))</f>
        <v>0</v>
      </c>
      <c r="AJ23" s="483" cm="1">
        <f t="array" aca="1" ref="AJ23" ca="1">SUMPRODUCT(AJ$54:AJ$113,TRANSPOSE(SAP_Speadsheet!$E$80:$BL$80))</f>
        <v>0</v>
      </c>
      <c r="AK23" s="483" cm="1">
        <f t="array" aca="1" ref="AK23" ca="1">SUMPRODUCT(AK$54:AK$113,TRANSPOSE(SAP_Speadsheet!$E$80:$BL$80))</f>
        <v>0</v>
      </c>
      <c r="AL23" s="483" cm="1">
        <f t="array" aca="1" ref="AL23" ca="1">SUMPRODUCT(AL$54:AL$113,TRANSPOSE(SAP_Speadsheet!$E$80:$BL$80))</f>
        <v>0</v>
      </c>
      <c r="AM23" s="483" cm="1">
        <f t="array" aca="1" ref="AM23" ca="1">SUMPRODUCT(AM$54:AM$113,TRANSPOSE(SAP_Speadsheet!$E$80:$BL$80))</f>
        <v>0</v>
      </c>
      <c r="AN23" s="483" cm="1">
        <f t="array" aca="1" ref="AN23" ca="1">SUMPRODUCT(AN$54:AN$113,TRANSPOSE(SAP_Speadsheet!$E$80:$BL$80))</f>
        <v>0</v>
      </c>
      <c r="AO23" s="483" cm="1">
        <f t="array" aca="1" ref="AO23" ca="1">SUMPRODUCT(AO$54:AO$113,TRANSPOSE(SAP_Speadsheet!$E$80:$BL$80))</f>
        <v>0</v>
      </c>
      <c r="AP23" s="483" cm="1">
        <f t="array" aca="1" ref="AP23" ca="1">SUMPRODUCT(AP$54:AP$113,TRANSPOSE(SAP_Speadsheet!$E$80:$BL$80))</f>
        <v>0</v>
      </c>
      <c r="AQ23" s="483" cm="1">
        <f t="array" aca="1" ref="AQ23" ca="1">SUMPRODUCT(AQ$54:AQ$113,TRANSPOSE(SAP_Speadsheet!$E$80:$BL$80))</f>
        <v>0</v>
      </c>
      <c r="AR23" s="483" cm="1">
        <f t="array" aca="1" ref="AR23" ca="1">SUMPRODUCT(AR$54:AR$113,TRANSPOSE(SAP_Speadsheet!$E$80:$BL$80))</f>
        <v>0</v>
      </c>
      <c r="AS23" s="483" cm="1">
        <f t="array" aca="1" ref="AS23" ca="1">SUMPRODUCT(AS$54:AS$113,TRANSPOSE(SAP_Speadsheet!$E$80:$BL$80))</f>
        <v>0</v>
      </c>
      <c r="AT23" s="483" cm="1">
        <f t="array" aca="1" ref="AT23" ca="1">SUMPRODUCT(AT$54:AT$113,TRANSPOSE(SAP_Speadsheet!$E$80:$BL$80))</f>
        <v>0</v>
      </c>
      <c r="AU23" s="483" cm="1">
        <f t="array" aca="1" ref="AU23" ca="1">SUMPRODUCT(AU$54:AU$113,TRANSPOSE(SAP_Speadsheet!$E$80:$BL$80))</f>
        <v>0</v>
      </c>
      <c r="AV23" s="483" cm="1">
        <f t="array" aca="1" ref="AV23" ca="1">SUMPRODUCT(AV$54:AV$113,TRANSPOSE(SAP_Speadsheet!$E$80:$BL$80))</f>
        <v>0</v>
      </c>
      <c r="AW23" s="483" cm="1">
        <f t="array" aca="1" ref="AW23" ca="1">SUMPRODUCT(AW$54:AW$113,TRANSPOSE(SAP_Speadsheet!$E$80:$BL$80))</f>
        <v>0</v>
      </c>
      <c r="AX23" s="483" cm="1">
        <f t="array" aca="1" ref="AX23" ca="1">SUMPRODUCT(AX$54:AX$113,TRANSPOSE(SAP_Speadsheet!$E$80:$BL$80))</f>
        <v>0</v>
      </c>
      <c r="AY23" s="483" cm="1">
        <f t="array" aca="1" ref="AY23" ca="1">SUMPRODUCT(AY$54:AY$113,TRANSPOSE(SAP_Speadsheet!$E$80:$BL$80))</f>
        <v>0</v>
      </c>
      <c r="AZ23" s="483" cm="1">
        <f t="array" aca="1" ref="AZ23" ca="1">SUMPRODUCT(AZ$54:AZ$113,TRANSPOSE(SAP_Speadsheet!$E$80:$BL$80))</f>
        <v>0</v>
      </c>
      <c r="BA23" s="483" cm="1">
        <f t="array" aca="1" ref="BA23" ca="1">SUMPRODUCT(BA$54:BA$113,TRANSPOSE(SAP_Speadsheet!$E$80:$BL$80))</f>
        <v>0</v>
      </c>
      <c r="BB23" s="483" cm="1">
        <f t="array" aca="1" ref="BB23" ca="1">SUMPRODUCT(BB$54:BB$113,TRANSPOSE(SAP_Speadsheet!$E$80:$BL$80))</f>
        <v>0</v>
      </c>
      <c r="BC23" s="483" cm="1">
        <f t="array" aca="1" ref="BC23" ca="1">SUMPRODUCT(BC$54:BC$113,TRANSPOSE(SAP_Speadsheet!$E$80:$BL$80))</f>
        <v>0</v>
      </c>
      <c r="BD23" s="483" cm="1">
        <f t="array" aca="1" ref="BD23" ca="1">SUMPRODUCT(BD$54:BD$113,TRANSPOSE(SAP_Speadsheet!$E$80:$BL$80))</f>
        <v>0</v>
      </c>
      <c r="BE23" s="483" cm="1">
        <f t="array" aca="1" ref="BE23" ca="1">SUMPRODUCT(BE$54:BE$113,TRANSPOSE(SAP_Speadsheet!$E$80:$BL$80))</f>
        <v>0</v>
      </c>
      <c r="BF23" s="483" cm="1">
        <f t="array" aca="1" ref="BF23" ca="1">SUMPRODUCT(BF$54:BF$113,TRANSPOSE(SAP_Speadsheet!$E$80:$BL$80))</f>
        <v>0</v>
      </c>
      <c r="BG23" s="483" cm="1">
        <f t="array" aca="1" ref="BG23" ca="1">SUMPRODUCT(BG$54:BG$113,TRANSPOSE(SAP_Speadsheet!$E$80:$BL$80))</f>
        <v>0</v>
      </c>
      <c r="BH23" s="483" cm="1">
        <f t="array" aca="1" ref="BH23" ca="1">SUMPRODUCT(BH$54:BH$113,TRANSPOSE(SAP_Speadsheet!$E$80:$BL$80))</f>
        <v>0</v>
      </c>
      <c r="BI23" s="483" cm="1">
        <f t="array" aca="1" ref="BI23" ca="1">SUMPRODUCT(BI$54:BI$113,TRANSPOSE(SAP_Speadsheet!$E$80:$BL$80))</f>
        <v>0</v>
      </c>
    </row>
    <row r="24" spans="1:61" x14ac:dyDescent="0.15">
      <c r="A24" s="477" t="s">
        <v>199</v>
      </c>
      <c r="B24" s="488" cm="1">
        <f t="array" aca="1" ref="B24" ca="1">SUMPRODUCT(B$54:B$113,TRANSPOSE(SAP_Speadsheet!$E$81:$BL$81))</f>
        <v>0</v>
      </c>
      <c r="C24" s="488" cm="1">
        <f t="array" aca="1" ref="C24" ca="1">SUMPRODUCT(C$54:C$113,TRANSPOSE(SAP_Speadsheet!$E$81:$BL$81))</f>
        <v>0</v>
      </c>
      <c r="D24" s="488" cm="1">
        <f t="array" aca="1" ref="D24" ca="1">SUMPRODUCT(D$54:D$113,TRANSPOSE(SAP_Speadsheet!$E$81:$BL$81))</f>
        <v>0</v>
      </c>
      <c r="E24" s="488" cm="1">
        <f t="array" aca="1" ref="E24" ca="1">SUMPRODUCT(E$54:E$113,TRANSPOSE(SAP_Speadsheet!$E$81:$BL$81))</f>
        <v>0</v>
      </c>
      <c r="F24" s="488" cm="1">
        <f t="array" aca="1" ref="F24" ca="1">SUMPRODUCT(F$54:F$113,TRANSPOSE(SAP_Speadsheet!$E$81:$BL$81))</f>
        <v>0</v>
      </c>
      <c r="G24" s="488" cm="1">
        <f t="array" aca="1" ref="G24" ca="1">SUMPRODUCT(G$54:G$113,TRANSPOSE(SAP_Speadsheet!$E$81:$BL$81))</f>
        <v>0</v>
      </c>
      <c r="H24" s="488" cm="1">
        <f t="array" aca="1" ref="H24" ca="1">SUMPRODUCT(H$54:H$113,TRANSPOSE(SAP_Speadsheet!$E$81:$BL$81))</f>
        <v>0</v>
      </c>
      <c r="I24" s="488" cm="1">
        <f t="array" aca="1" ref="I24" ca="1">SUMPRODUCT(I$54:I$113,TRANSPOSE(SAP_Speadsheet!$E$81:$BL$81))</f>
        <v>0</v>
      </c>
      <c r="J24" s="488" cm="1">
        <f t="array" aca="1" ref="J24" ca="1">SUMPRODUCT(J$54:J$113,TRANSPOSE(SAP_Speadsheet!$E$81:$BL$81))</f>
        <v>0</v>
      </c>
      <c r="K24" s="488" cm="1">
        <f t="array" aca="1" ref="K24" ca="1">SUMPRODUCT(K$54:K$113,TRANSPOSE(SAP_Speadsheet!$E$81:$BL$81))</f>
        <v>0</v>
      </c>
      <c r="L24" s="488" cm="1">
        <f t="array" aca="1" ref="L24" ca="1">SUMPRODUCT(L$54:L$113,TRANSPOSE(SAP_Speadsheet!$E$81:$BL$81))</f>
        <v>0</v>
      </c>
      <c r="M24" s="488" cm="1">
        <f t="array" aca="1" ref="M24" ca="1">SUMPRODUCT(M$54:M$113,TRANSPOSE(SAP_Speadsheet!$E$81:$BL$81))</f>
        <v>0</v>
      </c>
      <c r="N24" s="488" cm="1">
        <f t="array" aca="1" ref="N24" ca="1">SUMPRODUCT(N$54:N$113,TRANSPOSE(SAP_Speadsheet!$E$81:$BL$81))</f>
        <v>0</v>
      </c>
      <c r="O24" s="488" cm="1">
        <f t="array" aca="1" ref="O24" ca="1">SUMPRODUCT(O$54:O$113,TRANSPOSE(SAP_Speadsheet!$E$81:$BL$81))</f>
        <v>0</v>
      </c>
      <c r="P24" s="488" cm="1">
        <f t="array" aca="1" ref="P24" ca="1">SUMPRODUCT(P$54:P$113,TRANSPOSE(SAP_Speadsheet!$E$81:$BL$81))</f>
        <v>0</v>
      </c>
      <c r="Q24" s="488" cm="1">
        <f t="array" aca="1" ref="Q24" ca="1">SUMPRODUCT(Q$54:Q$113,TRANSPOSE(SAP_Speadsheet!$E$81:$BL$81))</f>
        <v>0</v>
      </c>
      <c r="R24" s="488" cm="1">
        <f t="array" aca="1" ref="R24" ca="1">SUMPRODUCT(R$54:R$113,TRANSPOSE(SAP_Speadsheet!$E$81:$BL$81))</f>
        <v>0</v>
      </c>
      <c r="S24" s="488" cm="1">
        <f t="array" aca="1" ref="S24" ca="1">SUMPRODUCT(S$54:S$113,TRANSPOSE(SAP_Speadsheet!$E$81:$BL$81))</f>
        <v>0</v>
      </c>
      <c r="T24" s="488" cm="1">
        <f t="array" aca="1" ref="T24" ca="1">SUMPRODUCT(T$54:T$113,TRANSPOSE(SAP_Speadsheet!$E$81:$BL$81))</f>
        <v>0</v>
      </c>
      <c r="U24" s="488" cm="1">
        <f t="array" aca="1" ref="U24" ca="1">SUMPRODUCT(U$54:U$113,TRANSPOSE(SAP_Speadsheet!$E$81:$BL$81))</f>
        <v>0</v>
      </c>
      <c r="V24" s="488" cm="1">
        <f t="array" aca="1" ref="V24" ca="1">SUMPRODUCT(V$54:V$113,TRANSPOSE(SAP_Speadsheet!$E$81:$BL$81))</f>
        <v>0</v>
      </c>
      <c r="W24" s="488" cm="1">
        <f t="array" aca="1" ref="W24" ca="1">SUMPRODUCT(W$54:W$113,TRANSPOSE(SAP_Speadsheet!$E$81:$BL$81))</f>
        <v>0</v>
      </c>
      <c r="X24" s="488" cm="1">
        <f t="array" aca="1" ref="X24" ca="1">SUMPRODUCT(X$54:X$113,TRANSPOSE(SAP_Speadsheet!$E$81:$BL$81))</f>
        <v>0</v>
      </c>
      <c r="Y24" s="488" cm="1">
        <f t="array" aca="1" ref="Y24" ca="1">SUMPRODUCT(Y$54:Y$113,TRANSPOSE(SAP_Speadsheet!$E$81:$BL$81))</f>
        <v>0</v>
      </c>
      <c r="Z24" s="488" cm="1">
        <f t="array" aca="1" ref="Z24" ca="1">SUMPRODUCT(Z$54:Z$113,TRANSPOSE(SAP_Speadsheet!$E$81:$BL$81))</f>
        <v>0</v>
      </c>
      <c r="AA24" s="488" cm="1">
        <f t="array" aca="1" ref="AA24" ca="1">SUMPRODUCT(AA$54:AA$113,TRANSPOSE(SAP_Speadsheet!$E$81:$BL$81))</f>
        <v>0</v>
      </c>
      <c r="AB24" s="488" cm="1">
        <f t="array" aca="1" ref="AB24" ca="1">SUMPRODUCT(AB$54:AB$113,TRANSPOSE(SAP_Speadsheet!$E$81:$BL$81))</f>
        <v>0</v>
      </c>
      <c r="AC24" s="488" cm="1">
        <f t="array" aca="1" ref="AC24" ca="1">SUMPRODUCT(AC$54:AC$113,TRANSPOSE(SAP_Speadsheet!$E$81:$BL$81))</f>
        <v>0</v>
      </c>
      <c r="AD24" s="488" cm="1">
        <f t="array" aca="1" ref="AD24" ca="1">SUMPRODUCT(AD$54:AD$113,TRANSPOSE(SAP_Speadsheet!$E$81:$BL$81))</f>
        <v>0</v>
      </c>
      <c r="AE24" s="488" cm="1">
        <f t="array" aca="1" ref="AE24" ca="1">SUMPRODUCT(AE$54:AE$113,TRANSPOSE(SAP_Speadsheet!$E$81:$BL$81))</f>
        <v>0</v>
      </c>
      <c r="AF24" s="488" cm="1">
        <f t="array" aca="1" ref="AF24" ca="1">SUMPRODUCT(AF$54:AF$113,TRANSPOSE(SAP_Speadsheet!$E$81:$BL$81))</f>
        <v>0</v>
      </c>
      <c r="AG24" s="488" cm="1">
        <f t="array" aca="1" ref="AG24" ca="1">SUMPRODUCT(AG$54:AG$113,TRANSPOSE(SAP_Speadsheet!$E$81:$BL$81))</f>
        <v>0</v>
      </c>
      <c r="AH24" s="488" cm="1">
        <f t="array" aca="1" ref="AH24" ca="1">SUMPRODUCT(AH$54:AH$113,TRANSPOSE(SAP_Speadsheet!$E$81:$BL$81))</f>
        <v>0</v>
      </c>
      <c r="AI24" s="488" cm="1">
        <f t="array" aca="1" ref="AI24" ca="1">SUMPRODUCT(AI$54:AI$113,TRANSPOSE(SAP_Speadsheet!$E$81:$BL$81))</f>
        <v>0</v>
      </c>
      <c r="AJ24" s="488" cm="1">
        <f t="array" aca="1" ref="AJ24" ca="1">SUMPRODUCT(AJ$54:AJ$113,TRANSPOSE(SAP_Speadsheet!$E$81:$BL$81))</f>
        <v>0</v>
      </c>
      <c r="AK24" s="488" cm="1">
        <f t="array" aca="1" ref="AK24" ca="1">SUMPRODUCT(AK$54:AK$113,TRANSPOSE(SAP_Speadsheet!$E$81:$BL$81))</f>
        <v>0</v>
      </c>
      <c r="AL24" s="488" cm="1">
        <f t="array" aca="1" ref="AL24" ca="1">SUMPRODUCT(AL$54:AL$113,TRANSPOSE(SAP_Speadsheet!$E$81:$BL$81))</f>
        <v>0</v>
      </c>
      <c r="AM24" s="488" cm="1">
        <f t="array" aca="1" ref="AM24" ca="1">SUMPRODUCT(AM$54:AM$113,TRANSPOSE(SAP_Speadsheet!$E$81:$BL$81))</f>
        <v>0</v>
      </c>
      <c r="AN24" s="488" cm="1">
        <f t="array" aca="1" ref="AN24" ca="1">SUMPRODUCT(AN$54:AN$113,TRANSPOSE(SAP_Speadsheet!$E$81:$BL$81))</f>
        <v>0</v>
      </c>
      <c r="AO24" s="488" cm="1">
        <f t="array" aca="1" ref="AO24" ca="1">SUMPRODUCT(AO$54:AO$113,TRANSPOSE(SAP_Speadsheet!$E$81:$BL$81))</f>
        <v>0</v>
      </c>
      <c r="AP24" s="488" cm="1">
        <f t="array" aca="1" ref="AP24" ca="1">SUMPRODUCT(AP$54:AP$113,TRANSPOSE(SAP_Speadsheet!$E$81:$BL$81))</f>
        <v>0</v>
      </c>
      <c r="AQ24" s="488" cm="1">
        <f t="array" aca="1" ref="AQ24" ca="1">SUMPRODUCT(AQ$54:AQ$113,TRANSPOSE(SAP_Speadsheet!$E$81:$BL$81))</f>
        <v>0</v>
      </c>
      <c r="AR24" s="488" cm="1">
        <f t="array" aca="1" ref="AR24" ca="1">SUMPRODUCT(AR$54:AR$113,TRANSPOSE(SAP_Speadsheet!$E$81:$BL$81))</f>
        <v>0</v>
      </c>
      <c r="AS24" s="488" cm="1">
        <f t="array" aca="1" ref="AS24" ca="1">SUMPRODUCT(AS$54:AS$113,TRANSPOSE(SAP_Speadsheet!$E$81:$BL$81))</f>
        <v>0</v>
      </c>
      <c r="AT24" s="488" cm="1">
        <f t="array" aca="1" ref="AT24" ca="1">SUMPRODUCT(AT$54:AT$113,TRANSPOSE(SAP_Speadsheet!$E$81:$BL$81))</f>
        <v>0</v>
      </c>
      <c r="AU24" s="488" cm="1">
        <f t="array" aca="1" ref="AU24" ca="1">SUMPRODUCT(AU$54:AU$113,TRANSPOSE(SAP_Speadsheet!$E$81:$BL$81))</f>
        <v>0</v>
      </c>
      <c r="AV24" s="488" cm="1">
        <f t="array" aca="1" ref="AV24" ca="1">SUMPRODUCT(AV$54:AV$113,TRANSPOSE(SAP_Speadsheet!$E$81:$BL$81))</f>
        <v>0</v>
      </c>
      <c r="AW24" s="488" cm="1">
        <f t="array" aca="1" ref="AW24" ca="1">SUMPRODUCT(AW$54:AW$113,TRANSPOSE(SAP_Speadsheet!$E$81:$BL$81))</f>
        <v>0</v>
      </c>
      <c r="AX24" s="488" cm="1">
        <f t="array" aca="1" ref="AX24" ca="1">SUMPRODUCT(AX$54:AX$113,TRANSPOSE(SAP_Speadsheet!$E$81:$BL$81))</f>
        <v>0</v>
      </c>
      <c r="AY24" s="488" cm="1">
        <f t="array" aca="1" ref="AY24" ca="1">SUMPRODUCT(AY$54:AY$113,TRANSPOSE(SAP_Speadsheet!$E$81:$BL$81))</f>
        <v>0</v>
      </c>
      <c r="AZ24" s="488" cm="1">
        <f t="array" aca="1" ref="AZ24" ca="1">SUMPRODUCT(AZ$54:AZ$113,TRANSPOSE(SAP_Speadsheet!$E$81:$BL$81))</f>
        <v>0</v>
      </c>
      <c r="BA24" s="488" cm="1">
        <f t="array" aca="1" ref="BA24" ca="1">SUMPRODUCT(BA$54:BA$113,TRANSPOSE(SAP_Speadsheet!$E$81:$BL$81))</f>
        <v>0</v>
      </c>
      <c r="BB24" s="488" cm="1">
        <f t="array" aca="1" ref="BB24" ca="1">SUMPRODUCT(BB$54:BB$113,TRANSPOSE(SAP_Speadsheet!$E$81:$BL$81))</f>
        <v>0</v>
      </c>
      <c r="BC24" s="488" cm="1">
        <f t="array" aca="1" ref="BC24" ca="1">SUMPRODUCT(BC$54:BC$113,TRANSPOSE(SAP_Speadsheet!$E$81:$BL$81))</f>
        <v>0</v>
      </c>
      <c r="BD24" s="488" cm="1">
        <f t="array" aca="1" ref="BD24" ca="1">SUMPRODUCT(BD$54:BD$113,TRANSPOSE(SAP_Speadsheet!$E$81:$BL$81))</f>
        <v>0</v>
      </c>
      <c r="BE24" s="488" cm="1">
        <f t="array" aca="1" ref="BE24" ca="1">SUMPRODUCT(BE$54:BE$113,TRANSPOSE(SAP_Speadsheet!$E$81:$BL$81))</f>
        <v>0</v>
      </c>
      <c r="BF24" s="488" cm="1">
        <f t="array" aca="1" ref="BF24" ca="1">SUMPRODUCT(BF$54:BF$113,TRANSPOSE(SAP_Speadsheet!$E$81:$BL$81))</f>
        <v>0</v>
      </c>
      <c r="BG24" s="488" cm="1">
        <f t="array" aca="1" ref="BG24" ca="1">SUMPRODUCT(BG$54:BG$113,TRANSPOSE(SAP_Speadsheet!$E$81:$BL$81))</f>
        <v>0</v>
      </c>
      <c r="BH24" s="488" cm="1">
        <f t="array" aca="1" ref="BH24" ca="1">SUMPRODUCT(BH$54:BH$113,TRANSPOSE(SAP_Speadsheet!$E$81:$BL$81))</f>
        <v>0</v>
      </c>
      <c r="BI24" s="488" cm="1">
        <f t="array" aca="1" ref="BI24" ca="1">SUMPRODUCT(BI$54:BI$113,TRANSPOSE(SAP_Speadsheet!$E$81:$BL$81))</f>
        <v>0</v>
      </c>
    </row>
    <row r="25" spans="1:61" x14ac:dyDescent="0.15">
      <c r="A25" s="477" t="s">
        <v>191</v>
      </c>
      <c r="B25" s="488" cm="1">
        <f t="array" aca="1" ref="B25" ca="1">SUMPRODUCT(B$54:B$113,TRANSPOSE(SAP_Speadsheet!$E$82:$BL$82))</f>
        <v>0</v>
      </c>
      <c r="C25" s="488" cm="1">
        <f t="array" aca="1" ref="C25" ca="1">SUMPRODUCT(C$54:C$113,TRANSPOSE(SAP_Speadsheet!$E$82:$BL$82))</f>
        <v>0</v>
      </c>
      <c r="D25" s="488" cm="1">
        <f t="array" aca="1" ref="D25" ca="1">SUMPRODUCT(D$54:D$113,TRANSPOSE(SAP_Speadsheet!$E$82:$BL$82))</f>
        <v>0</v>
      </c>
      <c r="E25" s="488" cm="1">
        <f t="array" aca="1" ref="E25" ca="1">SUMPRODUCT(E$54:E$113,TRANSPOSE(SAP_Speadsheet!$E$82:$BL$82))</f>
        <v>0</v>
      </c>
      <c r="F25" s="488" cm="1">
        <f t="array" aca="1" ref="F25" ca="1">SUMPRODUCT(F$54:F$113,TRANSPOSE(SAP_Speadsheet!$E$82:$BL$82))</f>
        <v>0</v>
      </c>
      <c r="G25" s="488" cm="1">
        <f t="array" aca="1" ref="G25" ca="1">SUMPRODUCT(G$54:G$113,TRANSPOSE(SAP_Speadsheet!$E$82:$BL$82))</f>
        <v>0</v>
      </c>
      <c r="H25" s="488" cm="1">
        <f t="array" aca="1" ref="H25" ca="1">SUMPRODUCT(H$54:H$113,TRANSPOSE(SAP_Speadsheet!$E$82:$BL$82))</f>
        <v>0</v>
      </c>
      <c r="I25" s="488" cm="1">
        <f t="array" aca="1" ref="I25" ca="1">SUMPRODUCT(I$54:I$113,TRANSPOSE(SAP_Speadsheet!$E$82:$BL$82))</f>
        <v>0</v>
      </c>
      <c r="J25" s="488" cm="1">
        <f t="array" aca="1" ref="J25" ca="1">SUMPRODUCT(J$54:J$113,TRANSPOSE(SAP_Speadsheet!$E$82:$BL$82))</f>
        <v>0</v>
      </c>
      <c r="K25" s="488" cm="1">
        <f t="array" aca="1" ref="K25" ca="1">SUMPRODUCT(K$54:K$113,TRANSPOSE(SAP_Speadsheet!$E$82:$BL$82))</f>
        <v>0</v>
      </c>
      <c r="L25" s="488" cm="1">
        <f t="array" aca="1" ref="L25" ca="1">SUMPRODUCT(L$54:L$113,TRANSPOSE(SAP_Speadsheet!$E$82:$BL$82))</f>
        <v>0</v>
      </c>
      <c r="M25" s="488" cm="1">
        <f t="array" aca="1" ref="M25" ca="1">SUMPRODUCT(M$54:M$113,TRANSPOSE(SAP_Speadsheet!$E$82:$BL$82))</f>
        <v>0</v>
      </c>
      <c r="N25" s="488" cm="1">
        <f t="array" aca="1" ref="N25" ca="1">SUMPRODUCT(N$54:N$113,TRANSPOSE(SAP_Speadsheet!$E$82:$BL$82))</f>
        <v>0</v>
      </c>
      <c r="O25" s="488" cm="1">
        <f t="array" aca="1" ref="O25" ca="1">SUMPRODUCT(O$54:O$113,TRANSPOSE(SAP_Speadsheet!$E$82:$BL$82))</f>
        <v>0</v>
      </c>
      <c r="P25" s="488" cm="1">
        <f t="array" aca="1" ref="P25" ca="1">SUMPRODUCT(P$54:P$113,TRANSPOSE(SAP_Speadsheet!$E$82:$BL$82))</f>
        <v>0</v>
      </c>
      <c r="Q25" s="488" cm="1">
        <f t="array" aca="1" ref="Q25" ca="1">SUMPRODUCT(Q$54:Q$113,TRANSPOSE(SAP_Speadsheet!$E$82:$BL$82))</f>
        <v>0</v>
      </c>
      <c r="R25" s="488" cm="1">
        <f t="array" aca="1" ref="R25" ca="1">SUMPRODUCT(R$54:R$113,TRANSPOSE(SAP_Speadsheet!$E$82:$BL$82))</f>
        <v>0</v>
      </c>
      <c r="S25" s="488" cm="1">
        <f t="array" aca="1" ref="S25" ca="1">SUMPRODUCT(S$54:S$113,TRANSPOSE(SAP_Speadsheet!$E$82:$BL$82))</f>
        <v>0</v>
      </c>
      <c r="T25" s="488" cm="1">
        <f t="array" aca="1" ref="T25" ca="1">SUMPRODUCT(T$54:T$113,TRANSPOSE(SAP_Speadsheet!$E$82:$BL$82))</f>
        <v>0</v>
      </c>
      <c r="U25" s="488" cm="1">
        <f t="array" aca="1" ref="U25" ca="1">SUMPRODUCT(U$54:U$113,TRANSPOSE(SAP_Speadsheet!$E$82:$BL$82))</f>
        <v>0</v>
      </c>
      <c r="V25" s="488" cm="1">
        <f t="array" aca="1" ref="V25" ca="1">SUMPRODUCT(V$54:V$113,TRANSPOSE(SAP_Speadsheet!$E$82:$BL$82))</f>
        <v>0</v>
      </c>
      <c r="W25" s="488" cm="1">
        <f t="array" aca="1" ref="W25" ca="1">SUMPRODUCT(W$54:W$113,TRANSPOSE(SAP_Speadsheet!$E$82:$BL$82))</f>
        <v>0</v>
      </c>
      <c r="X25" s="488" cm="1">
        <f t="array" aca="1" ref="X25" ca="1">SUMPRODUCT(X$54:X$113,TRANSPOSE(SAP_Speadsheet!$E$82:$BL$82))</f>
        <v>0</v>
      </c>
      <c r="Y25" s="488" cm="1">
        <f t="array" aca="1" ref="Y25" ca="1">SUMPRODUCT(Y$54:Y$113,TRANSPOSE(SAP_Speadsheet!$E$82:$BL$82))</f>
        <v>0</v>
      </c>
      <c r="Z25" s="488" cm="1">
        <f t="array" aca="1" ref="Z25" ca="1">SUMPRODUCT(Z$54:Z$113,TRANSPOSE(SAP_Speadsheet!$E$82:$BL$82))</f>
        <v>0</v>
      </c>
      <c r="AA25" s="488" cm="1">
        <f t="array" aca="1" ref="AA25" ca="1">SUMPRODUCT(AA$54:AA$113,TRANSPOSE(SAP_Speadsheet!$E$82:$BL$82))</f>
        <v>0</v>
      </c>
      <c r="AB25" s="488" cm="1">
        <f t="array" aca="1" ref="AB25" ca="1">SUMPRODUCT(AB$54:AB$113,TRANSPOSE(SAP_Speadsheet!$E$82:$BL$82))</f>
        <v>0</v>
      </c>
      <c r="AC25" s="488" cm="1">
        <f t="array" aca="1" ref="AC25" ca="1">SUMPRODUCT(AC$54:AC$113,TRANSPOSE(SAP_Speadsheet!$E$82:$BL$82))</f>
        <v>0</v>
      </c>
      <c r="AD25" s="488" cm="1">
        <f t="array" aca="1" ref="AD25" ca="1">SUMPRODUCT(AD$54:AD$113,TRANSPOSE(SAP_Speadsheet!$E$82:$BL$82))</f>
        <v>0</v>
      </c>
      <c r="AE25" s="488" cm="1">
        <f t="array" aca="1" ref="AE25" ca="1">SUMPRODUCT(AE$54:AE$113,TRANSPOSE(SAP_Speadsheet!$E$82:$BL$82))</f>
        <v>0</v>
      </c>
      <c r="AF25" s="488" cm="1">
        <f t="array" aca="1" ref="AF25" ca="1">SUMPRODUCT(AF$54:AF$113,TRANSPOSE(SAP_Speadsheet!$E$82:$BL$82))</f>
        <v>0</v>
      </c>
      <c r="AG25" s="488" cm="1">
        <f t="array" aca="1" ref="AG25" ca="1">SUMPRODUCT(AG$54:AG$113,TRANSPOSE(SAP_Speadsheet!$E$82:$BL$82))</f>
        <v>0</v>
      </c>
      <c r="AH25" s="488" cm="1">
        <f t="array" aca="1" ref="AH25" ca="1">SUMPRODUCT(AH$54:AH$113,TRANSPOSE(SAP_Speadsheet!$E$82:$BL$82))</f>
        <v>0</v>
      </c>
      <c r="AI25" s="488" cm="1">
        <f t="array" aca="1" ref="AI25" ca="1">SUMPRODUCT(AI$54:AI$113,TRANSPOSE(SAP_Speadsheet!$E$82:$BL$82))</f>
        <v>0</v>
      </c>
      <c r="AJ25" s="488" cm="1">
        <f t="array" aca="1" ref="AJ25" ca="1">SUMPRODUCT(AJ$54:AJ$113,TRANSPOSE(SAP_Speadsheet!$E$82:$BL$82))</f>
        <v>0</v>
      </c>
      <c r="AK25" s="488" cm="1">
        <f t="array" aca="1" ref="AK25" ca="1">SUMPRODUCT(AK$54:AK$113,TRANSPOSE(SAP_Speadsheet!$E$82:$BL$82))</f>
        <v>0</v>
      </c>
      <c r="AL25" s="488" cm="1">
        <f t="array" aca="1" ref="AL25" ca="1">SUMPRODUCT(AL$54:AL$113,TRANSPOSE(SAP_Speadsheet!$E$82:$BL$82))</f>
        <v>0</v>
      </c>
      <c r="AM25" s="488" cm="1">
        <f t="array" aca="1" ref="AM25" ca="1">SUMPRODUCT(AM$54:AM$113,TRANSPOSE(SAP_Speadsheet!$E$82:$BL$82))</f>
        <v>0</v>
      </c>
      <c r="AN25" s="488" cm="1">
        <f t="array" aca="1" ref="AN25" ca="1">SUMPRODUCT(AN$54:AN$113,TRANSPOSE(SAP_Speadsheet!$E$82:$BL$82))</f>
        <v>0</v>
      </c>
      <c r="AO25" s="488" cm="1">
        <f t="array" aca="1" ref="AO25" ca="1">SUMPRODUCT(AO$54:AO$113,TRANSPOSE(SAP_Speadsheet!$E$82:$BL$82))</f>
        <v>0</v>
      </c>
      <c r="AP25" s="488" cm="1">
        <f t="array" aca="1" ref="AP25" ca="1">SUMPRODUCT(AP$54:AP$113,TRANSPOSE(SAP_Speadsheet!$E$82:$BL$82))</f>
        <v>0</v>
      </c>
      <c r="AQ25" s="488" cm="1">
        <f t="array" aca="1" ref="AQ25" ca="1">SUMPRODUCT(AQ$54:AQ$113,TRANSPOSE(SAP_Speadsheet!$E$82:$BL$82))</f>
        <v>0</v>
      </c>
      <c r="AR25" s="488" cm="1">
        <f t="array" aca="1" ref="AR25" ca="1">SUMPRODUCT(AR$54:AR$113,TRANSPOSE(SAP_Speadsheet!$E$82:$BL$82))</f>
        <v>0</v>
      </c>
      <c r="AS25" s="488" cm="1">
        <f t="array" aca="1" ref="AS25" ca="1">SUMPRODUCT(AS$54:AS$113,TRANSPOSE(SAP_Speadsheet!$E$82:$BL$82))</f>
        <v>0</v>
      </c>
      <c r="AT25" s="488" cm="1">
        <f t="array" aca="1" ref="AT25" ca="1">SUMPRODUCT(AT$54:AT$113,TRANSPOSE(SAP_Speadsheet!$E$82:$BL$82))</f>
        <v>0</v>
      </c>
      <c r="AU25" s="488" cm="1">
        <f t="array" aca="1" ref="AU25" ca="1">SUMPRODUCT(AU$54:AU$113,TRANSPOSE(SAP_Speadsheet!$E$82:$BL$82))</f>
        <v>0</v>
      </c>
      <c r="AV25" s="488" cm="1">
        <f t="array" aca="1" ref="AV25" ca="1">SUMPRODUCT(AV$54:AV$113,TRANSPOSE(SAP_Speadsheet!$E$82:$BL$82))</f>
        <v>0</v>
      </c>
      <c r="AW25" s="488" cm="1">
        <f t="array" aca="1" ref="AW25" ca="1">SUMPRODUCT(AW$54:AW$113,TRANSPOSE(SAP_Speadsheet!$E$82:$BL$82))</f>
        <v>0</v>
      </c>
      <c r="AX25" s="488" cm="1">
        <f t="array" aca="1" ref="AX25" ca="1">SUMPRODUCT(AX$54:AX$113,TRANSPOSE(SAP_Speadsheet!$E$82:$BL$82))</f>
        <v>0</v>
      </c>
      <c r="AY25" s="488" cm="1">
        <f t="array" aca="1" ref="AY25" ca="1">SUMPRODUCT(AY$54:AY$113,TRANSPOSE(SAP_Speadsheet!$E$82:$BL$82))</f>
        <v>0</v>
      </c>
      <c r="AZ25" s="488" cm="1">
        <f t="array" aca="1" ref="AZ25" ca="1">SUMPRODUCT(AZ$54:AZ$113,TRANSPOSE(SAP_Speadsheet!$E$82:$BL$82))</f>
        <v>0</v>
      </c>
      <c r="BA25" s="488" cm="1">
        <f t="array" aca="1" ref="BA25" ca="1">SUMPRODUCT(BA$54:BA$113,TRANSPOSE(SAP_Speadsheet!$E$82:$BL$82))</f>
        <v>0</v>
      </c>
      <c r="BB25" s="488" cm="1">
        <f t="array" aca="1" ref="BB25" ca="1">SUMPRODUCT(BB$54:BB$113,TRANSPOSE(SAP_Speadsheet!$E$82:$BL$82))</f>
        <v>0</v>
      </c>
      <c r="BC25" s="488" cm="1">
        <f t="array" aca="1" ref="BC25" ca="1">SUMPRODUCT(BC$54:BC$113,TRANSPOSE(SAP_Speadsheet!$E$82:$BL$82))</f>
        <v>0</v>
      </c>
      <c r="BD25" s="488" cm="1">
        <f t="array" aca="1" ref="BD25" ca="1">SUMPRODUCT(BD$54:BD$113,TRANSPOSE(SAP_Speadsheet!$E$82:$BL$82))</f>
        <v>0</v>
      </c>
      <c r="BE25" s="488" cm="1">
        <f t="array" aca="1" ref="BE25" ca="1">SUMPRODUCT(BE$54:BE$113,TRANSPOSE(SAP_Speadsheet!$E$82:$BL$82))</f>
        <v>0</v>
      </c>
      <c r="BF25" s="488" cm="1">
        <f t="array" aca="1" ref="BF25" ca="1">SUMPRODUCT(BF$54:BF$113,TRANSPOSE(SAP_Speadsheet!$E$82:$BL$82))</f>
        <v>0</v>
      </c>
      <c r="BG25" s="488" cm="1">
        <f t="array" aca="1" ref="BG25" ca="1">SUMPRODUCT(BG$54:BG$113,TRANSPOSE(SAP_Speadsheet!$E$82:$BL$82))</f>
        <v>0</v>
      </c>
      <c r="BH25" s="488" cm="1">
        <f t="array" aca="1" ref="BH25" ca="1">SUMPRODUCT(BH$54:BH$113,TRANSPOSE(SAP_Speadsheet!$E$82:$BL$82))</f>
        <v>0</v>
      </c>
      <c r="BI25" s="488" cm="1">
        <f t="array" aca="1" ref="BI25" ca="1">SUMPRODUCT(BI$54:BI$113,TRANSPOSE(SAP_Speadsheet!$E$82:$BL$82))</f>
        <v>0</v>
      </c>
    </row>
    <row r="26" spans="1:61" x14ac:dyDescent="0.15">
      <c r="A26" s="477" t="s">
        <v>586</v>
      </c>
      <c r="B26" s="488" cm="1">
        <f t="array" aca="1" ref="B26" ca="1">SUMPRODUCT(B$54:B$113,TRANSPOSE(SAP_Speadsheet!$E$83:$BL$83))</f>
        <v>0</v>
      </c>
      <c r="C26" s="488" cm="1">
        <f t="array" aca="1" ref="C26" ca="1">SUMPRODUCT(C$54:C$113,TRANSPOSE(SAP_Speadsheet!$E$83:$BL$83))</f>
        <v>0</v>
      </c>
      <c r="D26" s="488" cm="1">
        <f t="array" aca="1" ref="D26" ca="1">SUMPRODUCT(D$54:D$113,TRANSPOSE(SAP_Speadsheet!$E$83:$BL$83))</f>
        <v>0</v>
      </c>
      <c r="E26" s="488" cm="1">
        <f t="array" aca="1" ref="E26" ca="1">SUMPRODUCT(E$54:E$113,TRANSPOSE(SAP_Speadsheet!$E$83:$BL$83))</f>
        <v>0</v>
      </c>
      <c r="F26" s="488" cm="1">
        <f t="array" aca="1" ref="F26" ca="1">SUMPRODUCT(F$54:F$113,TRANSPOSE(SAP_Speadsheet!$E$83:$BL$83))</f>
        <v>0</v>
      </c>
      <c r="G26" s="488" cm="1">
        <f t="array" aca="1" ref="G26" ca="1">SUMPRODUCT(G$54:G$113,TRANSPOSE(SAP_Speadsheet!$E$83:$BL$83))</f>
        <v>0</v>
      </c>
      <c r="H26" s="488" cm="1">
        <f t="array" aca="1" ref="H26" ca="1">SUMPRODUCT(H$54:H$113,TRANSPOSE(SAP_Speadsheet!$E$83:$BL$83))</f>
        <v>0</v>
      </c>
      <c r="I26" s="488" cm="1">
        <f t="array" aca="1" ref="I26" ca="1">SUMPRODUCT(I$54:I$113,TRANSPOSE(SAP_Speadsheet!$E$83:$BL$83))</f>
        <v>0</v>
      </c>
      <c r="J26" s="488" cm="1">
        <f t="array" aca="1" ref="J26" ca="1">SUMPRODUCT(J$54:J$113,TRANSPOSE(SAP_Speadsheet!$E$83:$BL$83))</f>
        <v>0</v>
      </c>
      <c r="K26" s="488" cm="1">
        <f t="array" aca="1" ref="K26" ca="1">SUMPRODUCT(K$54:K$113,TRANSPOSE(SAP_Speadsheet!$E$83:$BL$83))</f>
        <v>0</v>
      </c>
      <c r="L26" s="488" cm="1">
        <f t="array" aca="1" ref="L26" ca="1">SUMPRODUCT(L$54:L$113,TRANSPOSE(SAP_Speadsheet!$E$83:$BL$83))</f>
        <v>0</v>
      </c>
      <c r="M26" s="488" cm="1">
        <f t="array" aca="1" ref="M26" ca="1">SUMPRODUCT(M$54:M$113,TRANSPOSE(SAP_Speadsheet!$E$83:$BL$83))</f>
        <v>0</v>
      </c>
      <c r="N26" s="488" cm="1">
        <f t="array" aca="1" ref="N26" ca="1">SUMPRODUCT(N$54:N$113,TRANSPOSE(SAP_Speadsheet!$E$83:$BL$83))</f>
        <v>0</v>
      </c>
      <c r="O26" s="488" cm="1">
        <f t="array" aca="1" ref="O26" ca="1">SUMPRODUCT(O$54:O$113,TRANSPOSE(SAP_Speadsheet!$E$83:$BL$83))</f>
        <v>0</v>
      </c>
      <c r="P26" s="488" cm="1">
        <f t="array" aca="1" ref="P26" ca="1">SUMPRODUCT(P$54:P$113,TRANSPOSE(SAP_Speadsheet!$E$83:$BL$83))</f>
        <v>0</v>
      </c>
      <c r="Q26" s="488" cm="1">
        <f t="array" aca="1" ref="Q26" ca="1">SUMPRODUCT(Q$54:Q$113,TRANSPOSE(SAP_Speadsheet!$E$83:$BL$83))</f>
        <v>0</v>
      </c>
      <c r="R26" s="488" cm="1">
        <f t="array" aca="1" ref="R26" ca="1">SUMPRODUCT(R$54:R$113,TRANSPOSE(SAP_Speadsheet!$E$83:$BL$83))</f>
        <v>0</v>
      </c>
      <c r="S26" s="488" cm="1">
        <f t="array" aca="1" ref="S26" ca="1">SUMPRODUCT(S$54:S$113,TRANSPOSE(SAP_Speadsheet!$E$83:$BL$83))</f>
        <v>0</v>
      </c>
      <c r="T26" s="488" cm="1">
        <f t="array" aca="1" ref="T26" ca="1">SUMPRODUCT(T$54:T$113,TRANSPOSE(SAP_Speadsheet!$E$83:$BL$83))</f>
        <v>0</v>
      </c>
      <c r="U26" s="488" cm="1">
        <f t="array" aca="1" ref="U26" ca="1">SUMPRODUCT(U$54:U$113,TRANSPOSE(SAP_Speadsheet!$E$83:$BL$83))</f>
        <v>0</v>
      </c>
      <c r="V26" s="488" cm="1">
        <f t="array" aca="1" ref="V26" ca="1">SUMPRODUCT(V$54:V$113,TRANSPOSE(SAP_Speadsheet!$E$83:$BL$83))</f>
        <v>0</v>
      </c>
      <c r="W26" s="488" cm="1">
        <f t="array" aca="1" ref="W26" ca="1">SUMPRODUCT(W$54:W$113,TRANSPOSE(SAP_Speadsheet!$E$83:$BL$83))</f>
        <v>0</v>
      </c>
      <c r="X26" s="488" cm="1">
        <f t="array" aca="1" ref="X26" ca="1">SUMPRODUCT(X$54:X$113,TRANSPOSE(SAP_Speadsheet!$E$83:$BL$83))</f>
        <v>0</v>
      </c>
      <c r="Y26" s="488" cm="1">
        <f t="array" aca="1" ref="Y26" ca="1">SUMPRODUCT(Y$54:Y$113,TRANSPOSE(SAP_Speadsheet!$E$83:$BL$83))</f>
        <v>0</v>
      </c>
      <c r="Z26" s="488" cm="1">
        <f t="array" aca="1" ref="Z26" ca="1">SUMPRODUCT(Z$54:Z$113,TRANSPOSE(SAP_Speadsheet!$E$83:$BL$83))</f>
        <v>0</v>
      </c>
      <c r="AA26" s="488" cm="1">
        <f t="array" aca="1" ref="AA26" ca="1">SUMPRODUCT(AA$54:AA$113,TRANSPOSE(SAP_Speadsheet!$E$83:$BL$83))</f>
        <v>0</v>
      </c>
      <c r="AB26" s="488" cm="1">
        <f t="array" aca="1" ref="AB26" ca="1">SUMPRODUCT(AB$54:AB$113,TRANSPOSE(SAP_Speadsheet!$E$83:$BL$83))</f>
        <v>0</v>
      </c>
      <c r="AC26" s="488" cm="1">
        <f t="array" aca="1" ref="AC26" ca="1">SUMPRODUCT(AC$54:AC$113,TRANSPOSE(SAP_Speadsheet!$E$83:$BL$83))</f>
        <v>0</v>
      </c>
      <c r="AD26" s="488" cm="1">
        <f t="array" aca="1" ref="AD26" ca="1">SUMPRODUCT(AD$54:AD$113,TRANSPOSE(SAP_Speadsheet!$E$83:$BL$83))</f>
        <v>0</v>
      </c>
      <c r="AE26" s="488" cm="1">
        <f t="array" aca="1" ref="AE26" ca="1">SUMPRODUCT(AE$54:AE$113,TRANSPOSE(SAP_Speadsheet!$E$83:$BL$83))</f>
        <v>0</v>
      </c>
      <c r="AF26" s="488" cm="1">
        <f t="array" aca="1" ref="AF26" ca="1">SUMPRODUCT(AF$54:AF$113,TRANSPOSE(SAP_Speadsheet!$E$83:$BL$83))</f>
        <v>0</v>
      </c>
      <c r="AG26" s="488" cm="1">
        <f t="array" aca="1" ref="AG26" ca="1">SUMPRODUCT(AG$54:AG$113,TRANSPOSE(SAP_Speadsheet!$E$83:$BL$83))</f>
        <v>0</v>
      </c>
      <c r="AH26" s="488" cm="1">
        <f t="array" aca="1" ref="AH26" ca="1">SUMPRODUCT(AH$54:AH$113,TRANSPOSE(SAP_Speadsheet!$E$83:$BL$83))</f>
        <v>0</v>
      </c>
      <c r="AI26" s="488" cm="1">
        <f t="array" aca="1" ref="AI26" ca="1">SUMPRODUCT(AI$54:AI$113,TRANSPOSE(SAP_Speadsheet!$E$83:$BL$83))</f>
        <v>0</v>
      </c>
      <c r="AJ26" s="488" cm="1">
        <f t="array" aca="1" ref="AJ26" ca="1">SUMPRODUCT(AJ$54:AJ$113,TRANSPOSE(SAP_Speadsheet!$E$83:$BL$83))</f>
        <v>0</v>
      </c>
      <c r="AK26" s="488" cm="1">
        <f t="array" aca="1" ref="AK26" ca="1">SUMPRODUCT(AK$54:AK$113,TRANSPOSE(SAP_Speadsheet!$E$83:$BL$83))</f>
        <v>0</v>
      </c>
      <c r="AL26" s="488" cm="1">
        <f t="array" aca="1" ref="AL26" ca="1">SUMPRODUCT(AL$54:AL$113,TRANSPOSE(SAP_Speadsheet!$E$83:$BL$83))</f>
        <v>0</v>
      </c>
      <c r="AM26" s="488" cm="1">
        <f t="array" aca="1" ref="AM26" ca="1">SUMPRODUCT(AM$54:AM$113,TRANSPOSE(SAP_Speadsheet!$E$83:$BL$83))</f>
        <v>0</v>
      </c>
      <c r="AN26" s="488" cm="1">
        <f t="array" aca="1" ref="AN26" ca="1">SUMPRODUCT(AN$54:AN$113,TRANSPOSE(SAP_Speadsheet!$E$83:$BL$83))</f>
        <v>0</v>
      </c>
      <c r="AO26" s="488" cm="1">
        <f t="array" aca="1" ref="AO26" ca="1">SUMPRODUCT(AO$54:AO$113,TRANSPOSE(SAP_Speadsheet!$E$83:$BL$83))</f>
        <v>0</v>
      </c>
      <c r="AP26" s="488" cm="1">
        <f t="array" aca="1" ref="AP26" ca="1">SUMPRODUCT(AP$54:AP$113,TRANSPOSE(SAP_Speadsheet!$E$83:$BL$83))</f>
        <v>0</v>
      </c>
      <c r="AQ26" s="488" cm="1">
        <f t="array" aca="1" ref="AQ26" ca="1">SUMPRODUCT(AQ$54:AQ$113,TRANSPOSE(SAP_Speadsheet!$E$83:$BL$83))</f>
        <v>0</v>
      </c>
      <c r="AR26" s="488" cm="1">
        <f t="array" aca="1" ref="AR26" ca="1">SUMPRODUCT(AR$54:AR$113,TRANSPOSE(SAP_Speadsheet!$E$83:$BL$83))</f>
        <v>0</v>
      </c>
      <c r="AS26" s="488" cm="1">
        <f t="array" aca="1" ref="AS26" ca="1">SUMPRODUCT(AS$54:AS$113,TRANSPOSE(SAP_Speadsheet!$E$83:$BL$83))</f>
        <v>0</v>
      </c>
      <c r="AT26" s="488" cm="1">
        <f t="array" aca="1" ref="AT26" ca="1">SUMPRODUCT(AT$54:AT$113,TRANSPOSE(SAP_Speadsheet!$E$83:$BL$83))</f>
        <v>0</v>
      </c>
      <c r="AU26" s="488" cm="1">
        <f t="array" aca="1" ref="AU26" ca="1">SUMPRODUCT(AU$54:AU$113,TRANSPOSE(SAP_Speadsheet!$E$83:$BL$83))</f>
        <v>0</v>
      </c>
      <c r="AV26" s="488" cm="1">
        <f t="array" aca="1" ref="AV26" ca="1">SUMPRODUCT(AV$54:AV$113,TRANSPOSE(SAP_Speadsheet!$E$83:$BL$83))</f>
        <v>0</v>
      </c>
      <c r="AW26" s="488" cm="1">
        <f t="array" aca="1" ref="AW26" ca="1">SUMPRODUCT(AW$54:AW$113,TRANSPOSE(SAP_Speadsheet!$E$83:$BL$83))</f>
        <v>0</v>
      </c>
      <c r="AX26" s="488" cm="1">
        <f t="array" aca="1" ref="AX26" ca="1">SUMPRODUCT(AX$54:AX$113,TRANSPOSE(SAP_Speadsheet!$E$83:$BL$83))</f>
        <v>0</v>
      </c>
      <c r="AY26" s="488" cm="1">
        <f t="array" aca="1" ref="AY26" ca="1">SUMPRODUCT(AY$54:AY$113,TRANSPOSE(SAP_Speadsheet!$E$83:$BL$83))</f>
        <v>0</v>
      </c>
      <c r="AZ26" s="488" cm="1">
        <f t="array" aca="1" ref="AZ26" ca="1">SUMPRODUCT(AZ$54:AZ$113,TRANSPOSE(SAP_Speadsheet!$E$83:$BL$83))</f>
        <v>0</v>
      </c>
      <c r="BA26" s="488" cm="1">
        <f t="array" aca="1" ref="BA26" ca="1">SUMPRODUCT(BA$54:BA$113,TRANSPOSE(SAP_Speadsheet!$E$83:$BL$83))</f>
        <v>0</v>
      </c>
      <c r="BB26" s="488" cm="1">
        <f t="array" aca="1" ref="BB26" ca="1">SUMPRODUCT(BB$54:BB$113,TRANSPOSE(SAP_Speadsheet!$E$83:$BL$83))</f>
        <v>0</v>
      </c>
      <c r="BC26" s="488" cm="1">
        <f t="array" aca="1" ref="BC26" ca="1">SUMPRODUCT(BC$54:BC$113,TRANSPOSE(SAP_Speadsheet!$E$83:$BL$83))</f>
        <v>0</v>
      </c>
      <c r="BD26" s="488" cm="1">
        <f t="array" aca="1" ref="BD26" ca="1">SUMPRODUCT(BD$54:BD$113,TRANSPOSE(SAP_Speadsheet!$E$83:$BL$83))</f>
        <v>0</v>
      </c>
      <c r="BE26" s="488" cm="1">
        <f t="array" aca="1" ref="BE26" ca="1">SUMPRODUCT(BE$54:BE$113,TRANSPOSE(SAP_Speadsheet!$E$83:$BL$83))</f>
        <v>0</v>
      </c>
      <c r="BF26" s="488" cm="1">
        <f t="array" aca="1" ref="BF26" ca="1">SUMPRODUCT(BF$54:BF$113,TRANSPOSE(SAP_Speadsheet!$E$83:$BL$83))</f>
        <v>0</v>
      </c>
      <c r="BG26" s="488" cm="1">
        <f t="array" aca="1" ref="BG26" ca="1">SUMPRODUCT(BG$54:BG$113,TRANSPOSE(SAP_Speadsheet!$E$83:$BL$83))</f>
        <v>0</v>
      </c>
      <c r="BH26" s="488" cm="1">
        <f t="array" aca="1" ref="BH26" ca="1">SUMPRODUCT(BH$54:BH$113,TRANSPOSE(SAP_Speadsheet!$E$83:$BL$83))</f>
        <v>0</v>
      </c>
      <c r="BI26" s="488" cm="1">
        <f t="array" aca="1" ref="BI26" ca="1">SUMPRODUCT(BI$54:BI$113,TRANSPOSE(SAP_Speadsheet!$E$83:$BL$83))</f>
        <v>0</v>
      </c>
    </row>
    <row r="27" spans="1:61" x14ac:dyDescent="0.15">
      <c r="A27" s="489" t="s">
        <v>196</v>
      </c>
      <c r="B27" s="483" cm="1">
        <f t="array" aca="1" ref="B27" ca="1">SUMPRODUCT(B$54:B$113,TRANSPOSE(SAP_Speadsheet!$E$87:$BL$87))</f>
        <v>0</v>
      </c>
      <c r="C27" s="483" cm="1">
        <f t="array" aca="1" ref="C27" ca="1">SUMPRODUCT(C$54:C$113,TRANSPOSE(SAP_Speadsheet!$E$87:$BL$87))</f>
        <v>0</v>
      </c>
      <c r="D27" s="483" cm="1">
        <f t="array" aca="1" ref="D27" ca="1">SUMPRODUCT(D$54:D$113,TRANSPOSE(SAP_Speadsheet!$E$87:$BL$87))</f>
        <v>0</v>
      </c>
      <c r="E27" s="483" cm="1">
        <f t="array" aca="1" ref="E27" ca="1">SUMPRODUCT(E$54:E$113,TRANSPOSE(SAP_Speadsheet!$E$87:$BL$87))</f>
        <v>0</v>
      </c>
      <c r="F27" s="483" cm="1">
        <f t="array" aca="1" ref="F27" ca="1">SUMPRODUCT(F$54:F$113,TRANSPOSE(SAP_Speadsheet!$E$87:$BL$87))</f>
        <v>0</v>
      </c>
      <c r="G27" s="483" cm="1">
        <f t="array" aca="1" ref="G27" ca="1">SUMPRODUCT(G$54:G$113,TRANSPOSE(SAP_Speadsheet!$E$87:$BL$87))</f>
        <v>0</v>
      </c>
      <c r="H27" s="483" cm="1">
        <f t="array" aca="1" ref="H27" ca="1">SUMPRODUCT(H$54:H$113,TRANSPOSE(SAP_Speadsheet!$E$87:$BL$87))</f>
        <v>0</v>
      </c>
      <c r="I27" s="483" cm="1">
        <f t="array" aca="1" ref="I27" ca="1">SUMPRODUCT(I$54:I$113,TRANSPOSE(SAP_Speadsheet!$E$87:$BL$87))</f>
        <v>0</v>
      </c>
      <c r="J27" s="483" cm="1">
        <f t="array" aca="1" ref="J27" ca="1">SUMPRODUCT(J$54:J$113,TRANSPOSE(SAP_Speadsheet!$E$87:$BL$87))</f>
        <v>0</v>
      </c>
      <c r="K27" s="483" cm="1">
        <f t="array" aca="1" ref="K27" ca="1">SUMPRODUCT(K$54:K$113,TRANSPOSE(SAP_Speadsheet!$E$87:$BL$87))</f>
        <v>0</v>
      </c>
      <c r="L27" s="483" cm="1">
        <f t="array" aca="1" ref="L27" ca="1">SUMPRODUCT(L$54:L$113,TRANSPOSE(SAP_Speadsheet!$E$87:$BL$87))</f>
        <v>0</v>
      </c>
      <c r="M27" s="483" cm="1">
        <f t="array" aca="1" ref="M27" ca="1">SUMPRODUCT(M$54:M$113,TRANSPOSE(SAP_Speadsheet!$E$87:$BL$87))</f>
        <v>0</v>
      </c>
      <c r="N27" s="483" cm="1">
        <f t="array" aca="1" ref="N27" ca="1">SUMPRODUCT(N$54:N$113,TRANSPOSE(SAP_Speadsheet!$E$87:$BL$87))</f>
        <v>0</v>
      </c>
      <c r="O27" s="483" cm="1">
        <f t="array" aca="1" ref="O27" ca="1">SUMPRODUCT(O$54:O$113,TRANSPOSE(SAP_Speadsheet!$E$87:$BL$87))</f>
        <v>0</v>
      </c>
      <c r="P27" s="483" cm="1">
        <f t="array" aca="1" ref="P27" ca="1">SUMPRODUCT(P$54:P$113,TRANSPOSE(SAP_Speadsheet!$E$87:$BL$87))</f>
        <v>0</v>
      </c>
      <c r="Q27" s="483" cm="1">
        <f t="array" aca="1" ref="Q27" ca="1">SUMPRODUCT(Q$54:Q$113,TRANSPOSE(SAP_Speadsheet!$E$87:$BL$87))</f>
        <v>0</v>
      </c>
      <c r="R27" s="483" cm="1">
        <f t="array" aca="1" ref="R27" ca="1">SUMPRODUCT(R$54:R$113,TRANSPOSE(SAP_Speadsheet!$E$87:$BL$87))</f>
        <v>0</v>
      </c>
      <c r="S27" s="483" cm="1">
        <f t="array" aca="1" ref="S27" ca="1">SUMPRODUCT(S$54:S$113,TRANSPOSE(SAP_Speadsheet!$E$87:$BL$87))</f>
        <v>0</v>
      </c>
      <c r="T27" s="483" cm="1">
        <f t="array" aca="1" ref="T27" ca="1">SUMPRODUCT(T$54:T$113,TRANSPOSE(SAP_Speadsheet!$E$87:$BL$87))</f>
        <v>0</v>
      </c>
      <c r="U27" s="483" cm="1">
        <f t="array" aca="1" ref="U27" ca="1">SUMPRODUCT(U$54:U$113,TRANSPOSE(SAP_Speadsheet!$E$87:$BL$87))</f>
        <v>0</v>
      </c>
      <c r="V27" s="483" cm="1">
        <f t="array" aca="1" ref="V27" ca="1">SUMPRODUCT(V$54:V$113,TRANSPOSE(SAP_Speadsheet!$E$87:$BL$87))</f>
        <v>0</v>
      </c>
      <c r="W27" s="483" cm="1">
        <f t="array" aca="1" ref="W27" ca="1">SUMPRODUCT(W$54:W$113,TRANSPOSE(SAP_Speadsheet!$E$87:$BL$87))</f>
        <v>0</v>
      </c>
      <c r="X27" s="483" cm="1">
        <f t="array" aca="1" ref="X27" ca="1">SUMPRODUCT(X$54:X$113,TRANSPOSE(SAP_Speadsheet!$E$87:$BL$87))</f>
        <v>0</v>
      </c>
      <c r="Y27" s="483" cm="1">
        <f t="array" aca="1" ref="Y27" ca="1">SUMPRODUCT(Y$54:Y$113,TRANSPOSE(SAP_Speadsheet!$E$87:$BL$87))</f>
        <v>0</v>
      </c>
      <c r="Z27" s="483" cm="1">
        <f t="array" aca="1" ref="Z27" ca="1">SUMPRODUCT(Z$54:Z$113,TRANSPOSE(SAP_Speadsheet!$E$87:$BL$87))</f>
        <v>0</v>
      </c>
      <c r="AA27" s="483" cm="1">
        <f t="array" aca="1" ref="AA27" ca="1">SUMPRODUCT(AA$54:AA$113,TRANSPOSE(SAP_Speadsheet!$E$87:$BL$87))</f>
        <v>0</v>
      </c>
      <c r="AB27" s="483" cm="1">
        <f t="array" aca="1" ref="AB27" ca="1">SUMPRODUCT(AB$54:AB$113,TRANSPOSE(SAP_Speadsheet!$E$87:$BL$87))</f>
        <v>0</v>
      </c>
      <c r="AC27" s="483" cm="1">
        <f t="array" aca="1" ref="AC27" ca="1">SUMPRODUCT(AC$54:AC$113,TRANSPOSE(SAP_Speadsheet!$E$87:$BL$87))</f>
        <v>0</v>
      </c>
      <c r="AD27" s="483" cm="1">
        <f t="array" aca="1" ref="AD27" ca="1">SUMPRODUCT(AD$54:AD$113,TRANSPOSE(SAP_Speadsheet!$E$87:$BL$87))</f>
        <v>0</v>
      </c>
      <c r="AE27" s="483" cm="1">
        <f t="array" aca="1" ref="AE27" ca="1">SUMPRODUCT(AE$54:AE$113,TRANSPOSE(SAP_Speadsheet!$E$87:$BL$87))</f>
        <v>0</v>
      </c>
      <c r="AF27" s="483" cm="1">
        <f t="array" aca="1" ref="AF27" ca="1">SUMPRODUCT(AF$54:AF$113,TRANSPOSE(SAP_Speadsheet!$E$87:$BL$87))</f>
        <v>0</v>
      </c>
      <c r="AG27" s="483" cm="1">
        <f t="array" aca="1" ref="AG27" ca="1">SUMPRODUCT(AG$54:AG$113,TRANSPOSE(SAP_Speadsheet!$E$87:$BL$87))</f>
        <v>0</v>
      </c>
      <c r="AH27" s="483" cm="1">
        <f t="array" aca="1" ref="AH27" ca="1">SUMPRODUCT(AH$54:AH$113,TRANSPOSE(SAP_Speadsheet!$E$87:$BL$87))</f>
        <v>0</v>
      </c>
      <c r="AI27" s="483" cm="1">
        <f t="array" aca="1" ref="AI27" ca="1">SUMPRODUCT(AI$54:AI$113,TRANSPOSE(SAP_Speadsheet!$E$87:$BL$87))</f>
        <v>0</v>
      </c>
      <c r="AJ27" s="483" cm="1">
        <f t="array" aca="1" ref="AJ27" ca="1">SUMPRODUCT(AJ$54:AJ$113,TRANSPOSE(SAP_Speadsheet!$E$87:$BL$87))</f>
        <v>0</v>
      </c>
      <c r="AK27" s="483" cm="1">
        <f t="array" aca="1" ref="AK27" ca="1">SUMPRODUCT(AK$54:AK$113,TRANSPOSE(SAP_Speadsheet!$E$87:$BL$87))</f>
        <v>0</v>
      </c>
      <c r="AL27" s="483" cm="1">
        <f t="array" aca="1" ref="AL27" ca="1">SUMPRODUCT(AL$54:AL$113,TRANSPOSE(SAP_Speadsheet!$E$87:$BL$87))</f>
        <v>0</v>
      </c>
      <c r="AM27" s="483" cm="1">
        <f t="array" aca="1" ref="AM27" ca="1">SUMPRODUCT(AM$54:AM$113,TRANSPOSE(SAP_Speadsheet!$E$87:$BL$87))</f>
        <v>0</v>
      </c>
      <c r="AN27" s="483" cm="1">
        <f t="array" aca="1" ref="AN27" ca="1">SUMPRODUCT(AN$54:AN$113,TRANSPOSE(SAP_Speadsheet!$E$87:$BL$87))</f>
        <v>0</v>
      </c>
      <c r="AO27" s="483" cm="1">
        <f t="array" aca="1" ref="AO27" ca="1">SUMPRODUCT(AO$54:AO$113,TRANSPOSE(SAP_Speadsheet!$E$87:$BL$87))</f>
        <v>0</v>
      </c>
      <c r="AP27" s="483" cm="1">
        <f t="array" aca="1" ref="AP27" ca="1">SUMPRODUCT(AP$54:AP$113,TRANSPOSE(SAP_Speadsheet!$E$87:$BL$87))</f>
        <v>0</v>
      </c>
      <c r="AQ27" s="483" cm="1">
        <f t="array" aca="1" ref="AQ27" ca="1">SUMPRODUCT(AQ$54:AQ$113,TRANSPOSE(SAP_Speadsheet!$E$87:$BL$87))</f>
        <v>0</v>
      </c>
      <c r="AR27" s="483" cm="1">
        <f t="array" aca="1" ref="AR27" ca="1">SUMPRODUCT(AR$54:AR$113,TRANSPOSE(SAP_Speadsheet!$E$87:$BL$87))</f>
        <v>0</v>
      </c>
      <c r="AS27" s="483" cm="1">
        <f t="array" aca="1" ref="AS27" ca="1">SUMPRODUCT(AS$54:AS$113,TRANSPOSE(SAP_Speadsheet!$E$87:$BL$87))</f>
        <v>0</v>
      </c>
      <c r="AT27" s="483" cm="1">
        <f t="array" aca="1" ref="AT27" ca="1">SUMPRODUCT(AT$54:AT$113,TRANSPOSE(SAP_Speadsheet!$E$87:$BL$87))</f>
        <v>0</v>
      </c>
      <c r="AU27" s="483" cm="1">
        <f t="array" aca="1" ref="AU27" ca="1">SUMPRODUCT(AU$54:AU$113,TRANSPOSE(SAP_Speadsheet!$E$87:$BL$87))</f>
        <v>0</v>
      </c>
      <c r="AV27" s="483" cm="1">
        <f t="array" aca="1" ref="AV27" ca="1">SUMPRODUCT(AV$54:AV$113,TRANSPOSE(SAP_Speadsheet!$E$87:$BL$87))</f>
        <v>0</v>
      </c>
      <c r="AW27" s="483" cm="1">
        <f t="array" aca="1" ref="AW27" ca="1">SUMPRODUCT(AW$54:AW$113,TRANSPOSE(SAP_Speadsheet!$E$87:$BL$87))</f>
        <v>0</v>
      </c>
      <c r="AX27" s="483" cm="1">
        <f t="array" aca="1" ref="AX27" ca="1">SUMPRODUCT(AX$54:AX$113,TRANSPOSE(SAP_Speadsheet!$E$87:$BL$87))</f>
        <v>0</v>
      </c>
      <c r="AY27" s="483" cm="1">
        <f t="array" aca="1" ref="AY27" ca="1">SUMPRODUCT(AY$54:AY$113,TRANSPOSE(SAP_Speadsheet!$E$87:$BL$87))</f>
        <v>0</v>
      </c>
      <c r="AZ27" s="483" cm="1">
        <f t="array" aca="1" ref="AZ27" ca="1">SUMPRODUCT(AZ$54:AZ$113,TRANSPOSE(SAP_Speadsheet!$E$87:$BL$87))</f>
        <v>0</v>
      </c>
      <c r="BA27" s="483" cm="1">
        <f t="array" aca="1" ref="BA27" ca="1">SUMPRODUCT(BA$54:BA$113,TRANSPOSE(SAP_Speadsheet!$E$87:$BL$87))</f>
        <v>0</v>
      </c>
      <c r="BB27" s="483" cm="1">
        <f t="array" aca="1" ref="BB27" ca="1">SUMPRODUCT(BB$54:BB$113,TRANSPOSE(SAP_Speadsheet!$E$87:$BL$87))</f>
        <v>0</v>
      </c>
      <c r="BC27" s="483" cm="1">
        <f t="array" aca="1" ref="BC27" ca="1">SUMPRODUCT(BC$54:BC$113,TRANSPOSE(SAP_Speadsheet!$E$87:$BL$87))</f>
        <v>0</v>
      </c>
      <c r="BD27" s="483" cm="1">
        <f t="array" aca="1" ref="BD27" ca="1">SUMPRODUCT(BD$54:BD$113,TRANSPOSE(SAP_Speadsheet!$E$87:$BL$87))</f>
        <v>0</v>
      </c>
      <c r="BE27" s="483" cm="1">
        <f t="array" aca="1" ref="BE27" ca="1">SUMPRODUCT(BE$54:BE$113,TRANSPOSE(SAP_Speadsheet!$E$87:$BL$87))</f>
        <v>0</v>
      </c>
      <c r="BF27" s="483" cm="1">
        <f t="array" aca="1" ref="BF27" ca="1">SUMPRODUCT(BF$54:BF$113,TRANSPOSE(SAP_Speadsheet!$E$87:$BL$87))</f>
        <v>0</v>
      </c>
      <c r="BG27" s="483" cm="1">
        <f t="array" aca="1" ref="BG27" ca="1">SUMPRODUCT(BG$54:BG$113,TRANSPOSE(SAP_Speadsheet!$E$87:$BL$87))</f>
        <v>0</v>
      </c>
      <c r="BH27" s="483" cm="1">
        <f t="array" aca="1" ref="BH27" ca="1">SUMPRODUCT(BH$54:BH$113,TRANSPOSE(SAP_Speadsheet!$E$87:$BL$87))</f>
        <v>0</v>
      </c>
      <c r="BI27" s="483" cm="1">
        <f t="array" aca="1" ref="BI27" ca="1">SUMPRODUCT(BI$54:BI$113,TRANSPOSE(SAP_Speadsheet!$E$87:$BL$87))</f>
        <v>0</v>
      </c>
    </row>
    <row r="28" spans="1:61" x14ac:dyDescent="0.15">
      <c r="A28" s="476" t="s">
        <v>579</v>
      </c>
      <c r="B28" s="483" cm="1">
        <f t="array" aca="1" ref="B28" ca="1">SUMPRODUCT(B$54:B$113,TRANSPOSE(SAP_Speadsheet!$E$91:$BL$91))</f>
        <v>0</v>
      </c>
      <c r="C28" s="483" cm="1">
        <f t="array" aca="1" ref="C28" ca="1">SUMPRODUCT(C$54:C$113,TRANSPOSE(SAP_Speadsheet!$E$91:$BL$91))</f>
        <v>0</v>
      </c>
      <c r="D28" s="483" cm="1">
        <f t="array" aca="1" ref="D28" ca="1">SUMPRODUCT(D$54:D$113,TRANSPOSE(SAP_Speadsheet!$E$91:$BL$91))</f>
        <v>0</v>
      </c>
      <c r="E28" s="483" cm="1">
        <f t="array" aca="1" ref="E28" ca="1">SUMPRODUCT(E$54:E$113,TRANSPOSE(SAP_Speadsheet!$E$91:$BL$91))</f>
        <v>0</v>
      </c>
      <c r="F28" s="483" cm="1">
        <f t="array" aca="1" ref="F28" ca="1">SUMPRODUCT(F$54:F$113,TRANSPOSE(SAP_Speadsheet!$E$91:$BL$91))</f>
        <v>0</v>
      </c>
      <c r="G28" s="483" cm="1">
        <f t="array" aca="1" ref="G28" ca="1">SUMPRODUCT(G$54:G$113,TRANSPOSE(SAP_Speadsheet!$E$91:$BL$91))</f>
        <v>0</v>
      </c>
      <c r="H28" s="483" cm="1">
        <f t="array" aca="1" ref="H28" ca="1">SUMPRODUCT(H$54:H$113,TRANSPOSE(SAP_Speadsheet!$E$91:$BL$91))</f>
        <v>0</v>
      </c>
      <c r="I28" s="483" cm="1">
        <f t="array" aca="1" ref="I28" ca="1">SUMPRODUCT(I$54:I$113,TRANSPOSE(SAP_Speadsheet!$E$91:$BL$91))</f>
        <v>0</v>
      </c>
      <c r="J28" s="483" cm="1">
        <f t="array" aca="1" ref="J28" ca="1">SUMPRODUCT(J$54:J$113,TRANSPOSE(SAP_Speadsheet!$E$91:$BL$91))</f>
        <v>0</v>
      </c>
      <c r="K28" s="483" cm="1">
        <f t="array" aca="1" ref="K28" ca="1">SUMPRODUCT(K$54:K$113,TRANSPOSE(SAP_Speadsheet!$E$91:$BL$91))</f>
        <v>0</v>
      </c>
      <c r="L28" s="483" cm="1">
        <f t="array" aca="1" ref="L28" ca="1">SUMPRODUCT(L$54:L$113,TRANSPOSE(SAP_Speadsheet!$E$91:$BL$91))</f>
        <v>0</v>
      </c>
      <c r="M28" s="483" cm="1">
        <f t="array" aca="1" ref="M28" ca="1">SUMPRODUCT(M$54:M$113,TRANSPOSE(SAP_Speadsheet!$E$91:$BL$91))</f>
        <v>0</v>
      </c>
      <c r="N28" s="483" cm="1">
        <f t="array" aca="1" ref="N28" ca="1">SUMPRODUCT(N$54:N$113,TRANSPOSE(SAP_Speadsheet!$E$91:$BL$91))</f>
        <v>0</v>
      </c>
      <c r="O28" s="483" cm="1">
        <f t="array" aca="1" ref="O28" ca="1">SUMPRODUCT(O$54:O$113,TRANSPOSE(SAP_Speadsheet!$E$91:$BL$91))</f>
        <v>0</v>
      </c>
      <c r="P28" s="483" cm="1">
        <f t="array" aca="1" ref="P28" ca="1">SUMPRODUCT(P$54:P$113,TRANSPOSE(SAP_Speadsheet!$E$91:$BL$91))</f>
        <v>0</v>
      </c>
      <c r="Q28" s="483" cm="1">
        <f t="array" aca="1" ref="Q28" ca="1">SUMPRODUCT(Q$54:Q$113,TRANSPOSE(SAP_Speadsheet!$E$91:$BL$91))</f>
        <v>0</v>
      </c>
      <c r="R28" s="483" cm="1">
        <f t="array" aca="1" ref="R28" ca="1">SUMPRODUCT(R$54:R$113,TRANSPOSE(SAP_Speadsheet!$E$91:$BL$91))</f>
        <v>0</v>
      </c>
      <c r="S28" s="483" cm="1">
        <f t="array" aca="1" ref="S28" ca="1">SUMPRODUCT(S$54:S$113,TRANSPOSE(SAP_Speadsheet!$E$91:$BL$91))</f>
        <v>0</v>
      </c>
      <c r="T28" s="483" cm="1">
        <f t="array" aca="1" ref="T28" ca="1">SUMPRODUCT(T$54:T$113,TRANSPOSE(SAP_Speadsheet!$E$91:$BL$91))</f>
        <v>0</v>
      </c>
      <c r="U28" s="483" cm="1">
        <f t="array" aca="1" ref="U28" ca="1">SUMPRODUCT(U$54:U$113,TRANSPOSE(SAP_Speadsheet!$E$91:$BL$91))</f>
        <v>0</v>
      </c>
      <c r="V28" s="483" cm="1">
        <f t="array" aca="1" ref="V28" ca="1">SUMPRODUCT(V$54:V$113,TRANSPOSE(SAP_Speadsheet!$E$91:$BL$91))</f>
        <v>0</v>
      </c>
      <c r="W28" s="483" cm="1">
        <f t="array" aca="1" ref="W28" ca="1">SUMPRODUCT(W$54:W$113,TRANSPOSE(SAP_Speadsheet!$E$91:$BL$91))</f>
        <v>0</v>
      </c>
      <c r="X28" s="483" cm="1">
        <f t="array" aca="1" ref="X28" ca="1">SUMPRODUCT(X$54:X$113,TRANSPOSE(SAP_Speadsheet!$E$91:$BL$91))</f>
        <v>0</v>
      </c>
      <c r="Y28" s="483" cm="1">
        <f t="array" aca="1" ref="Y28" ca="1">SUMPRODUCT(Y$54:Y$113,TRANSPOSE(SAP_Speadsheet!$E$91:$BL$91))</f>
        <v>0</v>
      </c>
      <c r="Z28" s="483" cm="1">
        <f t="array" aca="1" ref="Z28" ca="1">SUMPRODUCT(Z$54:Z$113,TRANSPOSE(SAP_Speadsheet!$E$91:$BL$91))</f>
        <v>0</v>
      </c>
      <c r="AA28" s="483" cm="1">
        <f t="array" aca="1" ref="AA28" ca="1">SUMPRODUCT(AA$54:AA$113,TRANSPOSE(SAP_Speadsheet!$E$91:$BL$91))</f>
        <v>0</v>
      </c>
      <c r="AB28" s="483" cm="1">
        <f t="array" aca="1" ref="AB28" ca="1">SUMPRODUCT(AB$54:AB$113,TRANSPOSE(SAP_Speadsheet!$E$91:$BL$91))</f>
        <v>0</v>
      </c>
      <c r="AC28" s="483" cm="1">
        <f t="array" aca="1" ref="AC28" ca="1">SUMPRODUCT(AC$54:AC$113,TRANSPOSE(SAP_Speadsheet!$E$91:$BL$91))</f>
        <v>0</v>
      </c>
      <c r="AD28" s="483" cm="1">
        <f t="array" aca="1" ref="AD28" ca="1">SUMPRODUCT(AD$54:AD$113,TRANSPOSE(SAP_Speadsheet!$E$91:$BL$91))</f>
        <v>0</v>
      </c>
      <c r="AE28" s="483" cm="1">
        <f t="array" aca="1" ref="AE28" ca="1">SUMPRODUCT(AE$54:AE$113,TRANSPOSE(SAP_Speadsheet!$E$91:$BL$91))</f>
        <v>0</v>
      </c>
      <c r="AF28" s="483" cm="1">
        <f t="array" aca="1" ref="AF28" ca="1">SUMPRODUCT(AF$54:AF$113,TRANSPOSE(SAP_Speadsheet!$E$91:$BL$91))</f>
        <v>0</v>
      </c>
      <c r="AG28" s="483" cm="1">
        <f t="array" aca="1" ref="AG28" ca="1">SUMPRODUCT(AG$54:AG$113,TRANSPOSE(SAP_Speadsheet!$E$91:$BL$91))</f>
        <v>0</v>
      </c>
      <c r="AH28" s="483" cm="1">
        <f t="array" aca="1" ref="AH28" ca="1">SUMPRODUCT(AH$54:AH$113,TRANSPOSE(SAP_Speadsheet!$E$91:$BL$91))</f>
        <v>0</v>
      </c>
      <c r="AI28" s="483" cm="1">
        <f t="array" aca="1" ref="AI28" ca="1">SUMPRODUCT(AI$54:AI$113,TRANSPOSE(SAP_Speadsheet!$E$91:$BL$91))</f>
        <v>0</v>
      </c>
      <c r="AJ28" s="483" cm="1">
        <f t="array" aca="1" ref="AJ28" ca="1">SUMPRODUCT(AJ$54:AJ$113,TRANSPOSE(SAP_Speadsheet!$E$91:$BL$91))</f>
        <v>0</v>
      </c>
      <c r="AK28" s="483" cm="1">
        <f t="array" aca="1" ref="AK28" ca="1">SUMPRODUCT(AK$54:AK$113,TRANSPOSE(SAP_Speadsheet!$E$91:$BL$91))</f>
        <v>0</v>
      </c>
      <c r="AL28" s="483" cm="1">
        <f t="array" aca="1" ref="AL28" ca="1">SUMPRODUCT(AL$54:AL$113,TRANSPOSE(SAP_Speadsheet!$E$91:$BL$91))</f>
        <v>0</v>
      </c>
      <c r="AM28" s="483" cm="1">
        <f t="array" aca="1" ref="AM28" ca="1">SUMPRODUCT(AM$54:AM$113,TRANSPOSE(SAP_Speadsheet!$E$91:$BL$91))</f>
        <v>0</v>
      </c>
      <c r="AN28" s="483" cm="1">
        <f t="array" aca="1" ref="AN28" ca="1">SUMPRODUCT(AN$54:AN$113,TRANSPOSE(SAP_Speadsheet!$E$91:$BL$91))</f>
        <v>0</v>
      </c>
      <c r="AO28" s="483" cm="1">
        <f t="array" aca="1" ref="AO28" ca="1">SUMPRODUCT(AO$54:AO$113,TRANSPOSE(SAP_Speadsheet!$E$91:$BL$91))</f>
        <v>0</v>
      </c>
      <c r="AP28" s="483" cm="1">
        <f t="array" aca="1" ref="AP28" ca="1">SUMPRODUCT(AP$54:AP$113,TRANSPOSE(SAP_Speadsheet!$E$91:$BL$91))</f>
        <v>0</v>
      </c>
      <c r="AQ28" s="483" cm="1">
        <f t="array" aca="1" ref="AQ28" ca="1">SUMPRODUCT(AQ$54:AQ$113,TRANSPOSE(SAP_Speadsheet!$E$91:$BL$91))</f>
        <v>0</v>
      </c>
      <c r="AR28" s="483" cm="1">
        <f t="array" aca="1" ref="AR28" ca="1">SUMPRODUCT(AR$54:AR$113,TRANSPOSE(SAP_Speadsheet!$E$91:$BL$91))</f>
        <v>0</v>
      </c>
      <c r="AS28" s="483" cm="1">
        <f t="array" aca="1" ref="AS28" ca="1">SUMPRODUCT(AS$54:AS$113,TRANSPOSE(SAP_Speadsheet!$E$91:$BL$91))</f>
        <v>0</v>
      </c>
      <c r="AT28" s="483" cm="1">
        <f t="array" aca="1" ref="AT28" ca="1">SUMPRODUCT(AT$54:AT$113,TRANSPOSE(SAP_Speadsheet!$E$91:$BL$91))</f>
        <v>0</v>
      </c>
      <c r="AU28" s="483" cm="1">
        <f t="array" aca="1" ref="AU28" ca="1">SUMPRODUCT(AU$54:AU$113,TRANSPOSE(SAP_Speadsheet!$E$91:$BL$91))</f>
        <v>0</v>
      </c>
      <c r="AV28" s="483" cm="1">
        <f t="array" aca="1" ref="AV28" ca="1">SUMPRODUCT(AV$54:AV$113,TRANSPOSE(SAP_Speadsheet!$E$91:$BL$91))</f>
        <v>0</v>
      </c>
      <c r="AW28" s="483" cm="1">
        <f t="array" aca="1" ref="AW28" ca="1">SUMPRODUCT(AW$54:AW$113,TRANSPOSE(SAP_Speadsheet!$E$91:$BL$91))</f>
        <v>0</v>
      </c>
      <c r="AX28" s="483" cm="1">
        <f t="array" aca="1" ref="AX28" ca="1">SUMPRODUCT(AX$54:AX$113,TRANSPOSE(SAP_Speadsheet!$E$91:$BL$91))</f>
        <v>0</v>
      </c>
      <c r="AY28" s="483" cm="1">
        <f t="array" aca="1" ref="AY28" ca="1">SUMPRODUCT(AY$54:AY$113,TRANSPOSE(SAP_Speadsheet!$E$91:$BL$91))</f>
        <v>0</v>
      </c>
      <c r="AZ28" s="483" cm="1">
        <f t="array" aca="1" ref="AZ28" ca="1">SUMPRODUCT(AZ$54:AZ$113,TRANSPOSE(SAP_Speadsheet!$E$91:$BL$91))</f>
        <v>0</v>
      </c>
      <c r="BA28" s="483" cm="1">
        <f t="array" aca="1" ref="BA28" ca="1">SUMPRODUCT(BA$54:BA$113,TRANSPOSE(SAP_Speadsheet!$E$91:$BL$91))</f>
        <v>0</v>
      </c>
      <c r="BB28" s="483" cm="1">
        <f t="array" aca="1" ref="BB28" ca="1">SUMPRODUCT(BB$54:BB$113,TRANSPOSE(SAP_Speadsheet!$E$91:$BL$91))</f>
        <v>0</v>
      </c>
      <c r="BC28" s="483" cm="1">
        <f t="array" aca="1" ref="BC28" ca="1">SUMPRODUCT(BC$54:BC$113,TRANSPOSE(SAP_Speadsheet!$E$91:$BL$91))</f>
        <v>0</v>
      </c>
      <c r="BD28" s="483" cm="1">
        <f t="array" aca="1" ref="BD28" ca="1">SUMPRODUCT(BD$54:BD$113,TRANSPOSE(SAP_Speadsheet!$E$91:$BL$91))</f>
        <v>0</v>
      </c>
      <c r="BE28" s="483" cm="1">
        <f t="array" aca="1" ref="BE28" ca="1">SUMPRODUCT(BE$54:BE$113,TRANSPOSE(SAP_Speadsheet!$E$91:$BL$91))</f>
        <v>0</v>
      </c>
      <c r="BF28" s="483" cm="1">
        <f t="array" aca="1" ref="BF28" ca="1">SUMPRODUCT(BF$54:BF$113,TRANSPOSE(SAP_Speadsheet!$E$91:$BL$91))</f>
        <v>0</v>
      </c>
      <c r="BG28" s="483" cm="1">
        <f t="array" aca="1" ref="BG28" ca="1">SUMPRODUCT(BG$54:BG$113,TRANSPOSE(SAP_Speadsheet!$E$91:$BL$91))</f>
        <v>0</v>
      </c>
      <c r="BH28" s="483" cm="1">
        <f t="array" aca="1" ref="BH28" ca="1">SUMPRODUCT(BH$54:BH$113,TRANSPOSE(SAP_Speadsheet!$E$91:$BL$91))</f>
        <v>0</v>
      </c>
      <c r="BI28" s="483" cm="1">
        <f t="array" aca="1" ref="BI28" ca="1">SUMPRODUCT(BI$54:BI$113,TRANSPOSE(SAP_Speadsheet!$E$91:$BL$91))</f>
        <v>0</v>
      </c>
    </row>
    <row r="29" spans="1:61" x14ac:dyDescent="0.15">
      <c r="A29" s="476" t="s">
        <v>442</v>
      </c>
      <c r="B29" s="483" cm="1">
        <f t="array" aca="1" ref="B29" ca="1">SUMPRODUCT(B$54:B$113,TRANSPOSE(SAP_Speadsheet!$E$95:$BL$95))</f>
        <v>0</v>
      </c>
      <c r="C29" s="483" cm="1">
        <f t="array" aca="1" ref="C29" ca="1">SUMPRODUCT(C$54:C$113,TRANSPOSE(SAP_Speadsheet!$E$95:$BL$95))</f>
        <v>0</v>
      </c>
      <c r="D29" s="483" cm="1">
        <f t="array" aca="1" ref="D29" ca="1">SUMPRODUCT(D$54:D$113,TRANSPOSE(SAP_Speadsheet!$E$95:$BL$95))</f>
        <v>0</v>
      </c>
      <c r="E29" s="483" cm="1">
        <f t="array" aca="1" ref="E29" ca="1">SUMPRODUCT(E$54:E$113,TRANSPOSE(SAP_Speadsheet!$E$95:$BL$95))</f>
        <v>0</v>
      </c>
      <c r="F29" s="483" cm="1">
        <f t="array" aca="1" ref="F29" ca="1">SUMPRODUCT(F$54:F$113,TRANSPOSE(SAP_Speadsheet!$E$95:$BL$95))</f>
        <v>0</v>
      </c>
      <c r="G29" s="483" cm="1">
        <f t="array" aca="1" ref="G29" ca="1">SUMPRODUCT(G$54:G$113,TRANSPOSE(SAP_Speadsheet!$E$95:$BL$95))</f>
        <v>0</v>
      </c>
      <c r="H29" s="483" cm="1">
        <f t="array" aca="1" ref="H29" ca="1">SUMPRODUCT(H$54:H$113,TRANSPOSE(SAP_Speadsheet!$E$95:$BL$95))</f>
        <v>0</v>
      </c>
      <c r="I29" s="483" cm="1">
        <f t="array" aca="1" ref="I29" ca="1">SUMPRODUCT(I$54:I$113,TRANSPOSE(SAP_Speadsheet!$E$95:$BL$95))</f>
        <v>0</v>
      </c>
      <c r="J29" s="483" cm="1">
        <f t="array" aca="1" ref="J29" ca="1">SUMPRODUCT(J$54:J$113,TRANSPOSE(SAP_Speadsheet!$E$95:$BL$95))</f>
        <v>0</v>
      </c>
      <c r="K29" s="483" cm="1">
        <f t="array" aca="1" ref="K29" ca="1">SUMPRODUCT(K$54:K$113,TRANSPOSE(SAP_Speadsheet!$E$95:$BL$95))</f>
        <v>0</v>
      </c>
      <c r="L29" s="483" cm="1">
        <f t="array" aca="1" ref="L29" ca="1">SUMPRODUCT(L$54:L$113,TRANSPOSE(SAP_Speadsheet!$E$95:$BL$95))</f>
        <v>0</v>
      </c>
      <c r="M29" s="483" cm="1">
        <f t="array" aca="1" ref="M29" ca="1">SUMPRODUCT(M$54:M$113,TRANSPOSE(SAP_Speadsheet!$E$95:$BL$95))</f>
        <v>0</v>
      </c>
      <c r="N29" s="483" cm="1">
        <f t="array" aca="1" ref="N29" ca="1">SUMPRODUCT(N$54:N$113,TRANSPOSE(SAP_Speadsheet!$E$95:$BL$95))</f>
        <v>0</v>
      </c>
      <c r="O29" s="483" cm="1">
        <f t="array" aca="1" ref="O29" ca="1">SUMPRODUCT(O$54:O$113,TRANSPOSE(SAP_Speadsheet!$E$95:$BL$95))</f>
        <v>0</v>
      </c>
      <c r="P29" s="483" cm="1">
        <f t="array" aca="1" ref="P29" ca="1">SUMPRODUCT(P$54:P$113,TRANSPOSE(SAP_Speadsheet!$E$95:$BL$95))</f>
        <v>0</v>
      </c>
      <c r="Q29" s="483" cm="1">
        <f t="array" aca="1" ref="Q29" ca="1">SUMPRODUCT(Q$54:Q$113,TRANSPOSE(SAP_Speadsheet!$E$95:$BL$95))</f>
        <v>0</v>
      </c>
      <c r="R29" s="483" cm="1">
        <f t="array" aca="1" ref="R29" ca="1">SUMPRODUCT(R$54:R$113,TRANSPOSE(SAP_Speadsheet!$E$95:$BL$95))</f>
        <v>0</v>
      </c>
      <c r="S29" s="483" cm="1">
        <f t="array" aca="1" ref="S29" ca="1">SUMPRODUCT(S$54:S$113,TRANSPOSE(SAP_Speadsheet!$E$95:$BL$95))</f>
        <v>0</v>
      </c>
      <c r="T29" s="483" cm="1">
        <f t="array" aca="1" ref="T29" ca="1">SUMPRODUCT(T$54:T$113,TRANSPOSE(SAP_Speadsheet!$E$95:$BL$95))</f>
        <v>0</v>
      </c>
      <c r="U29" s="483" cm="1">
        <f t="array" aca="1" ref="U29" ca="1">SUMPRODUCT(U$54:U$113,TRANSPOSE(SAP_Speadsheet!$E$95:$BL$95))</f>
        <v>0</v>
      </c>
      <c r="V29" s="483" cm="1">
        <f t="array" aca="1" ref="V29" ca="1">SUMPRODUCT(V$54:V$113,TRANSPOSE(SAP_Speadsheet!$E$95:$BL$95))</f>
        <v>0</v>
      </c>
      <c r="W29" s="483" cm="1">
        <f t="array" aca="1" ref="W29" ca="1">SUMPRODUCT(W$54:W$113,TRANSPOSE(SAP_Speadsheet!$E$95:$BL$95))</f>
        <v>0</v>
      </c>
      <c r="X29" s="483" cm="1">
        <f t="array" aca="1" ref="X29" ca="1">SUMPRODUCT(X$54:X$113,TRANSPOSE(SAP_Speadsheet!$E$95:$BL$95))</f>
        <v>0</v>
      </c>
      <c r="Y29" s="483" cm="1">
        <f t="array" aca="1" ref="Y29" ca="1">SUMPRODUCT(Y$54:Y$113,TRANSPOSE(SAP_Speadsheet!$E$95:$BL$95))</f>
        <v>0</v>
      </c>
      <c r="Z29" s="483" cm="1">
        <f t="array" aca="1" ref="Z29" ca="1">SUMPRODUCT(Z$54:Z$113,TRANSPOSE(SAP_Speadsheet!$E$95:$BL$95))</f>
        <v>0</v>
      </c>
      <c r="AA29" s="483" cm="1">
        <f t="array" aca="1" ref="AA29" ca="1">SUMPRODUCT(AA$54:AA$113,TRANSPOSE(SAP_Speadsheet!$E$95:$BL$95))</f>
        <v>0</v>
      </c>
      <c r="AB29" s="483" cm="1">
        <f t="array" aca="1" ref="AB29" ca="1">SUMPRODUCT(AB$54:AB$113,TRANSPOSE(SAP_Speadsheet!$E$95:$BL$95))</f>
        <v>0</v>
      </c>
      <c r="AC29" s="483" cm="1">
        <f t="array" aca="1" ref="AC29" ca="1">SUMPRODUCT(AC$54:AC$113,TRANSPOSE(SAP_Speadsheet!$E$95:$BL$95))</f>
        <v>0</v>
      </c>
      <c r="AD29" s="483" cm="1">
        <f t="array" aca="1" ref="AD29" ca="1">SUMPRODUCT(AD$54:AD$113,TRANSPOSE(SAP_Speadsheet!$E$95:$BL$95))</f>
        <v>0</v>
      </c>
      <c r="AE29" s="483" cm="1">
        <f t="array" aca="1" ref="AE29" ca="1">SUMPRODUCT(AE$54:AE$113,TRANSPOSE(SAP_Speadsheet!$E$95:$BL$95))</f>
        <v>0</v>
      </c>
      <c r="AF29" s="483" cm="1">
        <f t="array" aca="1" ref="AF29" ca="1">SUMPRODUCT(AF$54:AF$113,TRANSPOSE(SAP_Speadsheet!$E$95:$BL$95))</f>
        <v>0</v>
      </c>
      <c r="AG29" s="483" cm="1">
        <f t="array" aca="1" ref="AG29" ca="1">SUMPRODUCT(AG$54:AG$113,TRANSPOSE(SAP_Speadsheet!$E$95:$BL$95))</f>
        <v>0</v>
      </c>
      <c r="AH29" s="483" cm="1">
        <f t="array" aca="1" ref="AH29" ca="1">SUMPRODUCT(AH$54:AH$113,TRANSPOSE(SAP_Speadsheet!$E$95:$BL$95))</f>
        <v>0</v>
      </c>
      <c r="AI29" s="483" cm="1">
        <f t="array" aca="1" ref="AI29" ca="1">SUMPRODUCT(AI$54:AI$113,TRANSPOSE(SAP_Speadsheet!$E$95:$BL$95))</f>
        <v>0</v>
      </c>
      <c r="AJ29" s="483" cm="1">
        <f t="array" aca="1" ref="AJ29" ca="1">SUMPRODUCT(AJ$54:AJ$113,TRANSPOSE(SAP_Speadsheet!$E$95:$BL$95))</f>
        <v>0</v>
      </c>
      <c r="AK29" s="483" cm="1">
        <f t="array" aca="1" ref="AK29" ca="1">SUMPRODUCT(AK$54:AK$113,TRANSPOSE(SAP_Speadsheet!$E$95:$BL$95))</f>
        <v>0</v>
      </c>
      <c r="AL29" s="483" cm="1">
        <f t="array" aca="1" ref="AL29" ca="1">SUMPRODUCT(AL$54:AL$113,TRANSPOSE(SAP_Speadsheet!$E$95:$BL$95))</f>
        <v>0</v>
      </c>
      <c r="AM29" s="483" cm="1">
        <f t="array" aca="1" ref="AM29" ca="1">SUMPRODUCT(AM$54:AM$113,TRANSPOSE(SAP_Speadsheet!$E$95:$BL$95))</f>
        <v>0</v>
      </c>
      <c r="AN29" s="483" cm="1">
        <f t="array" aca="1" ref="AN29" ca="1">SUMPRODUCT(AN$54:AN$113,TRANSPOSE(SAP_Speadsheet!$E$95:$BL$95))</f>
        <v>0</v>
      </c>
      <c r="AO29" s="483" cm="1">
        <f t="array" aca="1" ref="AO29" ca="1">SUMPRODUCT(AO$54:AO$113,TRANSPOSE(SAP_Speadsheet!$E$95:$BL$95))</f>
        <v>0</v>
      </c>
      <c r="AP29" s="483" cm="1">
        <f t="array" aca="1" ref="AP29" ca="1">SUMPRODUCT(AP$54:AP$113,TRANSPOSE(SAP_Speadsheet!$E$95:$BL$95))</f>
        <v>0</v>
      </c>
      <c r="AQ29" s="483" cm="1">
        <f t="array" aca="1" ref="AQ29" ca="1">SUMPRODUCT(AQ$54:AQ$113,TRANSPOSE(SAP_Speadsheet!$E$95:$BL$95))</f>
        <v>0</v>
      </c>
      <c r="AR29" s="483" cm="1">
        <f t="array" aca="1" ref="AR29" ca="1">SUMPRODUCT(AR$54:AR$113,TRANSPOSE(SAP_Speadsheet!$E$95:$BL$95))</f>
        <v>0</v>
      </c>
      <c r="AS29" s="483" cm="1">
        <f t="array" aca="1" ref="AS29" ca="1">SUMPRODUCT(AS$54:AS$113,TRANSPOSE(SAP_Speadsheet!$E$95:$BL$95))</f>
        <v>0</v>
      </c>
      <c r="AT29" s="483" cm="1">
        <f t="array" aca="1" ref="AT29" ca="1">SUMPRODUCT(AT$54:AT$113,TRANSPOSE(SAP_Speadsheet!$E$95:$BL$95))</f>
        <v>0</v>
      </c>
      <c r="AU29" s="483" cm="1">
        <f t="array" aca="1" ref="AU29" ca="1">SUMPRODUCT(AU$54:AU$113,TRANSPOSE(SAP_Speadsheet!$E$95:$BL$95))</f>
        <v>0</v>
      </c>
      <c r="AV29" s="483" cm="1">
        <f t="array" aca="1" ref="AV29" ca="1">SUMPRODUCT(AV$54:AV$113,TRANSPOSE(SAP_Speadsheet!$E$95:$BL$95))</f>
        <v>0</v>
      </c>
      <c r="AW29" s="483" cm="1">
        <f t="array" aca="1" ref="AW29" ca="1">SUMPRODUCT(AW$54:AW$113,TRANSPOSE(SAP_Speadsheet!$E$95:$BL$95))</f>
        <v>0</v>
      </c>
      <c r="AX29" s="483" cm="1">
        <f t="array" aca="1" ref="AX29" ca="1">SUMPRODUCT(AX$54:AX$113,TRANSPOSE(SAP_Speadsheet!$E$95:$BL$95))</f>
        <v>0</v>
      </c>
      <c r="AY29" s="483" cm="1">
        <f t="array" aca="1" ref="AY29" ca="1">SUMPRODUCT(AY$54:AY$113,TRANSPOSE(SAP_Speadsheet!$E$95:$BL$95))</f>
        <v>0</v>
      </c>
      <c r="AZ29" s="483" cm="1">
        <f t="array" aca="1" ref="AZ29" ca="1">SUMPRODUCT(AZ$54:AZ$113,TRANSPOSE(SAP_Speadsheet!$E$95:$BL$95))</f>
        <v>0</v>
      </c>
      <c r="BA29" s="483" cm="1">
        <f t="array" aca="1" ref="BA29" ca="1">SUMPRODUCT(BA$54:BA$113,TRANSPOSE(SAP_Speadsheet!$E$95:$BL$95))</f>
        <v>0</v>
      </c>
      <c r="BB29" s="483" cm="1">
        <f t="array" aca="1" ref="BB29" ca="1">SUMPRODUCT(BB$54:BB$113,TRANSPOSE(SAP_Speadsheet!$E$95:$BL$95))</f>
        <v>0</v>
      </c>
      <c r="BC29" s="483" cm="1">
        <f t="array" aca="1" ref="BC29" ca="1">SUMPRODUCT(BC$54:BC$113,TRANSPOSE(SAP_Speadsheet!$E$95:$BL$95))</f>
        <v>0</v>
      </c>
      <c r="BD29" s="483" cm="1">
        <f t="array" aca="1" ref="BD29" ca="1">SUMPRODUCT(BD$54:BD$113,TRANSPOSE(SAP_Speadsheet!$E$95:$BL$95))</f>
        <v>0</v>
      </c>
      <c r="BE29" s="483" cm="1">
        <f t="array" aca="1" ref="BE29" ca="1">SUMPRODUCT(BE$54:BE$113,TRANSPOSE(SAP_Speadsheet!$E$95:$BL$95))</f>
        <v>0</v>
      </c>
      <c r="BF29" s="483" cm="1">
        <f t="array" aca="1" ref="BF29" ca="1">SUMPRODUCT(BF$54:BF$113,TRANSPOSE(SAP_Speadsheet!$E$95:$BL$95))</f>
        <v>0</v>
      </c>
      <c r="BG29" s="483" cm="1">
        <f t="array" aca="1" ref="BG29" ca="1">SUMPRODUCT(BG$54:BG$113,TRANSPOSE(SAP_Speadsheet!$E$95:$BL$95))</f>
        <v>0</v>
      </c>
      <c r="BH29" s="483" cm="1">
        <f t="array" aca="1" ref="BH29" ca="1">SUMPRODUCT(BH$54:BH$113,TRANSPOSE(SAP_Speadsheet!$E$95:$BL$95))</f>
        <v>0</v>
      </c>
      <c r="BI29" s="483" cm="1">
        <f t="array" aca="1" ref="BI29" ca="1">SUMPRODUCT(BI$54:BI$113,TRANSPOSE(SAP_Speadsheet!$E$95:$BL$95))</f>
        <v>0</v>
      </c>
    </row>
    <row r="30" spans="1:61" x14ac:dyDescent="0.15">
      <c r="A30" s="476" t="s">
        <v>409</v>
      </c>
      <c r="B30" s="483" cm="1">
        <f t="array" aca="1" ref="B30" ca="1">SUMPRODUCT(B$54:B$113,TRANSPOSE(SAP_Speadsheet!$E$175:$BL$175))</f>
        <v>0</v>
      </c>
      <c r="C30" s="483" cm="1">
        <f t="array" aca="1" ref="C30" ca="1">SUMPRODUCT(C$54:C$113,TRANSPOSE(SAP_Speadsheet!$E$175:$BL$175))</f>
        <v>0</v>
      </c>
      <c r="D30" s="483" cm="1">
        <f t="array" aca="1" ref="D30" ca="1">SUMPRODUCT(D$54:D$113,TRANSPOSE(SAP_Speadsheet!$E$175:$BL$175))</f>
        <v>0</v>
      </c>
      <c r="E30" s="483" cm="1">
        <f t="array" aca="1" ref="E30" ca="1">SUMPRODUCT(E$54:E$113,TRANSPOSE(SAP_Speadsheet!$E$175:$BL$175))</f>
        <v>0</v>
      </c>
      <c r="F30" s="483" cm="1">
        <f t="array" aca="1" ref="F30" ca="1">SUMPRODUCT(F$54:F$113,TRANSPOSE(SAP_Speadsheet!$E$175:$BL$175))</f>
        <v>0</v>
      </c>
      <c r="G30" s="483" cm="1">
        <f t="array" aca="1" ref="G30" ca="1">SUMPRODUCT(G$54:G$113,TRANSPOSE(SAP_Speadsheet!$E$175:$BL$175))</f>
        <v>0</v>
      </c>
      <c r="H30" s="483" cm="1">
        <f t="array" aca="1" ref="H30" ca="1">SUMPRODUCT(H$54:H$113,TRANSPOSE(SAP_Speadsheet!$E$175:$BL$175))</f>
        <v>0</v>
      </c>
      <c r="I30" s="483" cm="1">
        <f t="array" aca="1" ref="I30" ca="1">SUMPRODUCT(I$54:I$113,TRANSPOSE(SAP_Speadsheet!$E$175:$BL$175))</f>
        <v>0</v>
      </c>
      <c r="J30" s="483" cm="1">
        <f t="array" aca="1" ref="J30" ca="1">SUMPRODUCT(J$54:J$113,TRANSPOSE(SAP_Speadsheet!$E$175:$BL$175))</f>
        <v>0</v>
      </c>
      <c r="K30" s="483" cm="1">
        <f t="array" aca="1" ref="K30" ca="1">SUMPRODUCT(K$54:K$113,TRANSPOSE(SAP_Speadsheet!$E$175:$BL$175))</f>
        <v>0</v>
      </c>
      <c r="L30" s="483" cm="1">
        <f t="array" aca="1" ref="L30" ca="1">SUMPRODUCT(L$54:L$113,TRANSPOSE(SAP_Speadsheet!$E$175:$BL$175))</f>
        <v>0</v>
      </c>
      <c r="M30" s="483" cm="1">
        <f t="array" aca="1" ref="M30" ca="1">SUMPRODUCT(M$54:M$113,TRANSPOSE(SAP_Speadsheet!$E$175:$BL$175))</f>
        <v>0</v>
      </c>
      <c r="N30" s="483" cm="1">
        <f t="array" aca="1" ref="N30" ca="1">SUMPRODUCT(N$54:N$113,TRANSPOSE(SAP_Speadsheet!$E$175:$BL$175))</f>
        <v>0</v>
      </c>
      <c r="O30" s="483" cm="1">
        <f t="array" aca="1" ref="O30" ca="1">SUMPRODUCT(O$54:O$113,TRANSPOSE(SAP_Speadsheet!$E$175:$BL$175))</f>
        <v>0</v>
      </c>
      <c r="P30" s="483" cm="1">
        <f t="array" aca="1" ref="P30" ca="1">SUMPRODUCT(P$54:P$113,TRANSPOSE(SAP_Speadsheet!$E$175:$BL$175))</f>
        <v>0</v>
      </c>
      <c r="Q30" s="483" cm="1">
        <f t="array" aca="1" ref="Q30" ca="1">SUMPRODUCT(Q$54:Q$113,TRANSPOSE(SAP_Speadsheet!$E$175:$BL$175))</f>
        <v>0</v>
      </c>
      <c r="R30" s="483" cm="1">
        <f t="array" aca="1" ref="R30" ca="1">SUMPRODUCT(R$54:R$113,TRANSPOSE(SAP_Speadsheet!$E$175:$BL$175))</f>
        <v>0</v>
      </c>
      <c r="S30" s="483" cm="1">
        <f t="array" aca="1" ref="S30" ca="1">SUMPRODUCT(S$54:S$113,TRANSPOSE(SAP_Speadsheet!$E$175:$BL$175))</f>
        <v>0</v>
      </c>
      <c r="T30" s="483" cm="1">
        <f t="array" aca="1" ref="T30" ca="1">SUMPRODUCT(T$54:T$113,TRANSPOSE(SAP_Speadsheet!$E$175:$BL$175))</f>
        <v>0</v>
      </c>
      <c r="U30" s="483" cm="1">
        <f t="array" aca="1" ref="U30" ca="1">SUMPRODUCT(U$54:U$113,TRANSPOSE(SAP_Speadsheet!$E$175:$BL$175))</f>
        <v>0</v>
      </c>
      <c r="V30" s="483" cm="1">
        <f t="array" aca="1" ref="V30" ca="1">SUMPRODUCT(V$54:V$113,TRANSPOSE(SAP_Speadsheet!$E$175:$BL$175))</f>
        <v>0</v>
      </c>
      <c r="W30" s="483" cm="1">
        <f t="array" aca="1" ref="W30" ca="1">SUMPRODUCT(W$54:W$113,TRANSPOSE(SAP_Speadsheet!$E$175:$BL$175))</f>
        <v>0</v>
      </c>
      <c r="X30" s="483" cm="1">
        <f t="array" aca="1" ref="X30" ca="1">SUMPRODUCT(X$54:X$113,TRANSPOSE(SAP_Speadsheet!$E$175:$BL$175))</f>
        <v>0</v>
      </c>
      <c r="Y30" s="483" cm="1">
        <f t="array" aca="1" ref="Y30" ca="1">SUMPRODUCT(Y$54:Y$113,TRANSPOSE(SAP_Speadsheet!$E$175:$BL$175))</f>
        <v>0</v>
      </c>
      <c r="Z30" s="483" cm="1">
        <f t="array" aca="1" ref="Z30" ca="1">SUMPRODUCT(Z$54:Z$113,TRANSPOSE(SAP_Speadsheet!$E$175:$BL$175))</f>
        <v>0</v>
      </c>
      <c r="AA30" s="483" cm="1">
        <f t="array" aca="1" ref="AA30" ca="1">SUMPRODUCT(AA$54:AA$113,TRANSPOSE(SAP_Speadsheet!$E$175:$BL$175))</f>
        <v>0</v>
      </c>
      <c r="AB30" s="483" cm="1">
        <f t="array" aca="1" ref="AB30" ca="1">SUMPRODUCT(AB$54:AB$113,TRANSPOSE(SAP_Speadsheet!$E$175:$BL$175))</f>
        <v>0</v>
      </c>
      <c r="AC30" s="483" cm="1">
        <f t="array" aca="1" ref="AC30" ca="1">SUMPRODUCT(AC$54:AC$113,TRANSPOSE(SAP_Speadsheet!$E$175:$BL$175))</f>
        <v>0</v>
      </c>
      <c r="AD30" s="483" cm="1">
        <f t="array" aca="1" ref="AD30" ca="1">SUMPRODUCT(AD$54:AD$113,TRANSPOSE(SAP_Speadsheet!$E$175:$BL$175))</f>
        <v>0</v>
      </c>
      <c r="AE30" s="483" cm="1">
        <f t="array" aca="1" ref="AE30" ca="1">SUMPRODUCT(AE$54:AE$113,TRANSPOSE(SAP_Speadsheet!$E$175:$BL$175))</f>
        <v>0</v>
      </c>
      <c r="AF30" s="483" cm="1">
        <f t="array" aca="1" ref="AF30" ca="1">SUMPRODUCT(AF$54:AF$113,TRANSPOSE(SAP_Speadsheet!$E$175:$BL$175))</f>
        <v>0</v>
      </c>
      <c r="AG30" s="483" cm="1">
        <f t="array" aca="1" ref="AG30" ca="1">SUMPRODUCT(AG$54:AG$113,TRANSPOSE(SAP_Speadsheet!$E$175:$BL$175))</f>
        <v>0</v>
      </c>
      <c r="AH30" s="483" cm="1">
        <f t="array" aca="1" ref="AH30" ca="1">SUMPRODUCT(AH$54:AH$113,TRANSPOSE(SAP_Speadsheet!$E$175:$BL$175))</f>
        <v>0</v>
      </c>
      <c r="AI30" s="483" cm="1">
        <f t="array" aca="1" ref="AI30" ca="1">SUMPRODUCT(AI$54:AI$113,TRANSPOSE(SAP_Speadsheet!$E$175:$BL$175))</f>
        <v>0</v>
      </c>
      <c r="AJ30" s="483" cm="1">
        <f t="array" aca="1" ref="AJ30" ca="1">SUMPRODUCT(AJ$54:AJ$113,TRANSPOSE(SAP_Speadsheet!$E$175:$BL$175))</f>
        <v>0</v>
      </c>
      <c r="AK30" s="483" cm="1">
        <f t="array" aca="1" ref="AK30" ca="1">SUMPRODUCT(AK$54:AK$113,TRANSPOSE(SAP_Speadsheet!$E$175:$BL$175))</f>
        <v>0</v>
      </c>
      <c r="AL30" s="483" cm="1">
        <f t="array" aca="1" ref="AL30" ca="1">SUMPRODUCT(AL$54:AL$113,TRANSPOSE(SAP_Speadsheet!$E$175:$BL$175))</f>
        <v>0</v>
      </c>
      <c r="AM30" s="483" cm="1">
        <f t="array" aca="1" ref="AM30" ca="1">SUMPRODUCT(AM$54:AM$113,TRANSPOSE(SAP_Speadsheet!$E$175:$BL$175))</f>
        <v>0</v>
      </c>
      <c r="AN30" s="483" cm="1">
        <f t="array" aca="1" ref="AN30" ca="1">SUMPRODUCT(AN$54:AN$113,TRANSPOSE(SAP_Speadsheet!$E$175:$BL$175))</f>
        <v>0</v>
      </c>
      <c r="AO30" s="483" cm="1">
        <f t="array" aca="1" ref="AO30" ca="1">SUMPRODUCT(AO$54:AO$113,TRANSPOSE(SAP_Speadsheet!$E$175:$BL$175))</f>
        <v>0</v>
      </c>
      <c r="AP30" s="483" cm="1">
        <f t="array" aca="1" ref="AP30" ca="1">SUMPRODUCT(AP$54:AP$113,TRANSPOSE(SAP_Speadsheet!$E$175:$BL$175))</f>
        <v>0</v>
      </c>
      <c r="AQ30" s="483" cm="1">
        <f t="array" aca="1" ref="AQ30" ca="1">SUMPRODUCT(AQ$54:AQ$113,TRANSPOSE(SAP_Speadsheet!$E$175:$BL$175))</f>
        <v>0</v>
      </c>
      <c r="AR30" s="483" cm="1">
        <f t="array" aca="1" ref="AR30" ca="1">SUMPRODUCT(AR$54:AR$113,TRANSPOSE(SAP_Speadsheet!$E$175:$BL$175))</f>
        <v>0</v>
      </c>
      <c r="AS30" s="483" cm="1">
        <f t="array" aca="1" ref="AS30" ca="1">SUMPRODUCT(AS$54:AS$113,TRANSPOSE(SAP_Speadsheet!$E$175:$BL$175))</f>
        <v>0</v>
      </c>
      <c r="AT30" s="483" cm="1">
        <f t="array" aca="1" ref="AT30" ca="1">SUMPRODUCT(AT$54:AT$113,TRANSPOSE(SAP_Speadsheet!$E$175:$BL$175))</f>
        <v>0</v>
      </c>
      <c r="AU30" s="483" cm="1">
        <f t="array" aca="1" ref="AU30" ca="1">SUMPRODUCT(AU$54:AU$113,TRANSPOSE(SAP_Speadsheet!$E$175:$BL$175))</f>
        <v>0</v>
      </c>
      <c r="AV30" s="483" cm="1">
        <f t="array" aca="1" ref="AV30" ca="1">SUMPRODUCT(AV$54:AV$113,TRANSPOSE(SAP_Speadsheet!$E$175:$BL$175))</f>
        <v>0</v>
      </c>
      <c r="AW30" s="483" cm="1">
        <f t="array" aca="1" ref="AW30" ca="1">SUMPRODUCT(AW$54:AW$113,TRANSPOSE(SAP_Speadsheet!$E$175:$BL$175))</f>
        <v>0</v>
      </c>
      <c r="AX30" s="483" cm="1">
        <f t="array" aca="1" ref="AX30" ca="1">SUMPRODUCT(AX$54:AX$113,TRANSPOSE(SAP_Speadsheet!$E$175:$BL$175))</f>
        <v>0</v>
      </c>
      <c r="AY30" s="483" cm="1">
        <f t="array" aca="1" ref="AY30" ca="1">SUMPRODUCT(AY$54:AY$113,TRANSPOSE(SAP_Speadsheet!$E$175:$BL$175))</f>
        <v>0</v>
      </c>
      <c r="AZ30" s="483" cm="1">
        <f t="array" aca="1" ref="AZ30" ca="1">SUMPRODUCT(AZ$54:AZ$113,TRANSPOSE(SAP_Speadsheet!$E$175:$BL$175))</f>
        <v>0</v>
      </c>
      <c r="BA30" s="483" cm="1">
        <f t="array" aca="1" ref="BA30" ca="1">SUMPRODUCT(BA$54:BA$113,TRANSPOSE(SAP_Speadsheet!$E$175:$BL$175))</f>
        <v>0</v>
      </c>
      <c r="BB30" s="483" cm="1">
        <f t="array" aca="1" ref="BB30" ca="1">SUMPRODUCT(BB$54:BB$113,TRANSPOSE(SAP_Speadsheet!$E$175:$BL$175))</f>
        <v>0</v>
      </c>
      <c r="BC30" s="483" cm="1">
        <f t="array" aca="1" ref="BC30" ca="1">SUMPRODUCT(BC$54:BC$113,TRANSPOSE(SAP_Speadsheet!$E$175:$BL$175))</f>
        <v>0</v>
      </c>
      <c r="BD30" s="483" cm="1">
        <f t="array" aca="1" ref="BD30" ca="1">SUMPRODUCT(BD$54:BD$113,TRANSPOSE(SAP_Speadsheet!$E$175:$BL$175))</f>
        <v>0</v>
      </c>
      <c r="BE30" s="483" cm="1">
        <f t="array" aca="1" ref="BE30" ca="1">SUMPRODUCT(BE$54:BE$113,TRANSPOSE(SAP_Speadsheet!$E$175:$BL$175))</f>
        <v>0</v>
      </c>
      <c r="BF30" s="483" cm="1">
        <f t="array" aca="1" ref="BF30" ca="1">SUMPRODUCT(BF$54:BF$113,TRANSPOSE(SAP_Speadsheet!$E$175:$BL$175))</f>
        <v>0</v>
      </c>
      <c r="BG30" s="483" cm="1">
        <f t="array" aca="1" ref="BG30" ca="1">SUMPRODUCT(BG$54:BG$113,TRANSPOSE(SAP_Speadsheet!$E$175:$BL$175))</f>
        <v>0</v>
      </c>
      <c r="BH30" s="483" cm="1">
        <f t="array" aca="1" ref="BH30" ca="1">SUMPRODUCT(BH$54:BH$113,TRANSPOSE(SAP_Speadsheet!$E$175:$BL$175))</f>
        <v>0</v>
      </c>
      <c r="BI30" s="483" cm="1">
        <f t="array" aca="1" ref="BI30" ca="1">SUMPRODUCT(BI$54:BI$113,TRANSPOSE(SAP_Speadsheet!$E$175:$BL$175))</f>
        <v>0</v>
      </c>
    </row>
    <row r="31" spans="1:61" x14ac:dyDescent="0.15">
      <c r="A31" s="476" t="s">
        <v>417</v>
      </c>
      <c r="B31" s="483" cm="1">
        <f t="array" aca="1" ref="B31" ca="1">SUMPRODUCT(B$54:B$113,TRANSPOSE(SAP_Speadsheet!$E$181:$BL$181))</f>
        <v>0</v>
      </c>
      <c r="C31" s="483" cm="1">
        <f t="array" aca="1" ref="C31" ca="1">SUMPRODUCT(C$54:C$113,TRANSPOSE(SAP_Speadsheet!$E$181:$BL$181))</f>
        <v>0</v>
      </c>
      <c r="D31" s="483" cm="1">
        <f t="array" aca="1" ref="D31" ca="1">SUMPRODUCT(D$54:D$113,TRANSPOSE(SAP_Speadsheet!$E$181:$BL$181))</f>
        <v>0</v>
      </c>
      <c r="E31" s="483" cm="1">
        <f t="array" aca="1" ref="E31" ca="1">SUMPRODUCT(E$54:E$113,TRANSPOSE(SAP_Speadsheet!$E$181:$BL$181))</f>
        <v>0</v>
      </c>
      <c r="F31" s="483" cm="1">
        <f t="array" aca="1" ref="F31" ca="1">SUMPRODUCT(F$54:F$113,TRANSPOSE(SAP_Speadsheet!$E$181:$BL$181))</f>
        <v>0</v>
      </c>
      <c r="G31" s="483" cm="1">
        <f t="array" aca="1" ref="G31" ca="1">SUMPRODUCT(G$54:G$113,TRANSPOSE(SAP_Speadsheet!$E$181:$BL$181))</f>
        <v>0</v>
      </c>
      <c r="H31" s="483" cm="1">
        <f t="array" aca="1" ref="H31" ca="1">SUMPRODUCT(H$54:H$113,TRANSPOSE(SAP_Speadsheet!$E$181:$BL$181))</f>
        <v>0</v>
      </c>
      <c r="I31" s="483" cm="1">
        <f t="array" aca="1" ref="I31" ca="1">SUMPRODUCT(I$54:I$113,TRANSPOSE(SAP_Speadsheet!$E$181:$BL$181))</f>
        <v>0</v>
      </c>
      <c r="J31" s="483" cm="1">
        <f t="array" aca="1" ref="J31" ca="1">SUMPRODUCT(J$54:J$113,TRANSPOSE(SAP_Speadsheet!$E$181:$BL$181))</f>
        <v>0</v>
      </c>
      <c r="K31" s="483" cm="1">
        <f t="array" aca="1" ref="K31" ca="1">SUMPRODUCT(K$54:K$113,TRANSPOSE(SAP_Speadsheet!$E$181:$BL$181))</f>
        <v>0</v>
      </c>
      <c r="L31" s="483" cm="1">
        <f t="array" aca="1" ref="L31" ca="1">SUMPRODUCT(L$54:L$113,TRANSPOSE(SAP_Speadsheet!$E$181:$BL$181))</f>
        <v>0</v>
      </c>
      <c r="M31" s="483" cm="1">
        <f t="array" aca="1" ref="M31" ca="1">SUMPRODUCT(M$54:M$113,TRANSPOSE(SAP_Speadsheet!$E$181:$BL$181))</f>
        <v>0</v>
      </c>
      <c r="N31" s="483" cm="1">
        <f t="array" aca="1" ref="N31" ca="1">SUMPRODUCT(N$54:N$113,TRANSPOSE(SAP_Speadsheet!$E$181:$BL$181))</f>
        <v>0</v>
      </c>
      <c r="O31" s="483" cm="1">
        <f t="array" aca="1" ref="O31" ca="1">SUMPRODUCT(O$54:O$113,TRANSPOSE(SAP_Speadsheet!$E$181:$BL$181))</f>
        <v>0</v>
      </c>
      <c r="P31" s="483" cm="1">
        <f t="array" aca="1" ref="P31" ca="1">SUMPRODUCT(P$54:P$113,TRANSPOSE(SAP_Speadsheet!$E$181:$BL$181))</f>
        <v>0</v>
      </c>
      <c r="Q31" s="483" cm="1">
        <f t="array" aca="1" ref="Q31" ca="1">SUMPRODUCT(Q$54:Q$113,TRANSPOSE(SAP_Speadsheet!$E$181:$BL$181))</f>
        <v>0</v>
      </c>
      <c r="R31" s="483" cm="1">
        <f t="array" aca="1" ref="R31" ca="1">SUMPRODUCT(R$54:R$113,TRANSPOSE(SAP_Speadsheet!$E$181:$BL$181))</f>
        <v>0</v>
      </c>
      <c r="S31" s="483" cm="1">
        <f t="array" aca="1" ref="S31" ca="1">SUMPRODUCT(S$54:S$113,TRANSPOSE(SAP_Speadsheet!$E$181:$BL$181))</f>
        <v>0</v>
      </c>
      <c r="T31" s="483" cm="1">
        <f t="array" aca="1" ref="T31" ca="1">SUMPRODUCT(T$54:T$113,TRANSPOSE(SAP_Speadsheet!$E$181:$BL$181))</f>
        <v>0</v>
      </c>
      <c r="U31" s="483" cm="1">
        <f t="array" aca="1" ref="U31" ca="1">SUMPRODUCT(U$54:U$113,TRANSPOSE(SAP_Speadsheet!$E$181:$BL$181))</f>
        <v>0</v>
      </c>
      <c r="V31" s="483" cm="1">
        <f t="array" aca="1" ref="V31" ca="1">SUMPRODUCT(V$54:V$113,TRANSPOSE(SAP_Speadsheet!$E$181:$BL$181))</f>
        <v>0</v>
      </c>
      <c r="W31" s="483" cm="1">
        <f t="array" aca="1" ref="W31" ca="1">SUMPRODUCT(W$54:W$113,TRANSPOSE(SAP_Speadsheet!$E$181:$BL$181))</f>
        <v>0</v>
      </c>
      <c r="X31" s="483" cm="1">
        <f t="array" aca="1" ref="X31" ca="1">SUMPRODUCT(X$54:X$113,TRANSPOSE(SAP_Speadsheet!$E$181:$BL$181))</f>
        <v>0</v>
      </c>
      <c r="Y31" s="483" cm="1">
        <f t="array" aca="1" ref="Y31" ca="1">SUMPRODUCT(Y$54:Y$113,TRANSPOSE(SAP_Speadsheet!$E$181:$BL$181))</f>
        <v>0</v>
      </c>
      <c r="Z31" s="483" cm="1">
        <f t="array" aca="1" ref="Z31" ca="1">SUMPRODUCT(Z$54:Z$113,TRANSPOSE(SAP_Speadsheet!$E$181:$BL$181))</f>
        <v>0</v>
      </c>
      <c r="AA31" s="483" cm="1">
        <f t="array" aca="1" ref="AA31" ca="1">SUMPRODUCT(AA$54:AA$113,TRANSPOSE(SAP_Speadsheet!$E$181:$BL$181))</f>
        <v>0</v>
      </c>
      <c r="AB31" s="483" cm="1">
        <f t="array" aca="1" ref="AB31" ca="1">SUMPRODUCT(AB$54:AB$113,TRANSPOSE(SAP_Speadsheet!$E$181:$BL$181))</f>
        <v>0</v>
      </c>
      <c r="AC31" s="483" cm="1">
        <f t="array" aca="1" ref="AC31" ca="1">SUMPRODUCT(AC$54:AC$113,TRANSPOSE(SAP_Speadsheet!$E$181:$BL$181))</f>
        <v>0</v>
      </c>
      <c r="AD31" s="483" cm="1">
        <f t="array" aca="1" ref="AD31" ca="1">SUMPRODUCT(AD$54:AD$113,TRANSPOSE(SAP_Speadsheet!$E$181:$BL$181))</f>
        <v>0</v>
      </c>
      <c r="AE31" s="483" cm="1">
        <f t="array" aca="1" ref="AE31" ca="1">SUMPRODUCT(AE$54:AE$113,TRANSPOSE(SAP_Speadsheet!$E$181:$BL$181))</f>
        <v>0</v>
      </c>
      <c r="AF31" s="483" cm="1">
        <f t="array" aca="1" ref="AF31" ca="1">SUMPRODUCT(AF$54:AF$113,TRANSPOSE(SAP_Speadsheet!$E$181:$BL$181))</f>
        <v>0</v>
      </c>
      <c r="AG31" s="483" cm="1">
        <f t="array" aca="1" ref="AG31" ca="1">SUMPRODUCT(AG$54:AG$113,TRANSPOSE(SAP_Speadsheet!$E$181:$BL$181))</f>
        <v>0</v>
      </c>
      <c r="AH31" s="483" cm="1">
        <f t="array" aca="1" ref="AH31" ca="1">SUMPRODUCT(AH$54:AH$113,TRANSPOSE(SAP_Speadsheet!$E$181:$BL$181))</f>
        <v>0</v>
      </c>
      <c r="AI31" s="483" cm="1">
        <f t="array" aca="1" ref="AI31" ca="1">SUMPRODUCT(AI$54:AI$113,TRANSPOSE(SAP_Speadsheet!$E$181:$BL$181))</f>
        <v>0</v>
      </c>
      <c r="AJ31" s="483" cm="1">
        <f t="array" aca="1" ref="AJ31" ca="1">SUMPRODUCT(AJ$54:AJ$113,TRANSPOSE(SAP_Speadsheet!$E$181:$BL$181))</f>
        <v>0</v>
      </c>
      <c r="AK31" s="483" cm="1">
        <f t="array" aca="1" ref="AK31" ca="1">SUMPRODUCT(AK$54:AK$113,TRANSPOSE(SAP_Speadsheet!$E$181:$BL$181))</f>
        <v>0</v>
      </c>
      <c r="AL31" s="483" cm="1">
        <f t="array" aca="1" ref="AL31" ca="1">SUMPRODUCT(AL$54:AL$113,TRANSPOSE(SAP_Speadsheet!$E$181:$BL$181))</f>
        <v>0</v>
      </c>
      <c r="AM31" s="483" cm="1">
        <f t="array" aca="1" ref="AM31" ca="1">SUMPRODUCT(AM$54:AM$113,TRANSPOSE(SAP_Speadsheet!$E$181:$BL$181))</f>
        <v>0</v>
      </c>
      <c r="AN31" s="483" cm="1">
        <f t="array" aca="1" ref="AN31" ca="1">SUMPRODUCT(AN$54:AN$113,TRANSPOSE(SAP_Speadsheet!$E$181:$BL$181))</f>
        <v>0</v>
      </c>
      <c r="AO31" s="483" cm="1">
        <f t="array" aca="1" ref="AO31" ca="1">SUMPRODUCT(AO$54:AO$113,TRANSPOSE(SAP_Speadsheet!$E$181:$BL$181))</f>
        <v>0</v>
      </c>
      <c r="AP31" s="483" cm="1">
        <f t="array" aca="1" ref="AP31" ca="1">SUMPRODUCT(AP$54:AP$113,TRANSPOSE(SAP_Speadsheet!$E$181:$BL$181))</f>
        <v>0</v>
      </c>
      <c r="AQ31" s="483" cm="1">
        <f t="array" aca="1" ref="AQ31" ca="1">SUMPRODUCT(AQ$54:AQ$113,TRANSPOSE(SAP_Speadsheet!$E$181:$BL$181))</f>
        <v>0</v>
      </c>
      <c r="AR31" s="483" cm="1">
        <f t="array" aca="1" ref="AR31" ca="1">SUMPRODUCT(AR$54:AR$113,TRANSPOSE(SAP_Speadsheet!$E$181:$BL$181))</f>
        <v>0</v>
      </c>
      <c r="AS31" s="483" cm="1">
        <f t="array" aca="1" ref="AS31" ca="1">SUMPRODUCT(AS$54:AS$113,TRANSPOSE(SAP_Speadsheet!$E$181:$BL$181))</f>
        <v>0</v>
      </c>
      <c r="AT31" s="483" cm="1">
        <f t="array" aca="1" ref="AT31" ca="1">SUMPRODUCT(AT$54:AT$113,TRANSPOSE(SAP_Speadsheet!$E$181:$BL$181))</f>
        <v>0</v>
      </c>
      <c r="AU31" s="483" cm="1">
        <f t="array" aca="1" ref="AU31" ca="1">SUMPRODUCT(AU$54:AU$113,TRANSPOSE(SAP_Speadsheet!$E$181:$BL$181))</f>
        <v>0</v>
      </c>
      <c r="AV31" s="483" cm="1">
        <f t="array" aca="1" ref="AV31" ca="1">SUMPRODUCT(AV$54:AV$113,TRANSPOSE(SAP_Speadsheet!$E$181:$BL$181))</f>
        <v>0</v>
      </c>
      <c r="AW31" s="483" cm="1">
        <f t="array" aca="1" ref="AW31" ca="1">SUMPRODUCT(AW$54:AW$113,TRANSPOSE(SAP_Speadsheet!$E$181:$BL$181))</f>
        <v>0</v>
      </c>
      <c r="AX31" s="483" cm="1">
        <f t="array" aca="1" ref="AX31" ca="1">SUMPRODUCT(AX$54:AX$113,TRANSPOSE(SAP_Speadsheet!$E$181:$BL$181))</f>
        <v>0</v>
      </c>
      <c r="AY31" s="483" cm="1">
        <f t="array" aca="1" ref="AY31" ca="1">SUMPRODUCT(AY$54:AY$113,TRANSPOSE(SAP_Speadsheet!$E$181:$BL$181))</f>
        <v>0</v>
      </c>
      <c r="AZ31" s="483" cm="1">
        <f t="array" aca="1" ref="AZ31" ca="1">SUMPRODUCT(AZ$54:AZ$113,TRANSPOSE(SAP_Speadsheet!$E$181:$BL$181))</f>
        <v>0</v>
      </c>
      <c r="BA31" s="483" cm="1">
        <f t="array" aca="1" ref="BA31" ca="1">SUMPRODUCT(BA$54:BA$113,TRANSPOSE(SAP_Speadsheet!$E$181:$BL$181))</f>
        <v>0</v>
      </c>
      <c r="BB31" s="483" cm="1">
        <f t="array" aca="1" ref="BB31" ca="1">SUMPRODUCT(BB$54:BB$113,TRANSPOSE(SAP_Speadsheet!$E$181:$BL$181))</f>
        <v>0</v>
      </c>
      <c r="BC31" s="483" cm="1">
        <f t="array" aca="1" ref="BC31" ca="1">SUMPRODUCT(BC$54:BC$113,TRANSPOSE(SAP_Speadsheet!$E$181:$BL$181))</f>
        <v>0</v>
      </c>
      <c r="BD31" s="483" cm="1">
        <f t="array" aca="1" ref="BD31" ca="1">SUMPRODUCT(BD$54:BD$113,TRANSPOSE(SAP_Speadsheet!$E$181:$BL$181))</f>
        <v>0</v>
      </c>
      <c r="BE31" s="483" cm="1">
        <f t="array" aca="1" ref="BE31" ca="1">SUMPRODUCT(BE$54:BE$113,TRANSPOSE(SAP_Speadsheet!$E$181:$BL$181))</f>
        <v>0</v>
      </c>
      <c r="BF31" s="483" cm="1">
        <f t="array" aca="1" ref="BF31" ca="1">SUMPRODUCT(BF$54:BF$113,TRANSPOSE(SAP_Speadsheet!$E$181:$BL$181))</f>
        <v>0</v>
      </c>
      <c r="BG31" s="483" cm="1">
        <f t="array" aca="1" ref="BG31" ca="1">SUMPRODUCT(BG$54:BG$113,TRANSPOSE(SAP_Speadsheet!$E$181:$BL$181))</f>
        <v>0</v>
      </c>
      <c r="BH31" s="483" cm="1">
        <f t="array" aca="1" ref="BH31" ca="1">SUMPRODUCT(BH$54:BH$113,TRANSPOSE(SAP_Speadsheet!$E$181:$BL$181))</f>
        <v>0</v>
      </c>
      <c r="BI31" s="483" cm="1">
        <f t="array" aca="1" ref="BI31" ca="1">SUMPRODUCT(BI$54:BI$113,TRANSPOSE(SAP_Speadsheet!$E$181:$BL$181))</f>
        <v>0</v>
      </c>
    </row>
    <row r="32" spans="1:61" s="490" customFormat="1" x14ac:dyDescent="0.15">
      <c r="A32" s="490" t="s">
        <v>560</v>
      </c>
      <c r="B32" s="491">
        <f t="shared" ref="B32:BI32" ca="1" si="5">B9+B18+B30-B31</f>
        <v>0</v>
      </c>
      <c r="C32" s="491">
        <f t="shared" ca="1" si="5"/>
        <v>0</v>
      </c>
      <c r="D32" s="491">
        <f t="shared" ca="1" si="5"/>
        <v>0</v>
      </c>
      <c r="E32" s="491">
        <f t="shared" ca="1" si="5"/>
        <v>0</v>
      </c>
      <c r="F32" s="491">
        <f t="shared" ca="1" si="5"/>
        <v>0</v>
      </c>
      <c r="G32" s="491">
        <f t="shared" ca="1" si="5"/>
        <v>0</v>
      </c>
      <c r="H32" s="491">
        <f t="shared" ca="1" si="5"/>
        <v>0</v>
      </c>
      <c r="I32" s="491">
        <f t="shared" ca="1" si="5"/>
        <v>0</v>
      </c>
      <c r="J32" s="491">
        <f t="shared" ca="1" si="5"/>
        <v>0</v>
      </c>
      <c r="K32" s="491">
        <f t="shared" ca="1" si="5"/>
        <v>0</v>
      </c>
      <c r="L32" s="491">
        <f t="shared" ca="1" si="5"/>
        <v>0</v>
      </c>
      <c r="M32" s="491">
        <f t="shared" ca="1" si="5"/>
        <v>0</v>
      </c>
      <c r="N32" s="491">
        <f t="shared" ca="1" si="5"/>
        <v>0</v>
      </c>
      <c r="O32" s="491">
        <f t="shared" ca="1" si="5"/>
        <v>0</v>
      </c>
      <c r="P32" s="491">
        <f t="shared" ca="1" si="5"/>
        <v>0</v>
      </c>
      <c r="Q32" s="491">
        <f t="shared" ca="1" si="5"/>
        <v>0</v>
      </c>
      <c r="R32" s="491">
        <f t="shared" ca="1" si="5"/>
        <v>0</v>
      </c>
      <c r="S32" s="491">
        <f t="shared" ca="1" si="5"/>
        <v>0</v>
      </c>
      <c r="T32" s="491">
        <f t="shared" ca="1" si="5"/>
        <v>0</v>
      </c>
      <c r="U32" s="491">
        <f t="shared" ca="1" si="5"/>
        <v>0</v>
      </c>
      <c r="V32" s="491">
        <f t="shared" ca="1" si="5"/>
        <v>0</v>
      </c>
      <c r="W32" s="491">
        <f t="shared" ca="1" si="5"/>
        <v>0</v>
      </c>
      <c r="X32" s="491">
        <f t="shared" ca="1" si="5"/>
        <v>0</v>
      </c>
      <c r="Y32" s="491">
        <f t="shared" ca="1" si="5"/>
        <v>0</v>
      </c>
      <c r="Z32" s="491">
        <f t="shared" ca="1" si="5"/>
        <v>0</v>
      </c>
      <c r="AA32" s="491">
        <f t="shared" ca="1" si="5"/>
        <v>0</v>
      </c>
      <c r="AB32" s="491">
        <f t="shared" ca="1" si="5"/>
        <v>0</v>
      </c>
      <c r="AC32" s="491">
        <f t="shared" ca="1" si="5"/>
        <v>0</v>
      </c>
      <c r="AD32" s="491">
        <f t="shared" ca="1" si="5"/>
        <v>0</v>
      </c>
      <c r="AE32" s="491">
        <f t="shared" ca="1" si="5"/>
        <v>0</v>
      </c>
      <c r="AF32" s="491">
        <f t="shared" ca="1" si="5"/>
        <v>0</v>
      </c>
      <c r="AG32" s="491">
        <f t="shared" ca="1" si="5"/>
        <v>0</v>
      </c>
      <c r="AH32" s="491">
        <f t="shared" ca="1" si="5"/>
        <v>0</v>
      </c>
      <c r="AI32" s="491">
        <f t="shared" ca="1" si="5"/>
        <v>0</v>
      </c>
      <c r="AJ32" s="491">
        <f t="shared" ca="1" si="5"/>
        <v>0</v>
      </c>
      <c r="AK32" s="491">
        <f t="shared" ca="1" si="5"/>
        <v>0</v>
      </c>
      <c r="AL32" s="491">
        <f t="shared" ca="1" si="5"/>
        <v>0</v>
      </c>
      <c r="AM32" s="491">
        <f t="shared" ca="1" si="5"/>
        <v>0</v>
      </c>
      <c r="AN32" s="491">
        <f t="shared" ca="1" si="5"/>
        <v>0</v>
      </c>
      <c r="AO32" s="491">
        <f t="shared" ca="1" si="5"/>
        <v>0</v>
      </c>
      <c r="AP32" s="491">
        <f t="shared" ca="1" si="5"/>
        <v>0</v>
      </c>
      <c r="AQ32" s="491">
        <f t="shared" ca="1" si="5"/>
        <v>0</v>
      </c>
      <c r="AR32" s="491">
        <f t="shared" ca="1" si="5"/>
        <v>0</v>
      </c>
      <c r="AS32" s="491">
        <f t="shared" ca="1" si="5"/>
        <v>0</v>
      </c>
      <c r="AT32" s="491">
        <f t="shared" ca="1" si="5"/>
        <v>0</v>
      </c>
      <c r="AU32" s="491">
        <f t="shared" ca="1" si="5"/>
        <v>0</v>
      </c>
      <c r="AV32" s="491">
        <f t="shared" ca="1" si="5"/>
        <v>0</v>
      </c>
      <c r="AW32" s="491">
        <f t="shared" ca="1" si="5"/>
        <v>0</v>
      </c>
      <c r="AX32" s="491">
        <f t="shared" ca="1" si="5"/>
        <v>0</v>
      </c>
      <c r="AY32" s="491">
        <f t="shared" ca="1" si="5"/>
        <v>0</v>
      </c>
      <c r="AZ32" s="491">
        <f t="shared" ca="1" si="5"/>
        <v>0</v>
      </c>
      <c r="BA32" s="491">
        <f t="shared" ca="1" si="5"/>
        <v>0</v>
      </c>
      <c r="BB32" s="491">
        <f t="shared" ca="1" si="5"/>
        <v>0</v>
      </c>
      <c r="BC32" s="491">
        <f t="shared" ca="1" si="5"/>
        <v>0</v>
      </c>
      <c r="BD32" s="491">
        <f t="shared" ca="1" si="5"/>
        <v>0</v>
      </c>
      <c r="BE32" s="491">
        <f t="shared" ca="1" si="5"/>
        <v>0</v>
      </c>
      <c r="BF32" s="491">
        <f t="shared" ca="1" si="5"/>
        <v>0</v>
      </c>
      <c r="BG32" s="491">
        <f t="shared" ca="1" si="5"/>
        <v>0</v>
      </c>
      <c r="BH32" s="491">
        <f t="shared" ca="1" si="5"/>
        <v>0</v>
      </c>
      <c r="BI32" s="491">
        <f t="shared" ca="1" si="5"/>
        <v>0</v>
      </c>
    </row>
    <row r="34" spans="1:61" x14ac:dyDescent="0.15">
      <c r="A34" s="476" t="s">
        <v>587</v>
      </c>
      <c r="D34" s="492"/>
      <c r="K34" s="493"/>
    </row>
    <row r="35" spans="1:61" x14ac:dyDescent="0.15">
      <c r="A35" s="477" t="s">
        <v>500</v>
      </c>
      <c r="B35" s="488" cm="1">
        <f t="array" aca="1" ref="B35" ca="1">SUMPRODUCT(B$54:B$113,TRANSPOSE(SAP_Speadsheet!$E$25:$BL$25))</f>
        <v>0</v>
      </c>
      <c r="C35" s="488" cm="1">
        <f t="array" aca="1" ref="C35" ca="1">SUMPRODUCT(C$54:C$113,TRANSPOSE(SAP_Speadsheet!$E$25:$BL$25))</f>
        <v>0</v>
      </c>
      <c r="D35" s="488" cm="1">
        <f t="array" aca="1" ref="D35" ca="1">SUMPRODUCT(D$54:D$113,TRANSPOSE(SAP_Speadsheet!$E$25:$BL$25))</f>
        <v>0</v>
      </c>
      <c r="E35" s="488" cm="1">
        <f t="array" aca="1" ref="E35" ca="1">SUMPRODUCT(E$54:E$113,TRANSPOSE(SAP_Speadsheet!$E$25:$BL$25))</f>
        <v>0</v>
      </c>
      <c r="F35" s="488" cm="1">
        <f t="array" aca="1" ref="F35" ca="1">SUMPRODUCT(F$54:F$113,TRANSPOSE(SAP_Speadsheet!$E$25:$BL$25))</f>
        <v>0</v>
      </c>
      <c r="G35" s="488" cm="1">
        <f t="array" aca="1" ref="G35" ca="1">SUMPRODUCT(G$54:G$113,TRANSPOSE(SAP_Speadsheet!$E$25:$BL$25))</f>
        <v>0</v>
      </c>
      <c r="H35" s="488" cm="1">
        <f t="array" aca="1" ref="H35" ca="1">SUMPRODUCT(H$54:H$113,TRANSPOSE(SAP_Speadsheet!$E$25:$BL$25))</f>
        <v>0</v>
      </c>
      <c r="I35" s="488" cm="1">
        <f t="array" aca="1" ref="I35" ca="1">SUMPRODUCT(I$54:I$113,TRANSPOSE(SAP_Speadsheet!$E$25:$BL$25))</f>
        <v>0</v>
      </c>
      <c r="J35" s="488" cm="1">
        <f t="array" aca="1" ref="J35" ca="1">SUMPRODUCT(J$54:J$113,TRANSPOSE(SAP_Speadsheet!$E$25:$BL$25))</f>
        <v>0</v>
      </c>
      <c r="K35" s="488" cm="1">
        <f t="array" aca="1" ref="K35" ca="1">SUMPRODUCT(K$54:K$113,TRANSPOSE(SAP_Speadsheet!$E$25:$BL$25))</f>
        <v>0</v>
      </c>
      <c r="L35" s="488" cm="1">
        <f t="array" aca="1" ref="L35" ca="1">SUMPRODUCT(L$54:L$113,TRANSPOSE(SAP_Speadsheet!$E$25:$BL$25))</f>
        <v>0</v>
      </c>
      <c r="M35" s="488" cm="1">
        <f t="array" aca="1" ref="M35" ca="1">SUMPRODUCT(M$54:M$113,TRANSPOSE(SAP_Speadsheet!$E$25:$BL$25))</f>
        <v>0</v>
      </c>
      <c r="N35" s="488" cm="1">
        <f t="array" aca="1" ref="N35" ca="1">SUMPRODUCT(N$54:N$113,TRANSPOSE(SAP_Speadsheet!$E$25:$BL$25))</f>
        <v>0</v>
      </c>
      <c r="O35" s="488" cm="1">
        <f t="array" aca="1" ref="O35" ca="1">SUMPRODUCT(O$54:O$113,TRANSPOSE(SAP_Speadsheet!$E$25:$BL$25))</f>
        <v>0</v>
      </c>
      <c r="P35" s="488" cm="1">
        <f t="array" aca="1" ref="P35" ca="1">SUMPRODUCT(P$54:P$113,TRANSPOSE(SAP_Speadsheet!$E$25:$BL$25))</f>
        <v>0</v>
      </c>
      <c r="Q35" s="488" cm="1">
        <f t="array" aca="1" ref="Q35" ca="1">SUMPRODUCT(Q$54:Q$113,TRANSPOSE(SAP_Speadsheet!$E$25:$BL$25))</f>
        <v>0</v>
      </c>
      <c r="R35" s="488" cm="1">
        <f t="array" aca="1" ref="R35" ca="1">SUMPRODUCT(R$54:R$113,TRANSPOSE(SAP_Speadsheet!$E$25:$BL$25))</f>
        <v>0</v>
      </c>
      <c r="S35" s="488" cm="1">
        <f t="array" aca="1" ref="S35" ca="1">SUMPRODUCT(S$54:S$113,TRANSPOSE(SAP_Speadsheet!$E$25:$BL$25))</f>
        <v>0</v>
      </c>
      <c r="T35" s="488" cm="1">
        <f t="array" aca="1" ref="T35" ca="1">SUMPRODUCT(T$54:T$113,TRANSPOSE(SAP_Speadsheet!$E$25:$BL$25))</f>
        <v>0</v>
      </c>
      <c r="U35" s="488" cm="1">
        <f t="array" aca="1" ref="U35" ca="1">SUMPRODUCT(U$54:U$113,TRANSPOSE(SAP_Speadsheet!$E$25:$BL$25))</f>
        <v>0</v>
      </c>
      <c r="V35" s="488" cm="1">
        <f t="array" aca="1" ref="V35" ca="1">SUMPRODUCT(V$54:V$113,TRANSPOSE(SAP_Speadsheet!$E$25:$BL$25))</f>
        <v>0</v>
      </c>
      <c r="W35" s="488" cm="1">
        <f t="array" aca="1" ref="W35" ca="1">SUMPRODUCT(W$54:W$113,TRANSPOSE(SAP_Speadsheet!$E$25:$BL$25))</f>
        <v>0</v>
      </c>
      <c r="X35" s="488" cm="1">
        <f t="array" aca="1" ref="X35" ca="1">SUMPRODUCT(X$54:X$113,TRANSPOSE(SAP_Speadsheet!$E$25:$BL$25))</f>
        <v>0</v>
      </c>
      <c r="Y35" s="488" cm="1">
        <f t="array" aca="1" ref="Y35" ca="1">SUMPRODUCT(Y$54:Y$113,TRANSPOSE(SAP_Speadsheet!$E$25:$BL$25))</f>
        <v>0</v>
      </c>
      <c r="Z35" s="488" cm="1">
        <f t="array" aca="1" ref="Z35" ca="1">SUMPRODUCT(Z$54:Z$113,TRANSPOSE(SAP_Speadsheet!$E$25:$BL$25))</f>
        <v>0</v>
      </c>
      <c r="AA35" s="488" cm="1">
        <f t="array" aca="1" ref="AA35" ca="1">SUMPRODUCT(AA$54:AA$113,TRANSPOSE(SAP_Speadsheet!$E$25:$BL$25))</f>
        <v>0</v>
      </c>
      <c r="AB35" s="488" cm="1">
        <f t="array" aca="1" ref="AB35" ca="1">SUMPRODUCT(AB$54:AB$113,TRANSPOSE(SAP_Speadsheet!$E$25:$BL$25))</f>
        <v>0</v>
      </c>
      <c r="AC35" s="488" cm="1">
        <f t="array" aca="1" ref="AC35" ca="1">SUMPRODUCT(AC$54:AC$113,TRANSPOSE(SAP_Speadsheet!$E$25:$BL$25))</f>
        <v>0</v>
      </c>
      <c r="AD35" s="488" cm="1">
        <f t="array" aca="1" ref="AD35" ca="1">SUMPRODUCT(AD$54:AD$113,TRANSPOSE(SAP_Speadsheet!$E$25:$BL$25))</f>
        <v>0</v>
      </c>
      <c r="AE35" s="488" cm="1">
        <f t="array" aca="1" ref="AE35" ca="1">SUMPRODUCT(AE$54:AE$113,TRANSPOSE(SAP_Speadsheet!$E$25:$BL$25))</f>
        <v>0</v>
      </c>
      <c r="AF35" s="488" cm="1">
        <f t="array" aca="1" ref="AF35" ca="1">SUMPRODUCT(AF$54:AF$113,TRANSPOSE(SAP_Speadsheet!$E$25:$BL$25))</f>
        <v>0</v>
      </c>
      <c r="AG35" s="488" cm="1">
        <f t="array" aca="1" ref="AG35" ca="1">SUMPRODUCT(AG$54:AG$113,TRANSPOSE(SAP_Speadsheet!$E$25:$BL$25))</f>
        <v>0</v>
      </c>
      <c r="AH35" s="488" cm="1">
        <f t="array" aca="1" ref="AH35" ca="1">SUMPRODUCT(AH$54:AH$113,TRANSPOSE(SAP_Speadsheet!$E$25:$BL$25))</f>
        <v>0</v>
      </c>
      <c r="AI35" s="488" cm="1">
        <f t="array" aca="1" ref="AI35" ca="1">SUMPRODUCT(AI$54:AI$113,TRANSPOSE(SAP_Speadsheet!$E$25:$BL$25))</f>
        <v>0</v>
      </c>
      <c r="AJ35" s="488" cm="1">
        <f t="array" aca="1" ref="AJ35" ca="1">SUMPRODUCT(AJ$54:AJ$113,TRANSPOSE(SAP_Speadsheet!$E$25:$BL$25))</f>
        <v>0</v>
      </c>
      <c r="AK35" s="488" cm="1">
        <f t="array" aca="1" ref="AK35" ca="1">SUMPRODUCT(AK$54:AK$113,TRANSPOSE(SAP_Speadsheet!$E$25:$BL$25))</f>
        <v>0</v>
      </c>
      <c r="AL35" s="488" cm="1">
        <f t="array" aca="1" ref="AL35" ca="1">SUMPRODUCT(AL$54:AL$113,TRANSPOSE(SAP_Speadsheet!$E$25:$BL$25))</f>
        <v>0</v>
      </c>
      <c r="AM35" s="488" cm="1">
        <f t="array" aca="1" ref="AM35" ca="1">SUMPRODUCT(AM$54:AM$113,TRANSPOSE(SAP_Speadsheet!$E$25:$BL$25))</f>
        <v>0</v>
      </c>
      <c r="AN35" s="488" cm="1">
        <f t="array" aca="1" ref="AN35" ca="1">SUMPRODUCT(AN$54:AN$113,TRANSPOSE(SAP_Speadsheet!$E$25:$BL$25))</f>
        <v>0</v>
      </c>
      <c r="AO35" s="488" cm="1">
        <f t="array" aca="1" ref="AO35" ca="1">SUMPRODUCT(AO$54:AO$113,TRANSPOSE(SAP_Speadsheet!$E$25:$BL$25))</f>
        <v>0</v>
      </c>
      <c r="AP35" s="488" cm="1">
        <f t="array" aca="1" ref="AP35" ca="1">SUMPRODUCT(AP$54:AP$113,TRANSPOSE(SAP_Speadsheet!$E$25:$BL$25))</f>
        <v>0</v>
      </c>
      <c r="AQ35" s="488" cm="1">
        <f t="array" aca="1" ref="AQ35" ca="1">SUMPRODUCT(AQ$54:AQ$113,TRANSPOSE(SAP_Speadsheet!$E$25:$BL$25))</f>
        <v>0</v>
      </c>
      <c r="AR35" s="488" cm="1">
        <f t="array" aca="1" ref="AR35" ca="1">SUMPRODUCT(AR$54:AR$113,TRANSPOSE(SAP_Speadsheet!$E$25:$BL$25))</f>
        <v>0</v>
      </c>
      <c r="AS35" s="488" cm="1">
        <f t="array" aca="1" ref="AS35" ca="1">SUMPRODUCT(AS$54:AS$113,TRANSPOSE(SAP_Speadsheet!$E$25:$BL$25))</f>
        <v>0</v>
      </c>
      <c r="AT35" s="488" cm="1">
        <f t="array" aca="1" ref="AT35" ca="1">SUMPRODUCT(AT$54:AT$113,TRANSPOSE(SAP_Speadsheet!$E$25:$BL$25))</f>
        <v>0</v>
      </c>
      <c r="AU35" s="488" cm="1">
        <f t="array" aca="1" ref="AU35" ca="1">SUMPRODUCT(AU$54:AU$113,TRANSPOSE(SAP_Speadsheet!$E$25:$BL$25))</f>
        <v>0</v>
      </c>
      <c r="AV35" s="488" cm="1">
        <f t="array" aca="1" ref="AV35" ca="1">SUMPRODUCT(AV$54:AV$113,TRANSPOSE(SAP_Speadsheet!$E$25:$BL$25))</f>
        <v>0</v>
      </c>
      <c r="AW35" s="488" cm="1">
        <f t="array" aca="1" ref="AW35" ca="1">SUMPRODUCT(AW$54:AW$113,TRANSPOSE(SAP_Speadsheet!$E$25:$BL$25))</f>
        <v>0</v>
      </c>
      <c r="AX35" s="488" cm="1">
        <f t="array" aca="1" ref="AX35" ca="1">SUMPRODUCT(AX$54:AX$113,TRANSPOSE(SAP_Speadsheet!$E$25:$BL$25))</f>
        <v>0</v>
      </c>
      <c r="AY35" s="488" cm="1">
        <f t="array" aca="1" ref="AY35" ca="1">SUMPRODUCT(AY$54:AY$113,TRANSPOSE(SAP_Speadsheet!$E$25:$BL$25))</f>
        <v>0</v>
      </c>
      <c r="AZ35" s="488" cm="1">
        <f t="array" aca="1" ref="AZ35" ca="1">SUMPRODUCT(AZ$54:AZ$113,TRANSPOSE(SAP_Speadsheet!$E$25:$BL$25))</f>
        <v>0</v>
      </c>
      <c r="BA35" s="488" cm="1">
        <f t="array" aca="1" ref="BA35" ca="1">SUMPRODUCT(BA$54:BA$113,TRANSPOSE(SAP_Speadsheet!$E$25:$BL$25))</f>
        <v>0</v>
      </c>
      <c r="BB35" s="488" cm="1">
        <f t="array" aca="1" ref="BB35" ca="1">SUMPRODUCT(BB$54:BB$113,TRANSPOSE(SAP_Speadsheet!$E$25:$BL$25))</f>
        <v>0</v>
      </c>
      <c r="BC35" s="488" cm="1">
        <f t="array" aca="1" ref="BC35" ca="1">SUMPRODUCT(BC$54:BC$113,TRANSPOSE(SAP_Speadsheet!$E$25:$BL$25))</f>
        <v>0</v>
      </c>
      <c r="BD35" s="488" cm="1">
        <f t="array" aca="1" ref="BD35" ca="1">SUMPRODUCT(BD$54:BD$113,TRANSPOSE(SAP_Speadsheet!$E$25:$BL$25))</f>
        <v>0</v>
      </c>
      <c r="BE35" s="488" cm="1">
        <f t="array" aca="1" ref="BE35" ca="1">SUMPRODUCT(BE$54:BE$113,TRANSPOSE(SAP_Speadsheet!$E$25:$BL$25))</f>
        <v>0</v>
      </c>
      <c r="BF35" s="488" cm="1">
        <f t="array" aca="1" ref="BF35" ca="1">SUMPRODUCT(BF$54:BF$113,TRANSPOSE(SAP_Speadsheet!$E$25:$BL$25))</f>
        <v>0</v>
      </c>
      <c r="BG35" s="488" cm="1">
        <f t="array" aca="1" ref="BG35" ca="1">SUMPRODUCT(BG$54:BG$113,TRANSPOSE(SAP_Speadsheet!$E$25:$BL$25))</f>
        <v>0</v>
      </c>
      <c r="BH35" s="488" cm="1">
        <f t="array" aca="1" ref="BH35" ca="1">SUMPRODUCT(BH$54:BH$113,TRANSPOSE(SAP_Speadsheet!$E$25:$BL$25))</f>
        <v>0</v>
      </c>
      <c r="BI35" s="488" cm="1">
        <f t="array" aca="1" ref="BI35" ca="1">SUMPRODUCT(BI$54:BI$113,TRANSPOSE(SAP_Speadsheet!$E$25:$BL$25))</f>
        <v>0</v>
      </c>
    </row>
    <row r="36" spans="1:61" x14ac:dyDescent="0.15">
      <c r="A36" s="477" t="s">
        <v>502</v>
      </c>
      <c r="B36" s="488" cm="1">
        <f t="array" aca="1" ref="B36" ca="1">SUMPRODUCT(B$54:B$113,TRANSPOSE(SAP_Speadsheet!$E$26:$BL$26))</f>
        <v>0</v>
      </c>
      <c r="C36" s="488" cm="1">
        <f t="array" aca="1" ref="C36" ca="1">SUMPRODUCT(C$54:C$113,TRANSPOSE(SAP_Speadsheet!$E$26:$BL$26))</f>
        <v>0</v>
      </c>
      <c r="D36" s="488" cm="1">
        <f t="array" aca="1" ref="D36" ca="1">SUMPRODUCT(D$54:D$113,TRANSPOSE(SAP_Speadsheet!$E$26:$BL$26))</f>
        <v>0</v>
      </c>
      <c r="E36" s="488" cm="1">
        <f t="array" aca="1" ref="E36" ca="1">SUMPRODUCT(E$54:E$113,TRANSPOSE(SAP_Speadsheet!$E$26:$BL$26))</f>
        <v>0</v>
      </c>
      <c r="F36" s="488" cm="1">
        <f t="array" aca="1" ref="F36" ca="1">SUMPRODUCT(F$54:F$113,TRANSPOSE(SAP_Speadsheet!$E$26:$BL$26))</f>
        <v>0</v>
      </c>
      <c r="G36" s="488" cm="1">
        <f t="array" aca="1" ref="G36" ca="1">SUMPRODUCT(G$54:G$113,TRANSPOSE(SAP_Speadsheet!$E$26:$BL$26))</f>
        <v>0</v>
      </c>
      <c r="H36" s="488" cm="1">
        <f t="array" aca="1" ref="H36" ca="1">SUMPRODUCT(H$54:H$113,TRANSPOSE(SAP_Speadsheet!$E$26:$BL$26))</f>
        <v>0</v>
      </c>
      <c r="I36" s="488" cm="1">
        <f t="array" aca="1" ref="I36" ca="1">SUMPRODUCT(I$54:I$113,TRANSPOSE(SAP_Speadsheet!$E$26:$BL$26))</f>
        <v>0</v>
      </c>
      <c r="J36" s="488" cm="1">
        <f t="array" aca="1" ref="J36" ca="1">SUMPRODUCT(J$54:J$113,TRANSPOSE(SAP_Speadsheet!$E$26:$BL$26))</f>
        <v>0</v>
      </c>
      <c r="K36" s="488" cm="1">
        <f t="array" aca="1" ref="K36" ca="1">SUMPRODUCT(K$54:K$113,TRANSPOSE(SAP_Speadsheet!$E$26:$BL$26))</f>
        <v>0</v>
      </c>
      <c r="L36" s="488" cm="1">
        <f t="array" aca="1" ref="L36" ca="1">SUMPRODUCT(L$54:L$113,TRANSPOSE(SAP_Speadsheet!$E$26:$BL$26))</f>
        <v>0</v>
      </c>
      <c r="M36" s="488" cm="1">
        <f t="array" aca="1" ref="M36" ca="1">SUMPRODUCT(M$54:M$113,TRANSPOSE(SAP_Speadsheet!$E$26:$BL$26))</f>
        <v>0</v>
      </c>
      <c r="N36" s="488" cm="1">
        <f t="array" aca="1" ref="N36" ca="1">SUMPRODUCT(N$54:N$113,TRANSPOSE(SAP_Speadsheet!$E$26:$BL$26))</f>
        <v>0</v>
      </c>
      <c r="O36" s="488" cm="1">
        <f t="array" aca="1" ref="O36" ca="1">SUMPRODUCT(O$54:O$113,TRANSPOSE(SAP_Speadsheet!$E$26:$BL$26))</f>
        <v>0</v>
      </c>
      <c r="P36" s="488" cm="1">
        <f t="array" aca="1" ref="P36" ca="1">SUMPRODUCT(P$54:P$113,TRANSPOSE(SAP_Speadsheet!$E$26:$BL$26))</f>
        <v>0</v>
      </c>
      <c r="Q36" s="488" cm="1">
        <f t="array" aca="1" ref="Q36" ca="1">SUMPRODUCT(Q$54:Q$113,TRANSPOSE(SAP_Speadsheet!$E$26:$BL$26))</f>
        <v>0</v>
      </c>
      <c r="R36" s="488" cm="1">
        <f t="array" aca="1" ref="R36" ca="1">SUMPRODUCT(R$54:R$113,TRANSPOSE(SAP_Speadsheet!$E$26:$BL$26))</f>
        <v>0</v>
      </c>
      <c r="S36" s="488" cm="1">
        <f t="array" aca="1" ref="S36" ca="1">SUMPRODUCT(S$54:S$113,TRANSPOSE(SAP_Speadsheet!$E$26:$BL$26))</f>
        <v>0</v>
      </c>
      <c r="T36" s="488" cm="1">
        <f t="array" aca="1" ref="T36" ca="1">SUMPRODUCT(T$54:T$113,TRANSPOSE(SAP_Speadsheet!$E$26:$BL$26))</f>
        <v>0</v>
      </c>
      <c r="U36" s="488" cm="1">
        <f t="array" aca="1" ref="U36" ca="1">SUMPRODUCT(U$54:U$113,TRANSPOSE(SAP_Speadsheet!$E$26:$BL$26))</f>
        <v>0</v>
      </c>
      <c r="V36" s="488" cm="1">
        <f t="array" aca="1" ref="V36" ca="1">SUMPRODUCT(V$54:V$113,TRANSPOSE(SAP_Speadsheet!$E$26:$BL$26))</f>
        <v>0</v>
      </c>
      <c r="W36" s="488" cm="1">
        <f t="array" aca="1" ref="W36" ca="1">SUMPRODUCT(W$54:W$113,TRANSPOSE(SAP_Speadsheet!$E$26:$BL$26))</f>
        <v>0</v>
      </c>
      <c r="X36" s="488" cm="1">
        <f t="array" aca="1" ref="X36" ca="1">SUMPRODUCT(X$54:X$113,TRANSPOSE(SAP_Speadsheet!$E$26:$BL$26))</f>
        <v>0</v>
      </c>
      <c r="Y36" s="488" cm="1">
        <f t="array" aca="1" ref="Y36" ca="1">SUMPRODUCT(Y$54:Y$113,TRANSPOSE(SAP_Speadsheet!$E$26:$BL$26))</f>
        <v>0</v>
      </c>
      <c r="Z36" s="488" cm="1">
        <f t="array" aca="1" ref="Z36" ca="1">SUMPRODUCT(Z$54:Z$113,TRANSPOSE(SAP_Speadsheet!$E$26:$BL$26))</f>
        <v>0</v>
      </c>
      <c r="AA36" s="488" cm="1">
        <f t="array" aca="1" ref="AA36" ca="1">SUMPRODUCT(AA$54:AA$113,TRANSPOSE(SAP_Speadsheet!$E$26:$BL$26))</f>
        <v>0</v>
      </c>
      <c r="AB36" s="488" cm="1">
        <f t="array" aca="1" ref="AB36" ca="1">SUMPRODUCT(AB$54:AB$113,TRANSPOSE(SAP_Speadsheet!$E$26:$BL$26))</f>
        <v>0</v>
      </c>
      <c r="AC36" s="488" cm="1">
        <f t="array" aca="1" ref="AC36" ca="1">SUMPRODUCT(AC$54:AC$113,TRANSPOSE(SAP_Speadsheet!$E$26:$BL$26))</f>
        <v>0</v>
      </c>
      <c r="AD36" s="488" cm="1">
        <f t="array" aca="1" ref="AD36" ca="1">SUMPRODUCT(AD$54:AD$113,TRANSPOSE(SAP_Speadsheet!$E$26:$BL$26))</f>
        <v>0</v>
      </c>
      <c r="AE36" s="488" cm="1">
        <f t="array" aca="1" ref="AE36" ca="1">SUMPRODUCT(AE$54:AE$113,TRANSPOSE(SAP_Speadsheet!$E$26:$BL$26))</f>
        <v>0</v>
      </c>
      <c r="AF36" s="488" cm="1">
        <f t="array" aca="1" ref="AF36" ca="1">SUMPRODUCT(AF$54:AF$113,TRANSPOSE(SAP_Speadsheet!$E$26:$BL$26))</f>
        <v>0</v>
      </c>
      <c r="AG36" s="488" cm="1">
        <f t="array" aca="1" ref="AG36" ca="1">SUMPRODUCT(AG$54:AG$113,TRANSPOSE(SAP_Speadsheet!$E$26:$BL$26))</f>
        <v>0</v>
      </c>
      <c r="AH36" s="488" cm="1">
        <f t="array" aca="1" ref="AH36" ca="1">SUMPRODUCT(AH$54:AH$113,TRANSPOSE(SAP_Speadsheet!$E$26:$BL$26))</f>
        <v>0</v>
      </c>
      <c r="AI36" s="488" cm="1">
        <f t="array" aca="1" ref="AI36" ca="1">SUMPRODUCT(AI$54:AI$113,TRANSPOSE(SAP_Speadsheet!$E$26:$BL$26))</f>
        <v>0</v>
      </c>
      <c r="AJ36" s="488" cm="1">
        <f t="array" aca="1" ref="AJ36" ca="1">SUMPRODUCT(AJ$54:AJ$113,TRANSPOSE(SAP_Speadsheet!$E$26:$BL$26))</f>
        <v>0</v>
      </c>
      <c r="AK36" s="488" cm="1">
        <f t="array" aca="1" ref="AK36" ca="1">SUMPRODUCT(AK$54:AK$113,TRANSPOSE(SAP_Speadsheet!$E$26:$BL$26))</f>
        <v>0</v>
      </c>
      <c r="AL36" s="488" cm="1">
        <f t="array" aca="1" ref="AL36" ca="1">SUMPRODUCT(AL$54:AL$113,TRANSPOSE(SAP_Speadsheet!$E$26:$BL$26))</f>
        <v>0</v>
      </c>
      <c r="AM36" s="488" cm="1">
        <f t="array" aca="1" ref="AM36" ca="1">SUMPRODUCT(AM$54:AM$113,TRANSPOSE(SAP_Speadsheet!$E$26:$BL$26))</f>
        <v>0</v>
      </c>
      <c r="AN36" s="488" cm="1">
        <f t="array" aca="1" ref="AN36" ca="1">SUMPRODUCT(AN$54:AN$113,TRANSPOSE(SAP_Speadsheet!$E$26:$BL$26))</f>
        <v>0</v>
      </c>
      <c r="AO36" s="488" cm="1">
        <f t="array" aca="1" ref="AO36" ca="1">SUMPRODUCT(AO$54:AO$113,TRANSPOSE(SAP_Speadsheet!$E$26:$BL$26))</f>
        <v>0</v>
      </c>
      <c r="AP36" s="488" cm="1">
        <f t="array" aca="1" ref="AP36" ca="1">SUMPRODUCT(AP$54:AP$113,TRANSPOSE(SAP_Speadsheet!$E$26:$BL$26))</f>
        <v>0</v>
      </c>
      <c r="AQ36" s="488" cm="1">
        <f t="array" aca="1" ref="AQ36" ca="1">SUMPRODUCT(AQ$54:AQ$113,TRANSPOSE(SAP_Speadsheet!$E$26:$BL$26))</f>
        <v>0</v>
      </c>
      <c r="AR36" s="488" cm="1">
        <f t="array" aca="1" ref="AR36" ca="1">SUMPRODUCT(AR$54:AR$113,TRANSPOSE(SAP_Speadsheet!$E$26:$BL$26))</f>
        <v>0</v>
      </c>
      <c r="AS36" s="488" cm="1">
        <f t="array" aca="1" ref="AS36" ca="1">SUMPRODUCT(AS$54:AS$113,TRANSPOSE(SAP_Speadsheet!$E$26:$BL$26))</f>
        <v>0</v>
      </c>
      <c r="AT36" s="488" cm="1">
        <f t="array" aca="1" ref="AT36" ca="1">SUMPRODUCT(AT$54:AT$113,TRANSPOSE(SAP_Speadsheet!$E$26:$BL$26))</f>
        <v>0</v>
      </c>
      <c r="AU36" s="488" cm="1">
        <f t="array" aca="1" ref="AU36" ca="1">SUMPRODUCT(AU$54:AU$113,TRANSPOSE(SAP_Speadsheet!$E$26:$BL$26))</f>
        <v>0</v>
      </c>
      <c r="AV36" s="488" cm="1">
        <f t="array" aca="1" ref="AV36" ca="1">SUMPRODUCT(AV$54:AV$113,TRANSPOSE(SAP_Speadsheet!$E$26:$BL$26))</f>
        <v>0</v>
      </c>
      <c r="AW36" s="488" cm="1">
        <f t="array" aca="1" ref="AW36" ca="1">SUMPRODUCT(AW$54:AW$113,TRANSPOSE(SAP_Speadsheet!$E$26:$BL$26))</f>
        <v>0</v>
      </c>
      <c r="AX36" s="488" cm="1">
        <f t="array" aca="1" ref="AX36" ca="1">SUMPRODUCT(AX$54:AX$113,TRANSPOSE(SAP_Speadsheet!$E$26:$BL$26))</f>
        <v>0</v>
      </c>
      <c r="AY36" s="488" cm="1">
        <f t="array" aca="1" ref="AY36" ca="1">SUMPRODUCT(AY$54:AY$113,TRANSPOSE(SAP_Speadsheet!$E$26:$BL$26))</f>
        <v>0</v>
      </c>
      <c r="AZ36" s="488" cm="1">
        <f t="array" aca="1" ref="AZ36" ca="1">SUMPRODUCT(AZ$54:AZ$113,TRANSPOSE(SAP_Speadsheet!$E$26:$BL$26))</f>
        <v>0</v>
      </c>
      <c r="BA36" s="488" cm="1">
        <f t="array" aca="1" ref="BA36" ca="1">SUMPRODUCT(BA$54:BA$113,TRANSPOSE(SAP_Speadsheet!$E$26:$BL$26))</f>
        <v>0</v>
      </c>
      <c r="BB36" s="488" cm="1">
        <f t="array" aca="1" ref="BB36" ca="1">SUMPRODUCT(BB$54:BB$113,TRANSPOSE(SAP_Speadsheet!$E$26:$BL$26))</f>
        <v>0</v>
      </c>
      <c r="BC36" s="488" cm="1">
        <f t="array" aca="1" ref="BC36" ca="1">SUMPRODUCT(BC$54:BC$113,TRANSPOSE(SAP_Speadsheet!$E$26:$BL$26))</f>
        <v>0</v>
      </c>
      <c r="BD36" s="488" cm="1">
        <f t="array" aca="1" ref="BD36" ca="1">SUMPRODUCT(BD$54:BD$113,TRANSPOSE(SAP_Speadsheet!$E$26:$BL$26))</f>
        <v>0</v>
      </c>
      <c r="BE36" s="488" cm="1">
        <f t="array" aca="1" ref="BE36" ca="1">SUMPRODUCT(BE$54:BE$113,TRANSPOSE(SAP_Speadsheet!$E$26:$BL$26))</f>
        <v>0</v>
      </c>
      <c r="BF36" s="488" cm="1">
        <f t="array" aca="1" ref="BF36" ca="1">SUMPRODUCT(BF$54:BF$113,TRANSPOSE(SAP_Speadsheet!$E$26:$BL$26))</f>
        <v>0</v>
      </c>
      <c r="BG36" s="488" cm="1">
        <f t="array" aca="1" ref="BG36" ca="1">SUMPRODUCT(BG$54:BG$113,TRANSPOSE(SAP_Speadsheet!$E$26:$BL$26))</f>
        <v>0</v>
      </c>
      <c r="BH36" s="488" cm="1">
        <f t="array" aca="1" ref="BH36" ca="1">SUMPRODUCT(BH$54:BH$113,TRANSPOSE(SAP_Speadsheet!$E$26:$BL$26))</f>
        <v>0</v>
      </c>
      <c r="BI36" s="488" cm="1">
        <f t="array" aca="1" ref="BI36" ca="1">SUMPRODUCT(BI$54:BI$113,TRANSPOSE(SAP_Speadsheet!$E$26:$BL$26))</f>
        <v>0</v>
      </c>
    </row>
    <row r="37" spans="1:61" x14ac:dyDescent="0.15">
      <c r="A37" s="477" t="s">
        <v>503</v>
      </c>
      <c r="B37" s="488" cm="1">
        <f t="array" aca="1" ref="B37" ca="1">SUMPRODUCT(B$54:B$113,TRANSPOSE(SAP_Speadsheet!$E$27:$BL$27))</f>
        <v>0</v>
      </c>
      <c r="C37" s="488" cm="1">
        <f t="array" aca="1" ref="C37" ca="1">SUMPRODUCT(C$54:C$113,TRANSPOSE(SAP_Speadsheet!$E$27:$BL$27))</f>
        <v>0</v>
      </c>
      <c r="D37" s="488" cm="1">
        <f t="array" aca="1" ref="D37" ca="1">SUMPRODUCT(D$54:D$113,TRANSPOSE(SAP_Speadsheet!$E$27:$BL$27))</f>
        <v>0</v>
      </c>
      <c r="E37" s="488" cm="1">
        <f t="array" aca="1" ref="E37" ca="1">SUMPRODUCT(E$54:E$113,TRANSPOSE(SAP_Speadsheet!$E$27:$BL$27))</f>
        <v>0</v>
      </c>
      <c r="F37" s="488" cm="1">
        <f t="array" aca="1" ref="F37" ca="1">SUMPRODUCT(F$54:F$113,TRANSPOSE(SAP_Speadsheet!$E$27:$BL$27))</f>
        <v>0</v>
      </c>
      <c r="G37" s="488" cm="1">
        <f t="array" aca="1" ref="G37" ca="1">SUMPRODUCT(G$54:G$113,TRANSPOSE(SAP_Speadsheet!$E$27:$BL$27))</f>
        <v>0</v>
      </c>
      <c r="H37" s="488" cm="1">
        <f t="array" aca="1" ref="H37" ca="1">SUMPRODUCT(H$54:H$113,TRANSPOSE(SAP_Speadsheet!$E$27:$BL$27))</f>
        <v>0</v>
      </c>
      <c r="I37" s="488" cm="1">
        <f t="array" aca="1" ref="I37" ca="1">SUMPRODUCT(I$54:I$113,TRANSPOSE(SAP_Speadsheet!$E$27:$BL$27))</f>
        <v>0</v>
      </c>
      <c r="J37" s="488" cm="1">
        <f t="array" aca="1" ref="J37" ca="1">SUMPRODUCT(J$54:J$113,TRANSPOSE(SAP_Speadsheet!$E$27:$BL$27))</f>
        <v>0</v>
      </c>
      <c r="K37" s="488" cm="1">
        <f t="array" aca="1" ref="K37" ca="1">SUMPRODUCT(K$54:K$113,TRANSPOSE(SAP_Speadsheet!$E$27:$BL$27))</f>
        <v>0</v>
      </c>
      <c r="L37" s="488" cm="1">
        <f t="array" aca="1" ref="L37" ca="1">SUMPRODUCT(L$54:L$113,TRANSPOSE(SAP_Speadsheet!$E$27:$BL$27))</f>
        <v>0</v>
      </c>
      <c r="M37" s="488" cm="1">
        <f t="array" aca="1" ref="M37" ca="1">SUMPRODUCT(M$54:M$113,TRANSPOSE(SAP_Speadsheet!$E$27:$BL$27))</f>
        <v>0</v>
      </c>
      <c r="N37" s="488" cm="1">
        <f t="array" aca="1" ref="N37" ca="1">SUMPRODUCT(N$54:N$113,TRANSPOSE(SAP_Speadsheet!$E$27:$BL$27))</f>
        <v>0</v>
      </c>
      <c r="O37" s="488" cm="1">
        <f t="array" aca="1" ref="O37" ca="1">SUMPRODUCT(O$54:O$113,TRANSPOSE(SAP_Speadsheet!$E$27:$BL$27))</f>
        <v>0</v>
      </c>
      <c r="P37" s="488" cm="1">
        <f t="array" aca="1" ref="P37" ca="1">SUMPRODUCT(P$54:P$113,TRANSPOSE(SAP_Speadsheet!$E$27:$BL$27))</f>
        <v>0</v>
      </c>
      <c r="Q37" s="488" cm="1">
        <f t="array" aca="1" ref="Q37" ca="1">SUMPRODUCT(Q$54:Q$113,TRANSPOSE(SAP_Speadsheet!$E$27:$BL$27))</f>
        <v>0</v>
      </c>
      <c r="R37" s="488" cm="1">
        <f t="array" aca="1" ref="R37" ca="1">SUMPRODUCT(R$54:R$113,TRANSPOSE(SAP_Speadsheet!$E$27:$BL$27))</f>
        <v>0</v>
      </c>
      <c r="S37" s="488" cm="1">
        <f t="array" aca="1" ref="S37" ca="1">SUMPRODUCT(S$54:S$113,TRANSPOSE(SAP_Speadsheet!$E$27:$BL$27))</f>
        <v>0</v>
      </c>
      <c r="T37" s="488" cm="1">
        <f t="array" aca="1" ref="T37" ca="1">SUMPRODUCT(T$54:T$113,TRANSPOSE(SAP_Speadsheet!$E$27:$BL$27))</f>
        <v>0</v>
      </c>
      <c r="U37" s="488" cm="1">
        <f t="array" aca="1" ref="U37" ca="1">SUMPRODUCT(U$54:U$113,TRANSPOSE(SAP_Speadsheet!$E$27:$BL$27))</f>
        <v>0</v>
      </c>
      <c r="V37" s="488" cm="1">
        <f t="array" aca="1" ref="V37" ca="1">SUMPRODUCT(V$54:V$113,TRANSPOSE(SAP_Speadsheet!$E$27:$BL$27))</f>
        <v>0</v>
      </c>
      <c r="W37" s="488" cm="1">
        <f t="array" aca="1" ref="W37" ca="1">SUMPRODUCT(W$54:W$113,TRANSPOSE(SAP_Speadsheet!$E$27:$BL$27))</f>
        <v>0</v>
      </c>
      <c r="X37" s="488" cm="1">
        <f t="array" aca="1" ref="X37" ca="1">SUMPRODUCT(X$54:X$113,TRANSPOSE(SAP_Speadsheet!$E$27:$BL$27))</f>
        <v>0</v>
      </c>
      <c r="Y37" s="488" cm="1">
        <f t="array" aca="1" ref="Y37" ca="1">SUMPRODUCT(Y$54:Y$113,TRANSPOSE(SAP_Speadsheet!$E$27:$BL$27))</f>
        <v>0</v>
      </c>
      <c r="Z37" s="488" cm="1">
        <f t="array" aca="1" ref="Z37" ca="1">SUMPRODUCT(Z$54:Z$113,TRANSPOSE(SAP_Speadsheet!$E$27:$BL$27))</f>
        <v>0</v>
      </c>
      <c r="AA37" s="488" cm="1">
        <f t="array" aca="1" ref="AA37" ca="1">SUMPRODUCT(AA$54:AA$113,TRANSPOSE(SAP_Speadsheet!$E$27:$BL$27))</f>
        <v>0</v>
      </c>
      <c r="AB37" s="488" cm="1">
        <f t="array" aca="1" ref="AB37" ca="1">SUMPRODUCT(AB$54:AB$113,TRANSPOSE(SAP_Speadsheet!$E$27:$BL$27))</f>
        <v>0</v>
      </c>
      <c r="AC37" s="488" cm="1">
        <f t="array" aca="1" ref="AC37" ca="1">SUMPRODUCT(AC$54:AC$113,TRANSPOSE(SAP_Speadsheet!$E$27:$BL$27))</f>
        <v>0</v>
      </c>
      <c r="AD37" s="488" cm="1">
        <f t="array" aca="1" ref="AD37" ca="1">SUMPRODUCT(AD$54:AD$113,TRANSPOSE(SAP_Speadsheet!$E$27:$BL$27))</f>
        <v>0</v>
      </c>
      <c r="AE37" s="488" cm="1">
        <f t="array" aca="1" ref="AE37" ca="1">SUMPRODUCT(AE$54:AE$113,TRANSPOSE(SAP_Speadsheet!$E$27:$BL$27))</f>
        <v>0</v>
      </c>
      <c r="AF37" s="488" cm="1">
        <f t="array" aca="1" ref="AF37" ca="1">SUMPRODUCT(AF$54:AF$113,TRANSPOSE(SAP_Speadsheet!$E$27:$BL$27))</f>
        <v>0</v>
      </c>
      <c r="AG37" s="488" cm="1">
        <f t="array" aca="1" ref="AG37" ca="1">SUMPRODUCT(AG$54:AG$113,TRANSPOSE(SAP_Speadsheet!$E$27:$BL$27))</f>
        <v>0</v>
      </c>
      <c r="AH37" s="488" cm="1">
        <f t="array" aca="1" ref="AH37" ca="1">SUMPRODUCT(AH$54:AH$113,TRANSPOSE(SAP_Speadsheet!$E$27:$BL$27))</f>
        <v>0</v>
      </c>
      <c r="AI37" s="488" cm="1">
        <f t="array" aca="1" ref="AI37" ca="1">SUMPRODUCT(AI$54:AI$113,TRANSPOSE(SAP_Speadsheet!$E$27:$BL$27))</f>
        <v>0</v>
      </c>
      <c r="AJ37" s="488" cm="1">
        <f t="array" aca="1" ref="AJ37" ca="1">SUMPRODUCT(AJ$54:AJ$113,TRANSPOSE(SAP_Speadsheet!$E$27:$BL$27))</f>
        <v>0</v>
      </c>
      <c r="AK37" s="488" cm="1">
        <f t="array" aca="1" ref="AK37" ca="1">SUMPRODUCT(AK$54:AK$113,TRANSPOSE(SAP_Speadsheet!$E$27:$BL$27))</f>
        <v>0</v>
      </c>
      <c r="AL37" s="488" cm="1">
        <f t="array" aca="1" ref="AL37" ca="1">SUMPRODUCT(AL$54:AL$113,TRANSPOSE(SAP_Speadsheet!$E$27:$BL$27))</f>
        <v>0</v>
      </c>
      <c r="AM37" s="488" cm="1">
        <f t="array" aca="1" ref="AM37" ca="1">SUMPRODUCT(AM$54:AM$113,TRANSPOSE(SAP_Speadsheet!$E$27:$BL$27))</f>
        <v>0</v>
      </c>
      <c r="AN37" s="488" cm="1">
        <f t="array" aca="1" ref="AN37" ca="1">SUMPRODUCT(AN$54:AN$113,TRANSPOSE(SAP_Speadsheet!$E$27:$BL$27))</f>
        <v>0</v>
      </c>
      <c r="AO37" s="488" cm="1">
        <f t="array" aca="1" ref="AO37" ca="1">SUMPRODUCT(AO$54:AO$113,TRANSPOSE(SAP_Speadsheet!$E$27:$BL$27))</f>
        <v>0</v>
      </c>
      <c r="AP37" s="488" cm="1">
        <f t="array" aca="1" ref="AP37" ca="1">SUMPRODUCT(AP$54:AP$113,TRANSPOSE(SAP_Speadsheet!$E$27:$BL$27))</f>
        <v>0</v>
      </c>
      <c r="AQ37" s="488" cm="1">
        <f t="array" aca="1" ref="AQ37" ca="1">SUMPRODUCT(AQ$54:AQ$113,TRANSPOSE(SAP_Speadsheet!$E$27:$BL$27))</f>
        <v>0</v>
      </c>
      <c r="AR37" s="488" cm="1">
        <f t="array" aca="1" ref="AR37" ca="1">SUMPRODUCT(AR$54:AR$113,TRANSPOSE(SAP_Speadsheet!$E$27:$BL$27))</f>
        <v>0</v>
      </c>
      <c r="AS37" s="488" cm="1">
        <f t="array" aca="1" ref="AS37" ca="1">SUMPRODUCT(AS$54:AS$113,TRANSPOSE(SAP_Speadsheet!$E$27:$BL$27))</f>
        <v>0</v>
      </c>
      <c r="AT37" s="488" cm="1">
        <f t="array" aca="1" ref="AT37" ca="1">SUMPRODUCT(AT$54:AT$113,TRANSPOSE(SAP_Speadsheet!$E$27:$BL$27))</f>
        <v>0</v>
      </c>
      <c r="AU37" s="488" cm="1">
        <f t="array" aca="1" ref="AU37" ca="1">SUMPRODUCT(AU$54:AU$113,TRANSPOSE(SAP_Speadsheet!$E$27:$BL$27))</f>
        <v>0</v>
      </c>
      <c r="AV37" s="488" cm="1">
        <f t="array" aca="1" ref="AV37" ca="1">SUMPRODUCT(AV$54:AV$113,TRANSPOSE(SAP_Speadsheet!$E$27:$BL$27))</f>
        <v>0</v>
      </c>
      <c r="AW37" s="488" cm="1">
        <f t="array" aca="1" ref="AW37" ca="1">SUMPRODUCT(AW$54:AW$113,TRANSPOSE(SAP_Speadsheet!$E$27:$BL$27))</f>
        <v>0</v>
      </c>
      <c r="AX37" s="488" cm="1">
        <f t="array" aca="1" ref="AX37" ca="1">SUMPRODUCT(AX$54:AX$113,TRANSPOSE(SAP_Speadsheet!$E$27:$BL$27))</f>
        <v>0</v>
      </c>
      <c r="AY37" s="488" cm="1">
        <f t="array" aca="1" ref="AY37" ca="1">SUMPRODUCT(AY$54:AY$113,TRANSPOSE(SAP_Speadsheet!$E$27:$BL$27))</f>
        <v>0</v>
      </c>
      <c r="AZ37" s="488" cm="1">
        <f t="array" aca="1" ref="AZ37" ca="1">SUMPRODUCT(AZ$54:AZ$113,TRANSPOSE(SAP_Speadsheet!$E$27:$BL$27))</f>
        <v>0</v>
      </c>
      <c r="BA37" s="488" cm="1">
        <f t="array" aca="1" ref="BA37" ca="1">SUMPRODUCT(BA$54:BA$113,TRANSPOSE(SAP_Speadsheet!$E$27:$BL$27))</f>
        <v>0</v>
      </c>
      <c r="BB37" s="488" cm="1">
        <f t="array" aca="1" ref="BB37" ca="1">SUMPRODUCT(BB$54:BB$113,TRANSPOSE(SAP_Speadsheet!$E$27:$BL$27))</f>
        <v>0</v>
      </c>
      <c r="BC37" s="488" cm="1">
        <f t="array" aca="1" ref="BC37" ca="1">SUMPRODUCT(BC$54:BC$113,TRANSPOSE(SAP_Speadsheet!$E$27:$BL$27))</f>
        <v>0</v>
      </c>
      <c r="BD37" s="488" cm="1">
        <f t="array" aca="1" ref="BD37" ca="1">SUMPRODUCT(BD$54:BD$113,TRANSPOSE(SAP_Speadsheet!$E$27:$BL$27))</f>
        <v>0</v>
      </c>
      <c r="BE37" s="488" cm="1">
        <f t="array" aca="1" ref="BE37" ca="1">SUMPRODUCT(BE$54:BE$113,TRANSPOSE(SAP_Speadsheet!$E$27:$BL$27))</f>
        <v>0</v>
      </c>
      <c r="BF37" s="488" cm="1">
        <f t="array" aca="1" ref="BF37" ca="1">SUMPRODUCT(BF$54:BF$113,TRANSPOSE(SAP_Speadsheet!$E$27:$BL$27))</f>
        <v>0</v>
      </c>
      <c r="BG37" s="488" cm="1">
        <f t="array" aca="1" ref="BG37" ca="1">SUMPRODUCT(BG$54:BG$113,TRANSPOSE(SAP_Speadsheet!$E$27:$BL$27))</f>
        <v>0</v>
      </c>
      <c r="BH37" s="488" cm="1">
        <f t="array" aca="1" ref="BH37" ca="1">SUMPRODUCT(BH$54:BH$113,TRANSPOSE(SAP_Speadsheet!$E$27:$BL$27))</f>
        <v>0</v>
      </c>
      <c r="BI37" s="488" cm="1">
        <f t="array" aca="1" ref="BI37" ca="1">SUMPRODUCT(BI$54:BI$113,TRANSPOSE(SAP_Speadsheet!$E$27:$BL$27))</f>
        <v>0</v>
      </c>
    </row>
    <row r="38" spans="1:61" x14ac:dyDescent="0.15">
      <c r="A38" s="477" t="s">
        <v>504</v>
      </c>
      <c r="B38" s="488" cm="1">
        <f t="array" aca="1" ref="B38" ca="1">SUMPRODUCT(B$54:B$113,TRANSPOSE(SAP_Speadsheet!$E$28:$BL$28))</f>
        <v>0</v>
      </c>
      <c r="C38" s="488" cm="1">
        <f t="array" aca="1" ref="C38" ca="1">SUMPRODUCT(C$54:C$113,TRANSPOSE(SAP_Speadsheet!$E$28:$BL$28))</f>
        <v>0</v>
      </c>
      <c r="D38" s="488" cm="1">
        <f t="array" aca="1" ref="D38" ca="1">SUMPRODUCT(D$54:D$113,TRANSPOSE(SAP_Speadsheet!$E$28:$BL$28))</f>
        <v>0</v>
      </c>
      <c r="E38" s="488" cm="1">
        <f t="array" aca="1" ref="E38" ca="1">SUMPRODUCT(E$54:E$113,TRANSPOSE(SAP_Speadsheet!$E$28:$BL$28))</f>
        <v>0</v>
      </c>
      <c r="F38" s="488" cm="1">
        <f t="array" aca="1" ref="F38" ca="1">SUMPRODUCT(F$54:F$113,TRANSPOSE(SAP_Speadsheet!$E$28:$BL$28))</f>
        <v>0</v>
      </c>
      <c r="G38" s="488" cm="1">
        <f t="array" aca="1" ref="G38" ca="1">SUMPRODUCT(G$54:G$113,TRANSPOSE(SAP_Speadsheet!$E$28:$BL$28))</f>
        <v>0</v>
      </c>
      <c r="H38" s="488" cm="1">
        <f t="array" aca="1" ref="H38" ca="1">SUMPRODUCT(H$54:H$113,TRANSPOSE(SAP_Speadsheet!$E$28:$BL$28))</f>
        <v>0</v>
      </c>
      <c r="I38" s="488" cm="1">
        <f t="array" aca="1" ref="I38" ca="1">SUMPRODUCT(I$54:I$113,TRANSPOSE(SAP_Speadsheet!$E$28:$BL$28))</f>
        <v>0</v>
      </c>
      <c r="J38" s="488" cm="1">
        <f t="array" aca="1" ref="J38" ca="1">SUMPRODUCT(J$54:J$113,TRANSPOSE(SAP_Speadsheet!$E$28:$BL$28))</f>
        <v>0</v>
      </c>
      <c r="K38" s="488" cm="1">
        <f t="array" aca="1" ref="K38" ca="1">SUMPRODUCT(K$54:K$113,TRANSPOSE(SAP_Speadsheet!$E$28:$BL$28))</f>
        <v>0</v>
      </c>
      <c r="L38" s="488" cm="1">
        <f t="array" aca="1" ref="L38" ca="1">SUMPRODUCT(L$54:L$113,TRANSPOSE(SAP_Speadsheet!$E$28:$BL$28))</f>
        <v>0</v>
      </c>
      <c r="M38" s="488" cm="1">
        <f t="array" aca="1" ref="M38" ca="1">SUMPRODUCT(M$54:M$113,TRANSPOSE(SAP_Speadsheet!$E$28:$BL$28))</f>
        <v>0</v>
      </c>
      <c r="N38" s="488" cm="1">
        <f t="array" aca="1" ref="N38" ca="1">SUMPRODUCT(N$54:N$113,TRANSPOSE(SAP_Speadsheet!$E$28:$BL$28))</f>
        <v>0</v>
      </c>
      <c r="O38" s="488" cm="1">
        <f t="array" aca="1" ref="O38" ca="1">SUMPRODUCT(O$54:O$113,TRANSPOSE(SAP_Speadsheet!$E$28:$BL$28))</f>
        <v>0</v>
      </c>
      <c r="P38" s="488" cm="1">
        <f t="array" aca="1" ref="P38" ca="1">SUMPRODUCT(P$54:P$113,TRANSPOSE(SAP_Speadsheet!$E$28:$BL$28))</f>
        <v>0</v>
      </c>
      <c r="Q38" s="488" cm="1">
        <f t="array" aca="1" ref="Q38" ca="1">SUMPRODUCT(Q$54:Q$113,TRANSPOSE(SAP_Speadsheet!$E$28:$BL$28))</f>
        <v>0</v>
      </c>
      <c r="R38" s="488" cm="1">
        <f t="array" aca="1" ref="R38" ca="1">SUMPRODUCT(R$54:R$113,TRANSPOSE(SAP_Speadsheet!$E$28:$BL$28))</f>
        <v>0</v>
      </c>
      <c r="S38" s="488" cm="1">
        <f t="array" aca="1" ref="S38" ca="1">SUMPRODUCT(S$54:S$113,TRANSPOSE(SAP_Speadsheet!$E$28:$BL$28))</f>
        <v>0</v>
      </c>
      <c r="T38" s="488" cm="1">
        <f t="array" aca="1" ref="T38" ca="1">SUMPRODUCT(T$54:T$113,TRANSPOSE(SAP_Speadsheet!$E$28:$BL$28))</f>
        <v>0</v>
      </c>
      <c r="U38" s="488" cm="1">
        <f t="array" aca="1" ref="U38" ca="1">SUMPRODUCT(U$54:U$113,TRANSPOSE(SAP_Speadsheet!$E$28:$BL$28))</f>
        <v>0</v>
      </c>
      <c r="V38" s="488" cm="1">
        <f t="array" aca="1" ref="V38" ca="1">SUMPRODUCT(V$54:V$113,TRANSPOSE(SAP_Speadsheet!$E$28:$BL$28))</f>
        <v>0</v>
      </c>
      <c r="W38" s="488" cm="1">
        <f t="array" aca="1" ref="W38" ca="1">SUMPRODUCT(W$54:W$113,TRANSPOSE(SAP_Speadsheet!$E$28:$BL$28))</f>
        <v>0</v>
      </c>
      <c r="X38" s="488" cm="1">
        <f t="array" aca="1" ref="X38" ca="1">SUMPRODUCT(X$54:X$113,TRANSPOSE(SAP_Speadsheet!$E$28:$BL$28))</f>
        <v>0</v>
      </c>
      <c r="Y38" s="488" cm="1">
        <f t="array" aca="1" ref="Y38" ca="1">SUMPRODUCT(Y$54:Y$113,TRANSPOSE(SAP_Speadsheet!$E$28:$BL$28))</f>
        <v>0</v>
      </c>
      <c r="Z38" s="488" cm="1">
        <f t="array" aca="1" ref="Z38" ca="1">SUMPRODUCT(Z$54:Z$113,TRANSPOSE(SAP_Speadsheet!$E$28:$BL$28))</f>
        <v>0</v>
      </c>
      <c r="AA38" s="488" cm="1">
        <f t="array" aca="1" ref="AA38" ca="1">SUMPRODUCT(AA$54:AA$113,TRANSPOSE(SAP_Speadsheet!$E$28:$BL$28))</f>
        <v>0</v>
      </c>
      <c r="AB38" s="488" cm="1">
        <f t="array" aca="1" ref="AB38" ca="1">SUMPRODUCT(AB$54:AB$113,TRANSPOSE(SAP_Speadsheet!$E$28:$BL$28))</f>
        <v>0</v>
      </c>
      <c r="AC38" s="488" cm="1">
        <f t="array" aca="1" ref="AC38" ca="1">SUMPRODUCT(AC$54:AC$113,TRANSPOSE(SAP_Speadsheet!$E$28:$BL$28))</f>
        <v>0</v>
      </c>
      <c r="AD38" s="488" cm="1">
        <f t="array" aca="1" ref="AD38" ca="1">SUMPRODUCT(AD$54:AD$113,TRANSPOSE(SAP_Speadsheet!$E$28:$BL$28))</f>
        <v>0</v>
      </c>
      <c r="AE38" s="488" cm="1">
        <f t="array" aca="1" ref="AE38" ca="1">SUMPRODUCT(AE$54:AE$113,TRANSPOSE(SAP_Speadsheet!$E$28:$BL$28))</f>
        <v>0</v>
      </c>
      <c r="AF38" s="488" cm="1">
        <f t="array" aca="1" ref="AF38" ca="1">SUMPRODUCT(AF$54:AF$113,TRANSPOSE(SAP_Speadsheet!$E$28:$BL$28))</f>
        <v>0</v>
      </c>
      <c r="AG38" s="488" cm="1">
        <f t="array" aca="1" ref="AG38" ca="1">SUMPRODUCT(AG$54:AG$113,TRANSPOSE(SAP_Speadsheet!$E$28:$BL$28))</f>
        <v>0</v>
      </c>
      <c r="AH38" s="488" cm="1">
        <f t="array" aca="1" ref="AH38" ca="1">SUMPRODUCT(AH$54:AH$113,TRANSPOSE(SAP_Speadsheet!$E$28:$BL$28))</f>
        <v>0</v>
      </c>
      <c r="AI38" s="488" cm="1">
        <f t="array" aca="1" ref="AI38" ca="1">SUMPRODUCT(AI$54:AI$113,TRANSPOSE(SAP_Speadsheet!$E$28:$BL$28))</f>
        <v>0</v>
      </c>
      <c r="AJ38" s="488" cm="1">
        <f t="array" aca="1" ref="AJ38" ca="1">SUMPRODUCT(AJ$54:AJ$113,TRANSPOSE(SAP_Speadsheet!$E$28:$BL$28))</f>
        <v>0</v>
      </c>
      <c r="AK38" s="488" cm="1">
        <f t="array" aca="1" ref="AK38" ca="1">SUMPRODUCT(AK$54:AK$113,TRANSPOSE(SAP_Speadsheet!$E$28:$BL$28))</f>
        <v>0</v>
      </c>
      <c r="AL38" s="488" cm="1">
        <f t="array" aca="1" ref="AL38" ca="1">SUMPRODUCT(AL$54:AL$113,TRANSPOSE(SAP_Speadsheet!$E$28:$BL$28))</f>
        <v>0</v>
      </c>
      <c r="AM38" s="488" cm="1">
        <f t="array" aca="1" ref="AM38" ca="1">SUMPRODUCT(AM$54:AM$113,TRANSPOSE(SAP_Speadsheet!$E$28:$BL$28))</f>
        <v>0</v>
      </c>
      <c r="AN38" s="488" cm="1">
        <f t="array" aca="1" ref="AN38" ca="1">SUMPRODUCT(AN$54:AN$113,TRANSPOSE(SAP_Speadsheet!$E$28:$BL$28))</f>
        <v>0</v>
      </c>
      <c r="AO38" s="488" cm="1">
        <f t="array" aca="1" ref="AO38" ca="1">SUMPRODUCT(AO$54:AO$113,TRANSPOSE(SAP_Speadsheet!$E$28:$BL$28))</f>
        <v>0</v>
      </c>
      <c r="AP38" s="488" cm="1">
        <f t="array" aca="1" ref="AP38" ca="1">SUMPRODUCT(AP$54:AP$113,TRANSPOSE(SAP_Speadsheet!$E$28:$BL$28))</f>
        <v>0</v>
      </c>
      <c r="AQ38" s="488" cm="1">
        <f t="array" aca="1" ref="AQ38" ca="1">SUMPRODUCT(AQ$54:AQ$113,TRANSPOSE(SAP_Speadsheet!$E$28:$BL$28))</f>
        <v>0</v>
      </c>
      <c r="AR38" s="488" cm="1">
        <f t="array" aca="1" ref="AR38" ca="1">SUMPRODUCT(AR$54:AR$113,TRANSPOSE(SAP_Speadsheet!$E$28:$BL$28))</f>
        <v>0</v>
      </c>
      <c r="AS38" s="488" cm="1">
        <f t="array" aca="1" ref="AS38" ca="1">SUMPRODUCT(AS$54:AS$113,TRANSPOSE(SAP_Speadsheet!$E$28:$BL$28))</f>
        <v>0</v>
      </c>
      <c r="AT38" s="488" cm="1">
        <f t="array" aca="1" ref="AT38" ca="1">SUMPRODUCT(AT$54:AT$113,TRANSPOSE(SAP_Speadsheet!$E$28:$BL$28))</f>
        <v>0</v>
      </c>
      <c r="AU38" s="488" cm="1">
        <f t="array" aca="1" ref="AU38" ca="1">SUMPRODUCT(AU$54:AU$113,TRANSPOSE(SAP_Speadsheet!$E$28:$BL$28))</f>
        <v>0</v>
      </c>
      <c r="AV38" s="488" cm="1">
        <f t="array" aca="1" ref="AV38" ca="1">SUMPRODUCT(AV$54:AV$113,TRANSPOSE(SAP_Speadsheet!$E$28:$BL$28))</f>
        <v>0</v>
      </c>
      <c r="AW38" s="488" cm="1">
        <f t="array" aca="1" ref="AW38" ca="1">SUMPRODUCT(AW$54:AW$113,TRANSPOSE(SAP_Speadsheet!$E$28:$BL$28))</f>
        <v>0</v>
      </c>
      <c r="AX38" s="488" cm="1">
        <f t="array" aca="1" ref="AX38" ca="1">SUMPRODUCT(AX$54:AX$113,TRANSPOSE(SAP_Speadsheet!$E$28:$BL$28))</f>
        <v>0</v>
      </c>
      <c r="AY38" s="488" cm="1">
        <f t="array" aca="1" ref="AY38" ca="1">SUMPRODUCT(AY$54:AY$113,TRANSPOSE(SAP_Speadsheet!$E$28:$BL$28))</f>
        <v>0</v>
      </c>
      <c r="AZ38" s="488" cm="1">
        <f t="array" aca="1" ref="AZ38" ca="1">SUMPRODUCT(AZ$54:AZ$113,TRANSPOSE(SAP_Speadsheet!$E$28:$BL$28))</f>
        <v>0</v>
      </c>
      <c r="BA38" s="488" cm="1">
        <f t="array" aca="1" ref="BA38" ca="1">SUMPRODUCT(BA$54:BA$113,TRANSPOSE(SAP_Speadsheet!$E$28:$BL$28))</f>
        <v>0</v>
      </c>
      <c r="BB38" s="488" cm="1">
        <f t="array" aca="1" ref="BB38" ca="1">SUMPRODUCT(BB$54:BB$113,TRANSPOSE(SAP_Speadsheet!$E$28:$BL$28))</f>
        <v>0</v>
      </c>
      <c r="BC38" s="488" cm="1">
        <f t="array" aca="1" ref="BC38" ca="1">SUMPRODUCT(BC$54:BC$113,TRANSPOSE(SAP_Speadsheet!$E$28:$BL$28))</f>
        <v>0</v>
      </c>
      <c r="BD38" s="488" cm="1">
        <f t="array" aca="1" ref="BD38" ca="1">SUMPRODUCT(BD$54:BD$113,TRANSPOSE(SAP_Speadsheet!$E$28:$BL$28))</f>
        <v>0</v>
      </c>
      <c r="BE38" s="488" cm="1">
        <f t="array" aca="1" ref="BE38" ca="1">SUMPRODUCT(BE$54:BE$113,TRANSPOSE(SAP_Speadsheet!$E$28:$BL$28))</f>
        <v>0</v>
      </c>
      <c r="BF38" s="488" cm="1">
        <f t="array" aca="1" ref="BF38" ca="1">SUMPRODUCT(BF$54:BF$113,TRANSPOSE(SAP_Speadsheet!$E$28:$BL$28))</f>
        <v>0</v>
      </c>
      <c r="BG38" s="488" cm="1">
        <f t="array" aca="1" ref="BG38" ca="1">SUMPRODUCT(BG$54:BG$113,TRANSPOSE(SAP_Speadsheet!$E$28:$BL$28))</f>
        <v>0</v>
      </c>
      <c r="BH38" s="488" cm="1">
        <f t="array" aca="1" ref="BH38" ca="1">SUMPRODUCT(BH$54:BH$113,TRANSPOSE(SAP_Speadsheet!$E$28:$BL$28))</f>
        <v>0</v>
      </c>
      <c r="BI38" s="488" cm="1">
        <f t="array" aca="1" ref="BI38" ca="1">SUMPRODUCT(BI$54:BI$113,TRANSPOSE(SAP_Speadsheet!$E$28:$BL$28))</f>
        <v>0</v>
      </c>
    </row>
    <row r="39" spans="1:61" x14ac:dyDescent="0.15">
      <c r="A39" s="477" t="s">
        <v>506</v>
      </c>
      <c r="B39" s="488" cm="1">
        <f t="array" aca="1" ref="B39" ca="1">SUMPRODUCT(B$54:B$113,TRANSPOSE(SAP_Speadsheet!$E$29:$BL$29))</f>
        <v>0</v>
      </c>
      <c r="C39" s="488" cm="1">
        <f t="array" aca="1" ref="C39" ca="1">SUMPRODUCT(C$54:C$113,TRANSPOSE(SAP_Speadsheet!$E$29:$BL$29))</f>
        <v>0</v>
      </c>
      <c r="D39" s="488" cm="1">
        <f t="array" aca="1" ref="D39" ca="1">SUMPRODUCT(D$54:D$113,TRANSPOSE(SAP_Speadsheet!$E$29:$BL$29))</f>
        <v>0</v>
      </c>
      <c r="E39" s="488" cm="1">
        <f t="array" aca="1" ref="E39" ca="1">SUMPRODUCT(E$54:E$113,TRANSPOSE(SAP_Speadsheet!$E$29:$BL$29))</f>
        <v>0</v>
      </c>
      <c r="F39" s="488" cm="1">
        <f t="array" aca="1" ref="F39" ca="1">SUMPRODUCT(F$54:F$113,TRANSPOSE(SAP_Speadsheet!$E$29:$BL$29))</f>
        <v>0</v>
      </c>
      <c r="G39" s="488" cm="1">
        <f t="array" aca="1" ref="G39" ca="1">SUMPRODUCT(G$54:G$113,TRANSPOSE(SAP_Speadsheet!$E$29:$BL$29))</f>
        <v>0</v>
      </c>
      <c r="H39" s="488" cm="1">
        <f t="array" aca="1" ref="H39" ca="1">SUMPRODUCT(H$54:H$113,TRANSPOSE(SAP_Speadsheet!$E$29:$BL$29))</f>
        <v>0</v>
      </c>
      <c r="I39" s="488" cm="1">
        <f t="array" aca="1" ref="I39" ca="1">SUMPRODUCT(I$54:I$113,TRANSPOSE(SAP_Speadsheet!$E$29:$BL$29))</f>
        <v>0</v>
      </c>
      <c r="J39" s="488" cm="1">
        <f t="array" aca="1" ref="J39" ca="1">SUMPRODUCT(J$54:J$113,TRANSPOSE(SAP_Speadsheet!$E$29:$BL$29))</f>
        <v>0</v>
      </c>
      <c r="K39" s="488" cm="1">
        <f t="array" aca="1" ref="K39" ca="1">SUMPRODUCT(K$54:K$113,TRANSPOSE(SAP_Speadsheet!$E$29:$BL$29))</f>
        <v>0</v>
      </c>
      <c r="L39" s="488" cm="1">
        <f t="array" aca="1" ref="L39" ca="1">SUMPRODUCT(L$54:L$113,TRANSPOSE(SAP_Speadsheet!$E$29:$BL$29))</f>
        <v>0</v>
      </c>
      <c r="M39" s="488" cm="1">
        <f t="array" aca="1" ref="M39" ca="1">SUMPRODUCT(M$54:M$113,TRANSPOSE(SAP_Speadsheet!$E$29:$BL$29))</f>
        <v>0</v>
      </c>
      <c r="N39" s="488" cm="1">
        <f t="array" aca="1" ref="N39" ca="1">SUMPRODUCT(N$54:N$113,TRANSPOSE(SAP_Speadsheet!$E$29:$BL$29))</f>
        <v>0</v>
      </c>
      <c r="O39" s="488" cm="1">
        <f t="array" aca="1" ref="O39" ca="1">SUMPRODUCT(O$54:O$113,TRANSPOSE(SAP_Speadsheet!$E$29:$BL$29))</f>
        <v>0</v>
      </c>
      <c r="P39" s="488" cm="1">
        <f t="array" aca="1" ref="P39" ca="1">SUMPRODUCT(P$54:P$113,TRANSPOSE(SAP_Speadsheet!$E$29:$BL$29))</f>
        <v>0</v>
      </c>
      <c r="Q39" s="488" cm="1">
        <f t="array" aca="1" ref="Q39" ca="1">SUMPRODUCT(Q$54:Q$113,TRANSPOSE(SAP_Speadsheet!$E$29:$BL$29))</f>
        <v>0</v>
      </c>
      <c r="R39" s="488" cm="1">
        <f t="array" aca="1" ref="R39" ca="1">SUMPRODUCT(R$54:R$113,TRANSPOSE(SAP_Speadsheet!$E$29:$BL$29))</f>
        <v>0</v>
      </c>
      <c r="S39" s="488" cm="1">
        <f t="array" aca="1" ref="S39" ca="1">SUMPRODUCT(S$54:S$113,TRANSPOSE(SAP_Speadsheet!$E$29:$BL$29))</f>
        <v>0</v>
      </c>
      <c r="T39" s="488" cm="1">
        <f t="array" aca="1" ref="T39" ca="1">SUMPRODUCT(T$54:T$113,TRANSPOSE(SAP_Speadsheet!$E$29:$BL$29))</f>
        <v>0</v>
      </c>
      <c r="U39" s="488" cm="1">
        <f t="array" aca="1" ref="U39" ca="1">SUMPRODUCT(U$54:U$113,TRANSPOSE(SAP_Speadsheet!$E$29:$BL$29))</f>
        <v>0</v>
      </c>
      <c r="V39" s="488" cm="1">
        <f t="array" aca="1" ref="V39" ca="1">SUMPRODUCT(V$54:V$113,TRANSPOSE(SAP_Speadsheet!$E$29:$BL$29))</f>
        <v>0</v>
      </c>
      <c r="W39" s="488" cm="1">
        <f t="array" aca="1" ref="W39" ca="1">SUMPRODUCT(W$54:W$113,TRANSPOSE(SAP_Speadsheet!$E$29:$BL$29))</f>
        <v>0</v>
      </c>
      <c r="X39" s="488" cm="1">
        <f t="array" aca="1" ref="X39" ca="1">SUMPRODUCT(X$54:X$113,TRANSPOSE(SAP_Speadsheet!$E$29:$BL$29))</f>
        <v>0</v>
      </c>
      <c r="Y39" s="488" cm="1">
        <f t="array" aca="1" ref="Y39" ca="1">SUMPRODUCT(Y$54:Y$113,TRANSPOSE(SAP_Speadsheet!$E$29:$BL$29))</f>
        <v>0</v>
      </c>
      <c r="Z39" s="488" cm="1">
        <f t="array" aca="1" ref="Z39" ca="1">SUMPRODUCT(Z$54:Z$113,TRANSPOSE(SAP_Speadsheet!$E$29:$BL$29))</f>
        <v>0</v>
      </c>
      <c r="AA39" s="488" cm="1">
        <f t="array" aca="1" ref="AA39" ca="1">SUMPRODUCT(AA$54:AA$113,TRANSPOSE(SAP_Speadsheet!$E$29:$BL$29))</f>
        <v>0</v>
      </c>
      <c r="AB39" s="488" cm="1">
        <f t="array" aca="1" ref="AB39" ca="1">SUMPRODUCT(AB$54:AB$113,TRANSPOSE(SAP_Speadsheet!$E$29:$BL$29))</f>
        <v>0</v>
      </c>
      <c r="AC39" s="488" cm="1">
        <f t="array" aca="1" ref="AC39" ca="1">SUMPRODUCT(AC$54:AC$113,TRANSPOSE(SAP_Speadsheet!$E$29:$BL$29))</f>
        <v>0</v>
      </c>
      <c r="AD39" s="488" cm="1">
        <f t="array" aca="1" ref="AD39" ca="1">SUMPRODUCT(AD$54:AD$113,TRANSPOSE(SAP_Speadsheet!$E$29:$BL$29))</f>
        <v>0</v>
      </c>
      <c r="AE39" s="488" cm="1">
        <f t="array" aca="1" ref="AE39" ca="1">SUMPRODUCT(AE$54:AE$113,TRANSPOSE(SAP_Speadsheet!$E$29:$BL$29))</f>
        <v>0</v>
      </c>
      <c r="AF39" s="488" cm="1">
        <f t="array" aca="1" ref="AF39" ca="1">SUMPRODUCT(AF$54:AF$113,TRANSPOSE(SAP_Speadsheet!$E$29:$BL$29))</f>
        <v>0</v>
      </c>
      <c r="AG39" s="488" cm="1">
        <f t="array" aca="1" ref="AG39" ca="1">SUMPRODUCT(AG$54:AG$113,TRANSPOSE(SAP_Speadsheet!$E$29:$BL$29))</f>
        <v>0</v>
      </c>
      <c r="AH39" s="488" cm="1">
        <f t="array" aca="1" ref="AH39" ca="1">SUMPRODUCT(AH$54:AH$113,TRANSPOSE(SAP_Speadsheet!$E$29:$BL$29))</f>
        <v>0</v>
      </c>
      <c r="AI39" s="488" cm="1">
        <f t="array" aca="1" ref="AI39" ca="1">SUMPRODUCT(AI$54:AI$113,TRANSPOSE(SAP_Speadsheet!$E$29:$BL$29))</f>
        <v>0</v>
      </c>
      <c r="AJ39" s="488" cm="1">
        <f t="array" aca="1" ref="AJ39" ca="1">SUMPRODUCT(AJ$54:AJ$113,TRANSPOSE(SAP_Speadsheet!$E$29:$BL$29))</f>
        <v>0</v>
      </c>
      <c r="AK39" s="488" cm="1">
        <f t="array" aca="1" ref="AK39" ca="1">SUMPRODUCT(AK$54:AK$113,TRANSPOSE(SAP_Speadsheet!$E$29:$BL$29))</f>
        <v>0</v>
      </c>
      <c r="AL39" s="488" cm="1">
        <f t="array" aca="1" ref="AL39" ca="1">SUMPRODUCT(AL$54:AL$113,TRANSPOSE(SAP_Speadsheet!$E$29:$BL$29))</f>
        <v>0</v>
      </c>
      <c r="AM39" s="488" cm="1">
        <f t="array" aca="1" ref="AM39" ca="1">SUMPRODUCT(AM$54:AM$113,TRANSPOSE(SAP_Speadsheet!$E$29:$BL$29))</f>
        <v>0</v>
      </c>
      <c r="AN39" s="488" cm="1">
        <f t="array" aca="1" ref="AN39" ca="1">SUMPRODUCT(AN$54:AN$113,TRANSPOSE(SAP_Speadsheet!$E$29:$BL$29))</f>
        <v>0</v>
      </c>
      <c r="AO39" s="488" cm="1">
        <f t="array" aca="1" ref="AO39" ca="1">SUMPRODUCT(AO$54:AO$113,TRANSPOSE(SAP_Speadsheet!$E$29:$BL$29))</f>
        <v>0</v>
      </c>
      <c r="AP39" s="488" cm="1">
        <f t="array" aca="1" ref="AP39" ca="1">SUMPRODUCT(AP$54:AP$113,TRANSPOSE(SAP_Speadsheet!$E$29:$BL$29))</f>
        <v>0</v>
      </c>
      <c r="AQ39" s="488" cm="1">
        <f t="array" aca="1" ref="AQ39" ca="1">SUMPRODUCT(AQ$54:AQ$113,TRANSPOSE(SAP_Speadsheet!$E$29:$BL$29))</f>
        <v>0</v>
      </c>
      <c r="AR39" s="488" cm="1">
        <f t="array" aca="1" ref="AR39" ca="1">SUMPRODUCT(AR$54:AR$113,TRANSPOSE(SAP_Speadsheet!$E$29:$BL$29))</f>
        <v>0</v>
      </c>
      <c r="AS39" s="488" cm="1">
        <f t="array" aca="1" ref="AS39" ca="1">SUMPRODUCT(AS$54:AS$113,TRANSPOSE(SAP_Speadsheet!$E$29:$BL$29))</f>
        <v>0</v>
      </c>
      <c r="AT39" s="488" cm="1">
        <f t="array" aca="1" ref="AT39" ca="1">SUMPRODUCT(AT$54:AT$113,TRANSPOSE(SAP_Speadsheet!$E$29:$BL$29))</f>
        <v>0</v>
      </c>
      <c r="AU39" s="488" cm="1">
        <f t="array" aca="1" ref="AU39" ca="1">SUMPRODUCT(AU$54:AU$113,TRANSPOSE(SAP_Speadsheet!$E$29:$BL$29))</f>
        <v>0</v>
      </c>
      <c r="AV39" s="488" cm="1">
        <f t="array" aca="1" ref="AV39" ca="1">SUMPRODUCT(AV$54:AV$113,TRANSPOSE(SAP_Speadsheet!$E$29:$BL$29))</f>
        <v>0</v>
      </c>
      <c r="AW39" s="488" cm="1">
        <f t="array" aca="1" ref="AW39" ca="1">SUMPRODUCT(AW$54:AW$113,TRANSPOSE(SAP_Speadsheet!$E$29:$BL$29))</f>
        <v>0</v>
      </c>
      <c r="AX39" s="488" cm="1">
        <f t="array" aca="1" ref="AX39" ca="1">SUMPRODUCT(AX$54:AX$113,TRANSPOSE(SAP_Speadsheet!$E$29:$BL$29))</f>
        <v>0</v>
      </c>
      <c r="AY39" s="488" cm="1">
        <f t="array" aca="1" ref="AY39" ca="1">SUMPRODUCT(AY$54:AY$113,TRANSPOSE(SAP_Speadsheet!$E$29:$BL$29))</f>
        <v>0</v>
      </c>
      <c r="AZ39" s="488" cm="1">
        <f t="array" aca="1" ref="AZ39" ca="1">SUMPRODUCT(AZ$54:AZ$113,TRANSPOSE(SAP_Speadsheet!$E$29:$BL$29))</f>
        <v>0</v>
      </c>
      <c r="BA39" s="488" cm="1">
        <f t="array" aca="1" ref="BA39" ca="1">SUMPRODUCT(BA$54:BA$113,TRANSPOSE(SAP_Speadsheet!$E$29:$BL$29))</f>
        <v>0</v>
      </c>
      <c r="BB39" s="488" cm="1">
        <f t="array" aca="1" ref="BB39" ca="1">SUMPRODUCT(BB$54:BB$113,TRANSPOSE(SAP_Speadsheet!$E$29:$BL$29))</f>
        <v>0</v>
      </c>
      <c r="BC39" s="488" cm="1">
        <f t="array" aca="1" ref="BC39" ca="1">SUMPRODUCT(BC$54:BC$113,TRANSPOSE(SAP_Speadsheet!$E$29:$BL$29))</f>
        <v>0</v>
      </c>
      <c r="BD39" s="488" cm="1">
        <f t="array" aca="1" ref="BD39" ca="1">SUMPRODUCT(BD$54:BD$113,TRANSPOSE(SAP_Speadsheet!$E$29:$BL$29))</f>
        <v>0</v>
      </c>
      <c r="BE39" s="488" cm="1">
        <f t="array" aca="1" ref="BE39" ca="1">SUMPRODUCT(BE$54:BE$113,TRANSPOSE(SAP_Speadsheet!$E$29:$BL$29))</f>
        <v>0</v>
      </c>
      <c r="BF39" s="488" cm="1">
        <f t="array" aca="1" ref="BF39" ca="1">SUMPRODUCT(BF$54:BF$113,TRANSPOSE(SAP_Speadsheet!$E$29:$BL$29))</f>
        <v>0</v>
      </c>
      <c r="BG39" s="488" cm="1">
        <f t="array" aca="1" ref="BG39" ca="1">SUMPRODUCT(BG$54:BG$113,TRANSPOSE(SAP_Speadsheet!$E$29:$BL$29))</f>
        <v>0</v>
      </c>
      <c r="BH39" s="488" cm="1">
        <f t="array" aca="1" ref="BH39" ca="1">SUMPRODUCT(BH$54:BH$113,TRANSPOSE(SAP_Speadsheet!$E$29:$BL$29))</f>
        <v>0</v>
      </c>
      <c r="BI39" s="488" cm="1">
        <f t="array" aca="1" ref="BI39" ca="1">SUMPRODUCT(BI$54:BI$113,TRANSPOSE(SAP_Speadsheet!$E$29:$BL$29))</f>
        <v>0</v>
      </c>
    </row>
    <row r="40" spans="1:61" x14ac:dyDescent="0.15">
      <c r="A40" s="477" t="s">
        <v>507</v>
      </c>
      <c r="B40" s="488" cm="1">
        <f t="array" aca="1" ref="B40" ca="1">SUMPRODUCT(B$54:B$113,TRANSPOSE(SAP_Speadsheet!$E$30:$BL$30))</f>
        <v>0</v>
      </c>
      <c r="C40" s="488" cm="1">
        <f t="array" aca="1" ref="C40" ca="1">SUMPRODUCT(C$54:C$113,TRANSPOSE(SAP_Speadsheet!$E$30:$BL$30))</f>
        <v>0</v>
      </c>
      <c r="D40" s="488" cm="1">
        <f t="array" aca="1" ref="D40" ca="1">SUMPRODUCT(D$54:D$113,TRANSPOSE(SAP_Speadsheet!$E$30:$BL$30))</f>
        <v>0</v>
      </c>
      <c r="E40" s="488" cm="1">
        <f t="array" aca="1" ref="E40" ca="1">SUMPRODUCT(E$54:E$113,TRANSPOSE(SAP_Speadsheet!$E$30:$BL$30))</f>
        <v>0</v>
      </c>
      <c r="F40" s="488" cm="1">
        <f t="array" aca="1" ref="F40" ca="1">SUMPRODUCT(F$54:F$113,TRANSPOSE(SAP_Speadsheet!$E$30:$BL$30))</f>
        <v>0</v>
      </c>
      <c r="G40" s="488" cm="1">
        <f t="array" aca="1" ref="G40" ca="1">SUMPRODUCT(G$54:G$113,TRANSPOSE(SAP_Speadsheet!$E$30:$BL$30))</f>
        <v>0</v>
      </c>
      <c r="H40" s="488" cm="1">
        <f t="array" aca="1" ref="H40" ca="1">SUMPRODUCT(H$54:H$113,TRANSPOSE(SAP_Speadsheet!$E$30:$BL$30))</f>
        <v>0</v>
      </c>
      <c r="I40" s="488" cm="1">
        <f t="array" aca="1" ref="I40" ca="1">SUMPRODUCT(I$54:I$113,TRANSPOSE(SAP_Speadsheet!$E$30:$BL$30))</f>
        <v>0</v>
      </c>
      <c r="J40" s="488" cm="1">
        <f t="array" aca="1" ref="J40" ca="1">SUMPRODUCT(J$54:J$113,TRANSPOSE(SAP_Speadsheet!$E$30:$BL$30))</f>
        <v>0</v>
      </c>
      <c r="K40" s="488" cm="1">
        <f t="array" aca="1" ref="K40" ca="1">SUMPRODUCT(K$54:K$113,TRANSPOSE(SAP_Speadsheet!$E$30:$BL$30))</f>
        <v>0</v>
      </c>
      <c r="L40" s="488" cm="1">
        <f t="array" aca="1" ref="L40" ca="1">SUMPRODUCT(L$54:L$113,TRANSPOSE(SAP_Speadsheet!$E$30:$BL$30))</f>
        <v>0</v>
      </c>
      <c r="M40" s="488" cm="1">
        <f t="array" aca="1" ref="M40" ca="1">SUMPRODUCT(M$54:M$113,TRANSPOSE(SAP_Speadsheet!$E$30:$BL$30))</f>
        <v>0</v>
      </c>
      <c r="N40" s="488" cm="1">
        <f t="array" aca="1" ref="N40" ca="1">SUMPRODUCT(N$54:N$113,TRANSPOSE(SAP_Speadsheet!$E$30:$BL$30))</f>
        <v>0</v>
      </c>
      <c r="O40" s="488" cm="1">
        <f t="array" aca="1" ref="O40" ca="1">SUMPRODUCT(O$54:O$113,TRANSPOSE(SAP_Speadsheet!$E$30:$BL$30))</f>
        <v>0</v>
      </c>
      <c r="P40" s="488" cm="1">
        <f t="array" aca="1" ref="P40" ca="1">SUMPRODUCT(P$54:P$113,TRANSPOSE(SAP_Speadsheet!$E$30:$BL$30))</f>
        <v>0</v>
      </c>
      <c r="Q40" s="488" cm="1">
        <f t="array" aca="1" ref="Q40" ca="1">SUMPRODUCT(Q$54:Q$113,TRANSPOSE(SAP_Speadsheet!$E$30:$BL$30))</f>
        <v>0</v>
      </c>
      <c r="R40" s="488" cm="1">
        <f t="array" aca="1" ref="R40" ca="1">SUMPRODUCT(R$54:R$113,TRANSPOSE(SAP_Speadsheet!$E$30:$BL$30))</f>
        <v>0</v>
      </c>
      <c r="S40" s="488" cm="1">
        <f t="array" aca="1" ref="S40" ca="1">SUMPRODUCT(S$54:S$113,TRANSPOSE(SAP_Speadsheet!$E$30:$BL$30))</f>
        <v>0</v>
      </c>
      <c r="T40" s="488" cm="1">
        <f t="array" aca="1" ref="T40" ca="1">SUMPRODUCT(T$54:T$113,TRANSPOSE(SAP_Speadsheet!$E$30:$BL$30))</f>
        <v>0</v>
      </c>
      <c r="U40" s="488" cm="1">
        <f t="array" aca="1" ref="U40" ca="1">SUMPRODUCT(U$54:U$113,TRANSPOSE(SAP_Speadsheet!$E$30:$BL$30))</f>
        <v>0</v>
      </c>
      <c r="V40" s="488" cm="1">
        <f t="array" aca="1" ref="V40" ca="1">SUMPRODUCT(V$54:V$113,TRANSPOSE(SAP_Speadsheet!$E$30:$BL$30))</f>
        <v>0</v>
      </c>
      <c r="W40" s="488" cm="1">
        <f t="array" aca="1" ref="W40" ca="1">SUMPRODUCT(W$54:W$113,TRANSPOSE(SAP_Speadsheet!$E$30:$BL$30))</f>
        <v>0</v>
      </c>
      <c r="X40" s="488" cm="1">
        <f t="array" aca="1" ref="X40" ca="1">SUMPRODUCT(X$54:X$113,TRANSPOSE(SAP_Speadsheet!$E$30:$BL$30))</f>
        <v>0</v>
      </c>
      <c r="Y40" s="488" cm="1">
        <f t="array" aca="1" ref="Y40" ca="1">SUMPRODUCT(Y$54:Y$113,TRANSPOSE(SAP_Speadsheet!$E$30:$BL$30))</f>
        <v>0</v>
      </c>
      <c r="Z40" s="488" cm="1">
        <f t="array" aca="1" ref="Z40" ca="1">SUMPRODUCT(Z$54:Z$113,TRANSPOSE(SAP_Speadsheet!$E$30:$BL$30))</f>
        <v>0</v>
      </c>
      <c r="AA40" s="488" cm="1">
        <f t="array" aca="1" ref="AA40" ca="1">SUMPRODUCT(AA$54:AA$113,TRANSPOSE(SAP_Speadsheet!$E$30:$BL$30))</f>
        <v>0</v>
      </c>
      <c r="AB40" s="488" cm="1">
        <f t="array" aca="1" ref="AB40" ca="1">SUMPRODUCT(AB$54:AB$113,TRANSPOSE(SAP_Speadsheet!$E$30:$BL$30))</f>
        <v>0</v>
      </c>
      <c r="AC40" s="488" cm="1">
        <f t="array" aca="1" ref="AC40" ca="1">SUMPRODUCT(AC$54:AC$113,TRANSPOSE(SAP_Speadsheet!$E$30:$BL$30))</f>
        <v>0</v>
      </c>
      <c r="AD40" s="488" cm="1">
        <f t="array" aca="1" ref="AD40" ca="1">SUMPRODUCT(AD$54:AD$113,TRANSPOSE(SAP_Speadsheet!$E$30:$BL$30))</f>
        <v>0</v>
      </c>
      <c r="AE40" s="488" cm="1">
        <f t="array" aca="1" ref="AE40" ca="1">SUMPRODUCT(AE$54:AE$113,TRANSPOSE(SAP_Speadsheet!$E$30:$BL$30))</f>
        <v>0</v>
      </c>
      <c r="AF40" s="488" cm="1">
        <f t="array" aca="1" ref="AF40" ca="1">SUMPRODUCT(AF$54:AF$113,TRANSPOSE(SAP_Speadsheet!$E$30:$BL$30))</f>
        <v>0</v>
      </c>
      <c r="AG40" s="488" cm="1">
        <f t="array" aca="1" ref="AG40" ca="1">SUMPRODUCT(AG$54:AG$113,TRANSPOSE(SAP_Speadsheet!$E$30:$BL$30))</f>
        <v>0</v>
      </c>
      <c r="AH40" s="488" cm="1">
        <f t="array" aca="1" ref="AH40" ca="1">SUMPRODUCT(AH$54:AH$113,TRANSPOSE(SAP_Speadsheet!$E$30:$BL$30))</f>
        <v>0</v>
      </c>
      <c r="AI40" s="488" cm="1">
        <f t="array" aca="1" ref="AI40" ca="1">SUMPRODUCT(AI$54:AI$113,TRANSPOSE(SAP_Speadsheet!$E$30:$BL$30))</f>
        <v>0</v>
      </c>
      <c r="AJ40" s="488" cm="1">
        <f t="array" aca="1" ref="AJ40" ca="1">SUMPRODUCT(AJ$54:AJ$113,TRANSPOSE(SAP_Speadsheet!$E$30:$BL$30))</f>
        <v>0</v>
      </c>
      <c r="AK40" s="488" cm="1">
        <f t="array" aca="1" ref="AK40" ca="1">SUMPRODUCT(AK$54:AK$113,TRANSPOSE(SAP_Speadsheet!$E$30:$BL$30))</f>
        <v>0</v>
      </c>
      <c r="AL40" s="488" cm="1">
        <f t="array" aca="1" ref="AL40" ca="1">SUMPRODUCT(AL$54:AL$113,TRANSPOSE(SAP_Speadsheet!$E$30:$BL$30))</f>
        <v>0</v>
      </c>
      <c r="AM40" s="488" cm="1">
        <f t="array" aca="1" ref="AM40" ca="1">SUMPRODUCT(AM$54:AM$113,TRANSPOSE(SAP_Speadsheet!$E$30:$BL$30))</f>
        <v>0</v>
      </c>
      <c r="AN40" s="488" cm="1">
        <f t="array" aca="1" ref="AN40" ca="1">SUMPRODUCT(AN$54:AN$113,TRANSPOSE(SAP_Speadsheet!$E$30:$BL$30))</f>
        <v>0</v>
      </c>
      <c r="AO40" s="488" cm="1">
        <f t="array" aca="1" ref="AO40" ca="1">SUMPRODUCT(AO$54:AO$113,TRANSPOSE(SAP_Speadsheet!$E$30:$BL$30))</f>
        <v>0</v>
      </c>
      <c r="AP40" s="488" cm="1">
        <f t="array" aca="1" ref="AP40" ca="1">SUMPRODUCT(AP$54:AP$113,TRANSPOSE(SAP_Speadsheet!$E$30:$BL$30))</f>
        <v>0</v>
      </c>
      <c r="AQ40" s="488" cm="1">
        <f t="array" aca="1" ref="AQ40" ca="1">SUMPRODUCT(AQ$54:AQ$113,TRANSPOSE(SAP_Speadsheet!$E$30:$BL$30))</f>
        <v>0</v>
      </c>
      <c r="AR40" s="488" cm="1">
        <f t="array" aca="1" ref="AR40" ca="1">SUMPRODUCT(AR$54:AR$113,TRANSPOSE(SAP_Speadsheet!$E$30:$BL$30))</f>
        <v>0</v>
      </c>
      <c r="AS40" s="488" cm="1">
        <f t="array" aca="1" ref="AS40" ca="1">SUMPRODUCT(AS$54:AS$113,TRANSPOSE(SAP_Speadsheet!$E$30:$BL$30))</f>
        <v>0</v>
      </c>
      <c r="AT40" s="488" cm="1">
        <f t="array" aca="1" ref="AT40" ca="1">SUMPRODUCT(AT$54:AT$113,TRANSPOSE(SAP_Speadsheet!$E$30:$BL$30))</f>
        <v>0</v>
      </c>
      <c r="AU40" s="488" cm="1">
        <f t="array" aca="1" ref="AU40" ca="1">SUMPRODUCT(AU$54:AU$113,TRANSPOSE(SAP_Speadsheet!$E$30:$BL$30))</f>
        <v>0</v>
      </c>
      <c r="AV40" s="488" cm="1">
        <f t="array" aca="1" ref="AV40" ca="1">SUMPRODUCT(AV$54:AV$113,TRANSPOSE(SAP_Speadsheet!$E$30:$BL$30))</f>
        <v>0</v>
      </c>
      <c r="AW40" s="488" cm="1">
        <f t="array" aca="1" ref="AW40" ca="1">SUMPRODUCT(AW$54:AW$113,TRANSPOSE(SAP_Speadsheet!$E$30:$BL$30))</f>
        <v>0</v>
      </c>
      <c r="AX40" s="488" cm="1">
        <f t="array" aca="1" ref="AX40" ca="1">SUMPRODUCT(AX$54:AX$113,TRANSPOSE(SAP_Speadsheet!$E$30:$BL$30))</f>
        <v>0</v>
      </c>
      <c r="AY40" s="488" cm="1">
        <f t="array" aca="1" ref="AY40" ca="1">SUMPRODUCT(AY$54:AY$113,TRANSPOSE(SAP_Speadsheet!$E$30:$BL$30))</f>
        <v>0</v>
      </c>
      <c r="AZ40" s="488" cm="1">
        <f t="array" aca="1" ref="AZ40" ca="1">SUMPRODUCT(AZ$54:AZ$113,TRANSPOSE(SAP_Speadsheet!$E$30:$BL$30))</f>
        <v>0</v>
      </c>
      <c r="BA40" s="488" cm="1">
        <f t="array" aca="1" ref="BA40" ca="1">SUMPRODUCT(BA$54:BA$113,TRANSPOSE(SAP_Speadsheet!$E$30:$BL$30))</f>
        <v>0</v>
      </c>
      <c r="BB40" s="488" cm="1">
        <f t="array" aca="1" ref="BB40" ca="1">SUMPRODUCT(BB$54:BB$113,TRANSPOSE(SAP_Speadsheet!$E$30:$BL$30))</f>
        <v>0</v>
      </c>
      <c r="BC40" s="488" cm="1">
        <f t="array" aca="1" ref="BC40" ca="1">SUMPRODUCT(BC$54:BC$113,TRANSPOSE(SAP_Speadsheet!$E$30:$BL$30))</f>
        <v>0</v>
      </c>
      <c r="BD40" s="488" cm="1">
        <f t="array" aca="1" ref="BD40" ca="1">SUMPRODUCT(BD$54:BD$113,TRANSPOSE(SAP_Speadsheet!$E$30:$BL$30))</f>
        <v>0</v>
      </c>
      <c r="BE40" s="488" cm="1">
        <f t="array" aca="1" ref="BE40" ca="1">SUMPRODUCT(BE$54:BE$113,TRANSPOSE(SAP_Speadsheet!$E$30:$BL$30))</f>
        <v>0</v>
      </c>
      <c r="BF40" s="488" cm="1">
        <f t="array" aca="1" ref="BF40" ca="1">SUMPRODUCT(BF$54:BF$113,TRANSPOSE(SAP_Speadsheet!$E$30:$BL$30))</f>
        <v>0</v>
      </c>
      <c r="BG40" s="488" cm="1">
        <f t="array" aca="1" ref="BG40" ca="1">SUMPRODUCT(BG$54:BG$113,TRANSPOSE(SAP_Speadsheet!$E$30:$BL$30))</f>
        <v>0</v>
      </c>
      <c r="BH40" s="488" cm="1">
        <f t="array" aca="1" ref="BH40" ca="1">SUMPRODUCT(BH$54:BH$113,TRANSPOSE(SAP_Speadsheet!$E$30:$BL$30))</f>
        <v>0</v>
      </c>
      <c r="BI40" s="488" cm="1">
        <f t="array" aca="1" ref="BI40" ca="1">SUMPRODUCT(BI$54:BI$113,TRANSPOSE(SAP_Speadsheet!$E$30:$BL$30))</f>
        <v>0</v>
      </c>
    </row>
    <row r="41" spans="1:61" x14ac:dyDescent="0.15">
      <c r="A41" s="477" t="s">
        <v>508</v>
      </c>
      <c r="B41" s="488" cm="1">
        <f t="array" aca="1" ref="B41" ca="1">SUMPRODUCT(B$54:B$113,TRANSPOSE(SAP_Speadsheet!$E$31:$BL$31))</f>
        <v>0</v>
      </c>
      <c r="C41" s="488" cm="1">
        <f t="array" aca="1" ref="C41" ca="1">SUMPRODUCT(C$54:C$113,TRANSPOSE(SAP_Speadsheet!$E$31:$BL$31))</f>
        <v>0</v>
      </c>
      <c r="D41" s="488" cm="1">
        <f t="array" aca="1" ref="D41" ca="1">SUMPRODUCT(D$54:D$113,TRANSPOSE(SAP_Speadsheet!$E$31:$BL$31))</f>
        <v>0</v>
      </c>
      <c r="E41" s="488" cm="1">
        <f t="array" aca="1" ref="E41" ca="1">SUMPRODUCT(E$54:E$113,TRANSPOSE(SAP_Speadsheet!$E$31:$BL$31))</f>
        <v>0</v>
      </c>
      <c r="F41" s="488" cm="1">
        <f t="array" aca="1" ref="F41" ca="1">SUMPRODUCT(F$54:F$113,TRANSPOSE(SAP_Speadsheet!$E$31:$BL$31))</f>
        <v>0</v>
      </c>
      <c r="G41" s="488" cm="1">
        <f t="array" aca="1" ref="G41" ca="1">SUMPRODUCT(G$54:G$113,TRANSPOSE(SAP_Speadsheet!$E$31:$BL$31))</f>
        <v>0</v>
      </c>
      <c r="H41" s="488" cm="1">
        <f t="array" aca="1" ref="H41" ca="1">SUMPRODUCT(H$54:H$113,TRANSPOSE(SAP_Speadsheet!$E$31:$BL$31))</f>
        <v>0</v>
      </c>
      <c r="I41" s="488" cm="1">
        <f t="array" aca="1" ref="I41" ca="1">SUMPRODUCT(I$54:I$113,TRANSPOSE(SAP_Speadsheet!$E$31:$BL$31))</f>
        <v>0</v>
      </c>
      <c r="J41" s="488" cm="1">
        <f t="array" aca="1" ref="J41" ca="1">SUMPRODUCT(J$54:J$113,TRANSPOSE(SAP_Speadsheet!$E$31:$BL$31))</f>
        <v>0</v>
      </c>
      <c r="K41" s="488" cm="1">
        <f t="array" aca="1" ref="K41" ca="1">SUMPRODUCT(K$54:K$113,TRANSPOSE(SAP_Speadsheet!$E$31:$BL$31))</f>
        <v>0</v>
      </c>
      <c r="L41" s="488" cm="1">
        <f t="array" aca="1" ref="L41" ca="1">SUMPRODUCT(L$54:L$113,TRANSPOSE(SAP_Speadsheet!$E$31:$BL$31))</f>
        <v>0</v>
      </c>
      <c r="M41" s="488" cm="1">
        <f t="array" aca="1" ref="M41" ca="1">SUMPRODUCT(M$54:M$113,TRANSPOSE(SAP_Speadsheet!$E$31:$BL$31))</f>
        <v>0</v>
      </c>
      <c r="N41" s="488" cm="1">
        <f t="array" aca="1" ref="N41" ca="1">SUMPRODUCT(N$54:N$113,TRANSPOSE(SAP_Speadsheet!$E$31:$BL$31))</f>
        <v>0</v>
      </c>
      <c r="O41" s="488" cm="1">
        <f t="array" aca="1" ref="O41" ca="1">SUMPRODUCT(O$54:O$113,TRANSPOSE(SAP_Speadsheet!$E$31:$BL$31))</f>
        <v>0</v>
      </c>
      <c r="P41" s="488" cm="1">
        <f t="array" aca="1" ref="P41" ca="1">SUMPRODUCT(P$54:P$113,TRANSPOSE(SAP_Speadsheet!$E$31:$BL$31))</f>
        <v>0</v>
      </c>
      <c r="Q41" s="488" cm="1">
        <f t="array" aca="1" ref="Q41" ca="1">SUMPRODUCT(Q$54:Q$113,TRANSPOSE(SAP_Speadsheet!$E$31:$BL$31))</f>
        <v>0</v>
      </c>
      <c r="R41" s="488" cm="1">
        <f t="array" aca="1" ref="R41" ca="1">SUMPRODUCT(R$54:R$113,TRANSPOSE(SAP_Speadsheet!$E$31:$BL$31))</f>
        <v>0</v>
      </c>
      <c r="S41" s="488" cm="1">
        <f t="array" aca="1" ref="S41" ca="1">SUMPRODUCT(S$54:S$113,TRANSPOSE(SAP_Speadsheet!$E$31:$BL$31))</f>
        <v>0</v>
      </c>
      <c r="T41" s="488" cm="1">
        <f t="array" aca="1" ref="T41" ca="1">SUMPRODUCT(T$54:T$113,TRANSPOSE(SAP_Speadsheet!$E$31:$BL$31))</f>
        <v>0</v>
      </c>
      <c r="U41" s="488" cm="1">
        <f t="array" aca="1" ref="U41" ca="1">SUMPRODUCT(U$54:U$113,TRANSPOSE(SAP_Speadsheet!$E$31:$BL$31))</f>
        <v>0</v>
      </c>
      <c r="V41" s="488" cm="1">
        <f t="array" aca="1" ref="V41" ca="1">SUMPRODUCT(V$54:V$113,TRANSPOSE(SAP_Speadsheet!$E$31:$BL$31))</f>
        <v>0</v>
      </c>
      <c r="W41" s="488" cm="1">
        <f t="array" aca="1" ref="W41" ca="1">SUMPRODUCT(W$54:W$113,TRANSPOSE(SAP_Speadsheet!$E$31:$BL$31))</f>
        <v>0</v>
      </c>
      <c r="X41" s="488" cm="1">
        <f t="array" aca="1" ref="X41" ca="1">SUMPRODUCT(X$54:X$113,TRANSPOSE(SAP_Speadsheet!$E$31:$BL$31))</f>
        <v>0</v>
      </c>
      <c r="Y41" s="488" cm="1">
        <f t="array" aca="1" ref="Y41" ca="1">SUMPRODUCT(Y$54:Y$113,TRANSPOSE(SAP_Speadsheet!$E$31:$BL$31))</f>
        <v>0</v>
      </c>
      <c r="Z41" s="488" cm="1">
        <f t="array" aca="1" ref="Z41" ca="1">SUMPRODUCT(Z$54:Z$113,TRANSPOSE(SAP_Speadsheet!$E$31:$BL$31))</f>
        <v>0</v>
      </c>
      <c r="AA41" s="488" cm="1">
        <f t="array" aca="1" ref="AA41" ca="1">SUMPRODUCT(AA$54:AA$113,TRANSPOSE(SAP_Speadsheet!$E$31:$BL$31))</f>
        <v>0</v>
      </c>
      <c r="AB41" s="488" cm="1">
        <f t="array" aca="1" ref="AB41" ca="1">SUMPRODUCT(AB$54:AB$113,TRANSPOSE(SAP_Speadsheet!$E$31:$BL$31))</f>
        <v>0</v>
      </c>
      <c r="AC41" s="488" cm="1">
        <f t="array" aca="1" ref="AC41" ca="1">SUMPRODUCT(AC$54:AC$113,TRANSPOSE(SAP_Speadsheet!$E$31:$BL$31))</f>
        <v>0</v>
      </c>
      <c r="AD41" s="488" cm="1">
        <f t="array" aca="1" ref="AD41" ca="1">SUMPRODUCT(AD$54:AD$113,TRANSPOSE(SAP_Speadsheet!$E$31:$BL$31))</f>
        <v>0</v>
      </c>
      <c r="AE41" s="488" cm="1">
        <f t="array" aca="1" ref="AE41" ca="1">SUMPRODUCT(AE$54:AE$113,TRANSPOSE(SAP_Speadsheet!$E$31:$BL$31))</f>
        <v>0</v>
      </c>
      <c r="AF41" s="488" cm="1">
        <f t="array" aca="1" ref="AF41" ca="1">SUMPRODUCT(AF$54:AF$113,TRANSPOSE(SAP_Speadsheet!$E$31:$BL$31))</f>
        <v>0</v>
      </c>
      <c r="AG41" s="488" cm="1">
        <f t="array" aca="1" ref="AG41" ca="1">SUMPRODUCT(AG$54:AG$113,TRANSPOSE(SAP_Speadsheet!$E$31:$BL$31))</f>
        <v>0</v>
      </c>
      <c r="AH41" s="488" cm="1">
        <f t="array" aca="1" ref="AH41" ca="1">SUMPRODUCT(AH$54:AH$113,TRANSPOSE(SAP_Speadsheet!$E$31:$BL$31))</f>
        <v>0</v>
      </c>
      <c r="AI41" s="488" cm="1">
        <f t="array" aca="1" ref="AI41" ca="1">SUMPRODUCT(AI$54:AI$113,TRANSPOSE(SAP_Speadsheet!$E$31:$BL$31))</f>
        <v>0</v>
      </c>
      <c r="AJ41" s="488" cm="1">
        <f t="array" aca="1" ref="AJ41" ca="1">SUMPRODUCT(AJ$54:AJ$113,TRANSPOSE(SAP_Speadsheet!$E$31:$BL$31))</f>
        <v>0</v>
      </c>
      <c r="AK41" s="488" cm="1">
        <f t="array" aca="1" ref="AK41" ca="1">SUMPRODUCT(AK$54:AK$113,TRANSPOSE(SAP_Speadsheet!$E$31:$BL$31))</f>
        <v>0</v>
      </c>
      <c r="AL41" s="488" cm="1">
        <f t="array" aca="1" ref="AL41" ca="1">SUMPRODUCT(AL$54:AL$113,TRANSPOSE(SAP_Speadsheet!$E$31:$BL$31))</f>
        <v>0</v>
      </c>
      <c r="AM41" s="488" cm="1">
        <f t="array" aca="1" ref="AM41" ca="1">SUMPRODUCT(AM$54:AM$113,TRANSPOSE(SAP_Speadsheet!$E$31:$BL$31))</f>
        <v>0</v>
      </c>
      <c r="AN41" s="488" cm="1">
        <f t="array" aca="1" ref="AN41" ca="1">SUMPRODUCT(AN$54:AN$113,TRANSPOSE(SAP_Speadsheet!$E$31:$BL$31))</f>
        <v>0</v>
      </c>
      <c r="AO41" s="488" cm="1">
        <f t="array" aca="1" ref="AO41" ca="1">SUMPRODUCT(AO$54:AO$113,TRANSPOSE(SAP_Speadsheet!$E$31:$BL$31))</f>
        <v>0</v>
      </c>
      <c r="AP41" s="488" cm="1">
        <f t="array" aca="1" ref="AP41" ca="1">SUMPRODUCT(AP$54:AP$113,TRANSPOSE(SAP_Speadsheet!$E$31:$BL$31))</f>
        <v>0</v>
      </c>
      <c r="AQ41" s="488" cm="1">
        <f t="array" aca="1" ref="AQ41" ca="1">SUMPRODUCT(AQ$54:AQ$113,TRANSPOSE(SAP_Speadsheet!$E$31:$BL$31))</f>
        <v>0</v>
      </c>
      <c r="AR41" s="488" cm="1">
        <f t="array" aca="1" ref="AR41" ca="1">SUMPRODUCT(AR$54:AR$113,TRANSPOSE(SAP_Speadsheet!$E$31:$BL$31))</f>
        <v>0</v>
      </c>
      <c r="AS41" s="488" cm="1">
        <f t="array" aca="1" ref="AS41" ca="1">SUMPRODUCT(AS$54:AS$113,TRANSPOSE(SAP_Speadsheet!$E$31:$BL$31))</f>
        <v>0</v>
      </c>
      <c r="AT41" s="488" cm="1">
        <f t="array" aca="1" ref="AT41" ca="1">SUMPRODUCT(AT$54:AT$113,TRANSPOSE(SAP_Speadsheet!$E$31:$BL$31))</f>
        <v>0</v>
      </c>
      <c r="AU41" s="488" cm="1">
        <f t="array" aca="1" ref="AU41" ca="1">SUMPRODUCT(AU$54:AU$113,TRANSPOSE(SAP_Speadsheet!$E$31:$BL$31))</f>
        <v>0</v>
      </c>
      <c r="AV41" s="488" cm="1">
        <f t="array" aca="1" ref="AV41" ca="1">SUMPRODUCT(AV$54:AV$113,TRANSPOSE(SAP_Speadsheet!$E$31:$BL$31))</f>
        <v>0</v>
      </c>
      <c r="AW41" s="488" cm="1">
        <f t="array" aca="1" ref="AW41" ca="1">SUMPRODUCT(AW$54:AW$113,TRANSPOSE(SAP_Speadsheet!$E$31:$BL$31))</f>
        <v>0</v>
      </c>
      <c r="AX41" s="488" cm="1">
        <f t="array" aca="1" ref="AX41" ca="1">SUMPRODUCT(AX$54:AX$113,TRANSPOSE(SAP_Speadsheet!$E$31:$BL$31))</f>
        <v>0</v>
      </c>
      <c r="AY41" s="488" cm="1">
        <f t="array" aca="1" ref="AY41" ca="1">SUMPRODUCT(AY$54:AY$113,TRANSPOSE(SAP_Speadsheet!$E$31:$BL$31))</f>
        <v>0</v>
      </c>
      <c r="AZ41" s="488" cm="1">
        <f t="array" aca="1" ref="AZ41" ca="1">SUMPRODUCT(AZ$54:AZ$113,TRANSPOSE(SAP_Speadsheet!$E$31:$BL$31))</f>
        <v>0</v>
      </c>
      <c r="BA41" s="488" cm="1">
        <f t="array" aca="1" ref="BA41" ca="1">SUMPRODUCT(BA$54:BA$113,TRANSPOSE(SAP_Speadsheet!$E$31:$BL$31))</f>
        <v>0</v>
      </c>
      <c r="BB41" s="488" cm="1">
        <f t="array" aca="1" ref="BB41" ca="1">SUMPRODUCT(BB$54:BB$113,TRANSPOSE(SAP_Speadsheet!$E$31:$BL$31))</f>
        <v>0</v>
      </c>
      <c r="BC41" s="488" cm="1">
        <f t="array" aca="1" ref="BC41" ca="1">SUMPRODUCT(BC$54:BC$113,TRANSPOSE(SAP_Speadsheet!$E$31:$BL$31))</f>
        <v>0</v>
      </c>
      <c r="BD41" s="488" cm="1">
        <f t="array" aca="1" ref="BD41" ca="1">SUMPRODUCT(BD$54:BD$113,TRANSPOSE(SAP_Speadsheet!$E$31:$BL$31))</f>
        <v>0</v>
      </c>
      <c r="BE41" s="488" cm="1">
        <f t="array" aca="1" ref="BE41" ca="1">SUMPRODUCT(BE$54:BE$113,TRANSPOSE(SAP_Speadsheet!$E$31:$BL$31))</f>
        <v>0</v>
      </c>
      <c r="BF41" s="488" cm="1">
        <f t="array" aca="1" ref="BF41" ca="1">SUMPRODUCT(BF$54:BF$113,TRANSPOSE(SAP_Speadsheet!$E$31:$BL$31))</f>
        <v>0</v>
      </c>
      <c r="BG41" s="488" cm="1">
        <f t="array" aca="1" ref="BG41" ca="1">SUMPRODUCT(BG$54:BG$113,TRANSPOSE(SAP_Speadsheet!$E$31:$BL$31))</f>
        <v>0</v>
      </c>
      <c r="BH41" s="488" cm="1">
        <f t="array" aca="1" ref="BH41" ca="1">SUMPRODUCT(BH$54:BH$113,TRANSPOSE(SAP_Speadsheet!$E$31:$BL$31))</f>
        <v>0</v>
      </c>
      <c r="BI41" s="488" cm="1">
        <f t="array" aca="1" ref="BI41" ca="1">SUMPRODUCT(BI$54:BI$113,TRANSPOSE(SAP_Speadsheet!$E$31:$BL$31))</f>
        <v>0</v>
      </c>
    </row>
    <row r="42" spans="1:61" x14ac:dyDescent="0.15">
      <c r="A42" s="477" t="s">
        <v>510</v>
      </c>
      <c r="B42" s="488" cm="1">
        <f t="array" aca="1" ref="B42" ca="1">SUMPRODUCT(B$54:B$113,TRANSPOSE(SAP_Speadsheet!$E$32:$BL$32))</f>
        <v>0</v>
      </c>
      <c r="C42" s="488" cm="1">
        <f t="array" aca="1" ref="C42" ca="1">SUMPRODUCT(C$54:C$113,TRANSPOSE(SAP_Speadsheet!$E$32:$BL$32))</f>
        <v>0</v>
      </c>
      <c r="D42" s="488" cm="1">
        <f t="array" aca="1" ref="D42" ca="1">SUMPRODUCT(D$54:D$113,TRANSPOSE(SAP_Speadsheet!$E$32:$BL$32))</f>
        <v>0</v>
      </c>
      <c r="E42" s="488" cm="1">
        <f t="array" aca="1" ref="E42" ca="1">SUMPRODUCT(E$54:E$113,TRANSPOSE(SAP_Speadsheet!$E$32:$BL$32))</f>
        <v>0</v>
      </c>
      <c r="F42" s="488" cm="1">
        <f t="array" aca="1" ref="F42" ca="1">SUMPRODUCT(F$54:F$113,TRANSPOSE(SAP_Speadsheet!$E$32:$BL$32))</f>
        <v>0</v>
      </c>
      <c r="G42" s="488" cm="1">
        <f t="array" aca="1" ref="G42" ca="1">SUMPRODUCT(G$54:G$113,TRANSPOSE(SAP_Speadsheet!$E$32:$BL$32))</f>
        <v>0</v>
      </c>
      <c r="H42" s="488" cm="1">
        <f t="array" aca="1" ref="H42" ca="1">SUMPRODUCT(H$54:H$113,TRANSPOSE(SAP_Speadsheet!$E$32:$BL$32))</f>
        <v>0</v>
      </c>
      <c r="I42" s="488" cm="1">
        <f t="array" aca="1" ref="I42" ca="1">SUMPRODUCT(I$54:I$113,TRANSPOSE(SAP_Speadsheet!$E$32:$BL$32))</f>
        <v>0</v>
      </c>
      <c r="J42" s="488" cm="1">
        <f t="array" aca="1" ref="J42" ca="1">SUMPRODUCT(J$54:J$113,TRANSPOSE(SAP_Speadsheet!$E$32:$BL$32))</f>
        <v>0</v>
      </c>
      <c r="K42" s="488" cm="1">
        <f t="array" aca="1" ref="K42" ca="1">SUMPRODUCT(K$54:K$113,TRANSPOSE(SAP_Speadsheet!$E$32:$BL$32))</f>
        <v>0</v>
      </c>
      <c r="L42" s="488" cm="1">
        <f t="array" aca="1" ref="L42" ca="1">SUMPRODUCT(L$54:L$113,TRANSPOSE(SAP_Speadsheet!$E$32:$BL$32))</f>
        <v>0</v>
      </c>
      <c r="M42" s="488" cm="1">
        <f t="array" aca="1" ref="M42" ca="1">SUMPRODUCT(M$54:M$113,TRANSPOSE(SAP_Speadsheet!$E$32:$BL$32))</f>
        <v>0</v>
      </c>
      <c r="N42" s="488" cm="1">
        <f t="array" aca="1" ref="N42" ca="1">SUMPRODUCT(N$54:N$113,TRANSPOSE(SAP_Speadsheet!$E$32:$BL$32))</f>
        <v>0</v>
      </c>
      <c r="O42" s="488" cm="1">
        <f t="array" aca="1" ref="O42" ca="1">SUMPRODUCT(O$54:O$113,TRANSPOSE(SAP_Speadsheet!$E$32:$BL$32))</f>
        <v>0</v>
      </c>
      <c r="P42" s="488" cm="1">
        <f t="array" aca="1" ref="P42" ca="1">SUMPRODUCT(P$54:P$113,TRANSPOSE(SAP_Speadsheet!$E$32:$BL$32))</f>
        <v>0</v>
      </c>
      <c r="Q42" s="488" cm="1">
        <f t="array" aca="1" ref="Q42" ca="1">SUMPRODUCT(Q$54:Q$113,TRANSPOSE(SAP_Speadsheet!$E$32:$BL$32))</f>
        <v>0</v>
      </c>
      <c r="R42" s="488" cm="1">
        <f t="array" aca="1" ref="R42" ca="1">SUMPRODUCT(R$54:R$113,TRANSPOSE(SAP_Speadsheet!$E$32:$BL$32))</f>
        <v>0</v>
      </c>
      <c r="S42" s="488" cm="1">
        <f t="array" aca="1" ref="S42" ca="1">SUMPRODUCT(S$54:S$113,TRANSPOSE(SAP_Speadsheet!$E$32:$BL$32))</f>
        <v>0</v>
      </c>
      <c r="T42" s="488" cm="1">
        <f t="array" aca="1" ref="T42" ca="1">SUMPRODUCT(T$54:T$113,TRANSPOSE(SAP_Speadsheet!$E$32:$BL$32))</f>
        <v>0</v>
      </c>
      <c r="U42" s="488" cm="1">
        <f t="array" aca="1" ref="U42" ca="1">SUMPRODUCT(U$54:U$113,TRANSPOSE(SAP_Speadsheet!$E$32:$BL$32))</f>
        <v>0</v>
      </c>
      <c r="V42" s="488" cm="1">
        <f t="array" aca="1" ref="V42" ca="1">SUMPRODUCT(V$54:V$113,TRANSPOSE(SAP_Speadsheet!$E$32:$BL$32))</f>
        <v>0</v>
      </c>
      <c r="W42" s="488" cm="1">
        <f t="array" aca="1" ref="W42" ca="1">SUMPRODUCT(W$54:W$113,TRANSPOSE(SAP_Speadsheet!$E$32:$BL$32))</f>
        <v>0</v>
      </c>
      <c r="X42" s="488" cm="1">
        <f t="array" aca="1" ref="X42" ca="1">SUMPRODUCT(X$54:X$113,TRANSPOSE(SAP_Speadsheet!$E$32:$BL$32))</f>
        <v>0</v>
      </c>
      <c r="Y42" s="488" cm="1">
        <f t="array" aca="1" ref="Y42" ca="1">SUMPRODUCT(Y$54:Y$113,TRANSPOSE(SAP_Speadsheet!$E$32:$BL$32))</f>
        <v>0</v>
      </c>
      <c r="Z42" s="488" cm="1">
        <f t="array" aca="1" ref="Z42" ca="1">SUMPRODUCT(Z$54:Z$113,TRANSPOSE(SAP_Speadsheet!$E$32:$BL$32))</f>
        <v>0</v>
      </c>
      <c r="AA42" s="488" cm="1">
        <f t="array" aca="1" ref="AA42" ca="1">SUMPRODUCT(AA$54:AA$113,TRANSPOSE(SAP_Speadsheet!$E$32:$BL$32))</f>
        <v>0</v>
      </c>
      <c r="AB42" s="488" cm="1">
        <f t="array" aca="1" ref="AB42" ca="1">SUMPRODUCT(AB$54:AB$113,TRANSPOSE(SAP_Speadsheet!$E$32:$BL$32))</f>
        <v>0</v>
      </c>
      <c r="AC42" s="488" cm="1">
        <f t="array" aca="1" ref="AC42" ca="1">SUMPRODUCT(AC$54:AC$113,TRANSPOSE(SAP_Speadsheet!$E$32:$BL$32))</f>
        <v>0</v>
      </c>
      <c r="AD42" s="488" cm="1">
        <f t="array" aca="1" ref="AD42" ca="1">SUMPRODUCT(AD$54:AD$113,TRANSPOSE(SAP_Speadsheet!$E$32:$BL$32))</f>
        <v>0</v>
      </c>
      <c r="AE42" s="488" cm="1">
        <f t="array" aca="1" ref="AE42" ca="1">SUMPRODUCT(AE$54:AE$113,TRANSPOSE(SAP_Speadsheet!$E$32:$BL$32))</f>
        <v>0</v>
      </c>
      <c r="AF42" s="488" cm="1">
        <f t="array" aca="1" ref="AF42" ca="1">SUMPRODUCT(AF$54:AF$113,TRANSPOSE(SAP_Speadsheet!$E$32:$BL$32))</f>
        <v>0</v>
      </c>
      <c r="AG42" s="488" cm="1">
        <f t="array" aca="1" ref="AG42" ca="1">SUMPRODUCT(AG$54:AG$113,TRANSPOSE(SAP_Speadsheet!$E$32:$BL$32))</f>
        <v>0</v>
      </c>
      <c r="AH42" s="488" cm="1">
        <f t="array" aca="1" ref="AH42" ca="1">SUMPRODUCT(AH$54:AH$113,TRANSPOSE(SAP_Speadsheet!$E$32:$BL$32))</f>
        <v>0</v>
      </c>
      <c r="AI42" s="488" cm="1">
        <f t="array" aca="1" ref="AI42" ca="1">SUMPRODUCT(AI$54:AI$113,TRANSPOSE(SAP_Speadsheet!$E$32:$BL$32))</f>
        <v>0</v>
      </c>
      <c r="AJ42" s="488" cm="1">
        <f t="array" aca="1" ref="AJ42" ca="1">SUMPRODUCT(AJ$54:AJ$113,TRANSPOSE(SAP_Speadsheet!$E$32:$BL$32))</f>
        <v>0</v>
      </c>
      <c r="AK42" s="488" cm="1">
        <f t="array" aca="1" ref="AK42" ca="1">SUMPRODUCT(AK$54:AK$113,TRANSPOSE(SAP_Speadsheet!$E$32:$BL$32))</f>
        <v>0</v>
      </c>
      <c r="AL42" s="488" cm="1">
        <f t="array" aca="1" ref="AL42" ca="1">SUMPRODUCT(AL$54:AL$113,TRANSPOSE(SAP_Speadsheet!$E$32:$BL$32))</f>
        <v>0</v>
      </c>
      <c r="AM42" s="488" cm="1">
        <f t="array" aca="1" ref="AM42" ca="1">SUMPRODUCT(AM$54:AM$113,TRANSPOSE(SAP_Speadsheet!$E$32:$BL$32))</f>
        <v>0</v>
      </c>
      <c r="AN42" s="488" cm="1">
        <f t="array" aca="1" ref="AN42" ca="1">SUMPRODUCT(AN$54:AN$113,TRANSPOSE(SAP_Speadsheet!$E$32:$BL$32))</f>
        <v>0</v>
      </c>
      <c r="AO42" s="488" cm="1">
        <f t="array" aca="1" ref="AO42" ca="1">SUMPRODUCT(AO$54:AO$113,TRANSPOSE(SAP_Speadsheet!$E$32:$BL$32))</f>
        <v>0</v>
      </c>
      <c r="AP42" s="488" cm="1">
        <f t="array" aca="1" ref="AP42" ca="1">SUMPRODUCT(AP$54:AP$113,TRANSPOSE(SAP_Speadsheet!$E$32:$BL$32))</f>
        <v>0</v>
      </c>
      <c r="AQ42" s="488" cm="1">
        <f t="array" aca="1" ref="AQ42" ca="1">SUMPRODUCT(AQ$54:AQ$113,TRANSPOSE(SAP_Speadsheet!$E$32:$BL$32))</f>
        <v>0</v>
      </c>
      <c r="AR42" s="488" cm="1">
        <f t="array" aca="1" ref="AR42" ca="1">SUMPRODUCT(AR$54:AR$113,TRANSPOSE(SAP_Speadsheet!$E$32:$BL$32))</f>
        <v>0</v>
      </c>
      <c r="AS42" s="488" cm="1">
        <f t="array" aca="1" ref="AS42" ca="1">SUMPRODUCT(AS$54:AS$113,TRANSPOSE(SAP_Speadsheet!$E$32:$BL$32))</f>
        <v>0</v>
      </c>
      <c r="AT42" s="488" cm="1">
        <f t="array" aca="1" ref="AT42" ca="1">SUMPRODUCT(AT$54:AT$113,TRANSPOSE(SAP_Speadsheet!$E$32:$BL$32))</f>
        <v>0</v>
      </c>
      <c r="AU42" s="488" cm="1">
        <f t="array" aca="1" ref="AU42" ca="1">SUMPRODUCT(AU$54:AU$113,TRANSPOSE(SAP_Speadsheet!$E$32:$BL$32))</f>
        <v>0</v>
      </c>
      <c r="AV42" s="488" cm="1">
        <f t="array" aca="1" ref="AV42" ca="1">SUMPRODUCT(AV$54:AV$113,TRANSPOSE(SAP_Speadsheet!$E$32:$BL$32))</f>
        <v>0</v>
      </c>
      <c r="AW42" s="488" cm="1">
        <f t="array" aca="1" ref="AW42" ca="1">SUMPRODUCT(AW$54:AW$113,TRANSPOSE(SAP_Speadsheet!$E$32:$BL$32))</f>
        <v>0</v>
      </c>
      <c r="AX42" s="488" cm="1">
        <f t="array" aca="1" ref="AX42" ca="1">SUMPRODUCT(AX$54:AX$113,TRANSPOSE(SAP_Speadsheet!$E$32:$BL$32))</f>
        <v>0</v>
      </c>
      <c r="AY42" s="488" cm="1">
        <f t="array" aca="1" ref="AY42" ca="1">SUMPRODUCT(AY$54:AY$113,TRANSPOSE(SAP_Speadsheet!$E$32:$BL$32))</f>
        <v>0</v>
      </c>
      <c r="AZ42" s="488" cm="1">
        <f t="array" aca="1" ref="AZ42" ca="1">SUMPRODUCT(AZ$54:AZ$113,TRANSPOSE(SAP_Speadsheet!$E$32:$BL$32))</f>
        <v>0</v>
      </c>
      <c r="BA42" s="488" cm="1">
        <f t="array" aca="1" ref="BA42" ca="1">SUMPRODUCT(BA$54:BA$113,TRANSPOSE(SAP_Speadsheet!$E$32:$BL$32))</f>
        <v>0</v>
      </c>
      <c r="BB42" s="488" cm="1">
        <f t="array" aca="1" ref="BB42" ca="1">SUMPRODUCT(BB$54:BB$113,TRANSPOSE(SAP_Speadsheet!$E$32:$BL$32))</f>
        <v>0</v>
      </c>
      <c r="BC42" s="488" cm="1">
        <f t="array" aca="1" ref="BC42" ca="1">SUMPRODUCT(BC$54:BC$113,TRANSPOSE(SAP_Speadsheet!$E$32:$BL$32))</f>
        <v>0</v>
      </c>
      <c r="BD42" s="488" cm="1">
        <f t="array" aca="1" ref="BD42" ca="1">SUMPRODUCT(BD$54:BD$113,TRANSPOSE(SAP_Speadsheet!$E$32:$BL$32))</f>
        <v>0</v>
      </c>
      <c r="BE42" s="488" cm="1">
        <f t="array" aca="1" ref="BE42" ca="1">SUMPRODUCT(BE$54:BE$113,TRANSPOSE(SAP_Speadsheet!$E$32:$BL$32))</f>
        <v>0</v>
      </c>
      <c r="BF42" s="488" cm="1">
        <f t="array" aca="1" ref="BF42" ca="1">SUMPRODUCT(BF$54:BF$113,TRANSPOSE(SAP_Speadsheet!$E$32:$BL$32))</f>
        <v>0</v>
      </c>
      <c r="BG42" s="488" cm="1">
        <f t="array" aca="1" ref="BG42" ca="1">SUMPRODUCT(BG$54:BG$113,TRANSPOSE(SAP_Speadsheet!$E$32:$BL$32))</f>
        <v>0</v>
      </c>
      <c r="BH42" s="488" cm="1">
        <f t="array" aca="1" ref="BH42" ca="1">SUMPRODUCT(BH$54:BH$113,TRANSPOSE(SAP_Speadsheet!$E$32:$BL$32))</f>
        <v>0</v>
      </c>
      <c r="BI42" s="488" cm="1">
        <f t="array" aca="1" ref="BI42" ca="1">SUMPRODUCT(BI$54:BI$113,TRANSPOSE(SAP_Speadsheet!$E$32:$BL$32))</f>
        <v>0</v>
      </c>
    </row>
    <row r="43" spans="1:61" x14ac:dyDescent="0.15">
      <c r="A43" s="477" t="s">
        <v>511</v>
      </c>
      <c r="B43" s="488" cm="1">
        <f t="array" aca="1" ref="B43" ca="1">SUMPRODUCT(B$54:B$113,TRANSPOSE(SAP_Speadsheet!$E$33:$BL$33))</f>
        <v>0</v>
      </c>
      <c r="C43" s="488" cm="1">
        <f t="array" aca="1" ref="C43" ca="1">SUMPRODUCT(C$54:C$113,TRANSPOSE(SAP_Speadsheet!$E$33:$BL$33))</f>
        <v>0</v>
      </c>
      <c r="D43" s="488" cm="1">
        <f t="array" aca="1" ref="D43" ca="1">SUMPRODUCT(D$54:D$113,TRANSPOSE(SAP_Speadsheet!$E$33:$BL$33))</f>
        <v>0</v>
      </c>
      <c r="E43" s="488" cm="1">
        <f t="array" aca="1" ref="E43" ca="1">SUMPRODUCT(E$54:E$113,TRANSPOSE(SAP_Speadsheet!$E$33:$BL$33))</f>
        <v>0</v>
      </c>
      <c r="F43" s="488" cm="1">
        <f t="array" aca="1" ref="F43" ca="1">SUMPRODUCT(F$54:F$113,TRANSPOSE(SAP_Speadsheet!$E$33:$BL$33))</f>
        <v>0</v>
      </c>
      <c r="G43" s="488" cm="1">
        <f t="array" aca="1" ref="G43" ca="1">SUMPRODUCT(G$54:G$113,TRANSPOSE(SAP_Speadsheet!$E$33:$BL$33))</f>
        <v>0</v>
      </c>
      <c r="H43" s="488" cm="1">
        <f t="array" aca="1" ref="H43" ca="1">SUMPRODUCT(H$54:H$113,TRANSPOSE(SAP_Speadsheet!$E$33:$BL$33))</f>
        <v>0</v>
      </c>
      <c r="I43" s="488" cm="1">
        <f t="array" aca="1" ref="I43" ca="1">SUMPRODUCT(I$54:I$113,TRANSPOSE(SAP_Speadsheet!$E$33:$BL$33))</f>
        <v>0</v>
      </c>
      <c r="J43" s="488" cm="1">
        <f t="array" aca="1" ref="J43" ca="1">SUMPRODUCT(J$54:J$113,TRANSPOSE(SAP_Speadsheet!$E$33:$BL$33))</f>
        <v>0</v>
      </c>
      <c r="K43" s="488" cm="1">
        <f t="array" aca="1" ref="K43" ca="1">SUMPRODUCT(K$54:K$113,TRANSPOSE(SAP_Speadsheet!$E$33:$BL$33))</f>
        <v>0</v>
      </c>
      <c r="L43" s="488" cm="1">
        <f t="array" aca="1" ref="L43" ca="1">SUMPRODUCT(L$54:L$113,TRANSPOSE(SAP_Speadsheet!$E$33:$BL$33))</f>
        <v>0</v>
      </c>
      <c r="M43" s="488" cm="1">
        <f t="array" aca="1" ref="M43" ca="1">SUMPRODUCT(M$54:M$113,TRANSPOSE(SAP_Speadsheet!$E$33:$BL$33))</f>
        <v>0</v>
      </c>
      <c r="N43" s="488" cm="1">
        <f t="array" aca="1" ref="N43" ca="1">SUMPRODUCT(N$54:N$113,TRANSPOSE(SAP_Speadsheet!$E$33:$BL$33))</f>
        <v>0</v>
      </c>
      <c r="O43" s="488" cm="1">
        <f t="array" aca="1" ref="O43" ca="1">SUMPRODUCT(O$54:O$113,TRANSPOSE(SAP_Speadsheet!$E$33:$BL$33))</f>
        <v>0</v>
      </c>
      <c r="P43" s="488" cm="1">
        <f t="array" aca="1" ref="P43" ca="1">SUMPRODUCT(P$54:P$113,TRANSPOSE(SAP_Speadsheet!$E$33:$BL$33))</f>
        <v>0</v>
      </c>
      <c r="Q43" s="488" cm="1">
        <f t="array" aca="1" ref="Q43" ca="1">SUMPRODUCT(Q$54:Q$113,TRANSPOSE(SAP_Speadsheet!$E$33:$BL$33))</f>
        <v>0</v>
      </c>
      <c r="R43" s="488" cm="1">
        <f t="array" aca="1" ref="R43" ca="1">SUMPRODUCT(R$54:R$113,TRANSPOSE(SAP_Speadsheet!$E$33:$BL$33))</f>
        <v>0</v>
      </c>
      <c r="S43" s="488" cm="1">
        <f t="array" aca="1" ref="S43" ca="1">SUMPRODUCT(S$54:S$113,TRANSPOSE(SAP_Speadsheet!$E$33:$BL$33))</f>
        <v>0</v>
      </c>
      <c r="T43" s="488" cm="1">
        <f t="array" aca="1" ref="T43" ca="1">SUMPRODUCT(T$54:T$113,TRANSPOSE(SAP_Speadsheet!$E$33:$BL$33))</f>
        <v>0</v>
      </c>
      <c r="U43" s="488" cm="1">
        <f t="array" aca="1" ref="U43" ca="1">SUMPRODUCT(U$54:U$113,TRANSPOSE(SAP_Speadsheet!$E$33:$BL$33))</f>
        <v>0</v>
      </c>
      <c r="V43" s="488" cm="1">
        <f t="array" aca="1" ref="V43" ca="1">SUMPRODUCT(V$54:V$113,TRANSPOSE(SAP_Speadsheet!$E$33:$BL$33))</f>
        <v>0</v>
      </c>
      <c r="W43" s="488" cm="1">
        <f t="array" aca="1" ref="W43" ca="1">SUMPRODUCT(W$54:W$113,TRANSPOSE(SAP_Speadsheet!$E$33:$BL$33))</f>
        <v>0</v>
      </c>
      <c r="X43" s="488" cm="1">
        <f t="array" aca="1" ref="X43" ca="1">SUMPRODUCT(X$54:X$113,TRANSPOSE(SAP_Speadsheet!$E$33:$BL$33))</f>
        <v>0</v>
      </c>
      <c r="Y43" s="488" cm="1">
        <f t="array" aca="1" ref="Y43" ca="1">SUMPRODUCT(Y$54:Y$113,TRANSPOSE(SAP_Speadsheet!$E$33:$BL$33))</f>
        <v>0</v>
      </c>
      <c r="Z43" s="488" cm="1">
        <f t="array" aca="1" ref="Z43" ca="1">SUMPRODUCT(Z$54:Z$113,TRANSPOSE(SAP_Speadsheet!$E$33:$BL$33))</f>
        <v>0</v>
      </c>
      <c r="AA43" s="488" cm="1">
        <f t="array" aca="1" ref="AA43" ca="1">SUMPRODUCT(AA$54:AA$113,TRANSPOSE(SAP_Speadsheet!$E$33:$BL$33))</f>
        <v>0</v>
      </c>
      <c r="AB43" s="488" cm="1">
        <f t="array" aca="1" ref="AB43" ca="1">SUMPRODUCT(AB$54:AB$113,TRANSPOSE(SAP_Speadsheet!$E$33:$BL$33))</f>
        <v>0</v>
      </c>
      <c r="AC43" s="488" cm="1">
        <f t="array" aca="1" ref="AC43" ca="1">SUMPRODUCT(AC$54:AC$113,TRANSPOSE(SAP_Speadsheet!$E$33:$BL$33))</f>
        <v>0</v>
      </c>
      <c r="AD43" s="488" cm="1">
        <f t="array" aca="1" ref="AD43" ca="1">SUMPRODUCT(AD$54:AD$113,TRANSPOSE(SAP_Speadsheet!$E$33:$BL$33))</f>
        <v>0</v>
      </c>
      <c r="AE43" s="488" cm="1">
        <f t="array" aca="1" ref="AE43" ca="1">SUMPRODUCT(AE$54:AE$113,TRANSPOSE(SAP_Speadsheet!$E$33:$BL$33))</f>
        <v>0</v>
      </c>
      <c r="AF43" s="488" cm="1">
        <f t="array" aca="1" ref="AF43" ca="1">SUMPRODUCT(AF$54:AF$113,TRANSPOSE(SAP_Speadsheet!$E$33:$BL$33))</f>
        <v>0</v>
      </c>
      <c r="AG43" s="488" cm="1">
        <f t="array" aca="1" ref="AG43" ca="1">SUMPRODUCT(AG$54:AG$113,TRANSPOSE(SAP_Speadsheet!$E$33:$BL$33))</f>
        <v>0</v>
      </c>
      <c r="AH43" s="488" cm="1">
        <f t="array" aca="1" ref="AH43" ca="1">SUMPRODUCT(AH$54:AH$113,TRANSPOSE(SAP_Speadsheet!$E$33:$BL$33))</f>
        <v>0</v>
      </c>
      <c r="AI43" s="488" cm="1">
        <f t="array" aca="1" ref="AI43" ca="1">SUMPRODUCT(AI$54:AI$113,TRANSPOSE(SAP_Speadsheet!$E$33:$BL$33))</f>
        <v>0</v>
      </c>
      <c r="AJ43" s="488" cm="1">
        <f t="array" aca="1" ref="AJ43" ca="1">SUMPRODUCT(AJ$54:AJ$113,TRANSPOSE(SAP_Speadsheet!$E$33:$BL$33))</f>
        <v>0</v>
      </c>
      <c r="AK43" s="488" cm="1">
        <f t="array" aca="1" ref="AK43" ca="1">SUMPRODUCT(AK$54:AK$113,TRANSPOSE(SAP_Speadsheet!$E$33:$BL$33))</f>
        <v>0</v>
      </c>
      <c r="AL43" s="488" cm="1">
        <f t="array" aca="1" ref="AL43" ca="1">SUMPRODUCT(AL$54:AL$113,TRANSPOSE(SAP_Speadsheet!$E$33:$BL$33))</f>
        <v>0</v>
      </c>
      <c r="AM43" s="488" cm="1">
        <f t="array" aca="1" ref="AM43" ca="1">SUMPRODUCT(AM$54:AM$113,TRANSPOSE(SAP_Speadsheet!$E$33:$BL$33))</f>
        <v>0</v>
      </c>
      <c r="AN43" s="488" cm="1">
        <f t="array" aca="1" ref="AN43" ca="1">SUMPRODUCT(AN$54:AN$113,TRANSPOSE(SAP_Speadsheet!$E$33:$BL$33))</f>
        <v>0</v>
      </c>
      <c r="AO43" s="488" cm="1">
        <f t="array" aca="1" ref="AO43" ca="1">SUMPRODUCT(AO$54:AO$113,TRANSPOSE(SAP_Speadsheet!$E$33:$BL$33))</f>
        <v>0</v>
      </c>
      <c r="AP43" s="488" cm="1">
        <f t="array" aca="1" ref="AP43" ca="1">SUMPRODUCT(AP$54:AP$113,TRANSPOSE(SAP_Speadsheet!$E$33:$BL$33))</f>
        <v>0</v>
      </c>
      <c r="AQ43" s="488" cm="1">
        <f t="array" aca="1" ref="AQ43" ca="1">SUMPRODUCT(AQ$54:AQ$113,TRANSPOSE(SAP_Speadsheet!$E$33:$BL$33))</f>
        <v>0</v>
      </c>
      <c r="AR43" s="488" cm="1">
        <f t="array" aca="1" ref="AR43" ca="1">SUMPRODUCT(AR$54:AR$113,TRANSPOSE(SAP_Speadsheet!$E$33:$BL$33))</f>
        <v>0</v>
      </c>
      <c r="AS43" s="488" cm="1">
        <f t="array" aca="1" ref="AS43" ca="1">SUMPRODUCT(AS$54:AS$113,TRANSPOSE(SAP_Speadsheet!$E$33:$BL$33))</f>
        <v>0</v>
      </c>
      <c r="AT43" s="488" cm="1">
        <f t="array" aca="1" ref="AT43" ca="1">SUMPRODUCT(AT$54:AT$113,TRANSPOSE(SAP_Speadsheet!$E$33:$BL$33))</f>
        <v>0</v>
      </c>
      <c r="AU43" s="488" cm="1">
        <f t="array" aca="1" ref="AU43" ca="1">SUMPRODUCT(AU$54:AU$113,TRANSPOSE(SAP_Speadsheet!$E$33:$BL$33))</f>
        <v>0</v>
      </c>
      <c r="AV43" s="488" cm="1">
        <f t="array" aca="1" ref="AV43" ca="1">SUMPRODUCT(AV$54:AV$113,TRANSPOSE(SAP_Speadsheet!$E$33:$BL$33))</f>
        <v>0</v>
      </c>
      <c r="AW43" s="488" cm="1">
        <f t="array" aca="1" ref="AW43" ca="1">SUMPRODUCT(AW$54:AW$113,TRANSPOSE(SAP_Speadsheet!$E$33:$BL$33))</f>
        <v>0</v>
      </c>
      <c r="AX43" s="488" cm="1">
        <f t="array" aca="1" ref="AX43" ca="1">SUMPRODUCT(AX$54:AX$113,TRANSPOSE(SAP_Speadsheet!$E$33:$BL$33))</f>
        <v>0</v>
      </c>
      <c r="AY43" s="488" cm="1">
        <f t="array" aca="1" ref="AY43" ca="1">SUMPRODUCT(AY$54:AY$113,TRANSPOSE(SAP_Speadsheet!$E$33:$BL$33))</f>
        <v>0</v>
      </c>
      <c r="AZ43" s="488" cm="1">
        <f t="array" aca="1" ref="AZ43" ca="1">SUMPRODUCT(AZ$54:AZ$113,TRANSPOSE(SAP_Speadsheet!$E$33:$BL$33))</f>
        <v>0</v>
      </c>
      <c r="BA43" s="488" cm="1">
        <f t="array" aca="1" ref="BA43" ca="1">SUMPRODUCT(BA$54:BA$113,TRANSPOSE(SAP_Speadsheet!$E$33:$BL$33))</f>
        <v>0</v>
      </c>
      <c r="BB43" s="488" cm="1">
        <f t="array" aca="1" ref="BB43" ca="1">SUMPRODUCT(BB$54:BB$113,TRANSPOSE(SAP_Speadsheet!$E$33:$BL$33))</f>
        <v>0</v>
      </c>
      <c r="BC43" s="488" cm="1">
        <f t="array" aca="1" ref="BC43" ca="1">SUMPRODUCT(BC$54:BC$113,TRANSPOSE(SAP_Speadsheet!$E$33:$BL$33))</f>
        <v>0</v>
      </c>
      <c r="BD43" s="488" cm="1">
        <f t="array" aca="1" ref="BD43" ca="1">SUMPRODUCT(BD$54:BD$113,TRANSPOSE(SAP_Speadsheet!$E$33:$BL$33))</f>
        <v>0</v>
      </c>
      <c r="BE43" s="488" cm="1">
        <f t="array" aca="1" ref="BE43" ca="1">SUMPRODUCT(BE$54:BE$113,TRANSPOSE(SAP_Speadsheet!$E$33:$BL$33))</f>
        <v>0</v>
      </c>
      <c r="BF43" s="488" cm="1">
        <f t="array" aca="1" ref="BF43" ca="1">SUMPRODUCT(BF$54:BF$113,TRANSPOSE(SAP_Speadsheet!$E$33:$BL$33))</f>
        <v>0</v>
      </c>
      <c r="BG43" s="488" cm="1">
        <f t="array" aca="1" ref="BG43" ca="1">SUMPRODUCT(BG$54:BG$113,TRANSPOSE(SAP_Speadsheet!$E$33:$BL$33))</f>
        <v>0</v>
      </c>
      <c r="BH43" s="488" cm="1">
        <f t="array" aca="1" ref="BH43" ca="1">SUMPRODUCT(BH$54:BH$113,TRANSPOSE(SAP_Speadsheet!$E$33:$BL$33))</f>
        <v>0</v>
      </c>
      <c r="BI43" s="488" cm="1">
        <f t="array" aca="1" ref="BI43" ca="1">SUMPRODUCT(BI$54:BI$113,TRANSPOSE(SAP_Speadsheet!$E$33:$BL$33))</f>
        <v>0</v>
      </c>
    </row>
    <row r="44" spans="1:61" x14ac:dyDescent="0.15">
      <c r="A44" s="477" t="s">
        <v>512</v>
      </c>
      <c r="B44" s="488" cm="1">
        <f t="array" aca="1" ref="B44" ca="1">SUMPRODUCT(B$54:B$113,TRANSPOSE(SAP_Speadsheet!$E$34:$BL$34))</f>
        <v>0</v>
      </c>
      <c r="C44" s="488" cm="1">
        <f t="array" aca="1" ref="C44" ca="1">SUMPRODUCT(C$54:C$113,TRANSPOSE(SAP_Speadsheet!$E$34:$BL$34))</f>
        <v>0</v>
      </c>
      <c r="D44" s="488" cm="1">
        <f t="array" aca="1" ref="D44" ca="1">SUMPRODUCT(D$54:D$113,TRANSPOSE(SAP_Speadsheet!$E$34:$BL$34))</f>
        <v>0</v>
      </c>
      <c r="E44" s="488" cm="1">
        <f t="array" aca="1" ref="E44" ca="1">SUMPRODUCT(E$54:E$113,TRANSPOSE(SAP_Speadsheet!$E$34:$BL$34))</f>
        <v>0</v>
      </c>
      <c r="F44" s="488" cm="1">
        <f t="array" aca="1" ref="F44" ca="1">SUMPRODUCT(F$54:F$113,TRANSPOSE(SAP_Speadsheet!$E$34:$BL$34))</f>
        <v>0</v>
      </c>
      <c r="G44" s="488" cm="1">
        <f t="array" aca="1" ref="G44" ca="1">SUMPRODUCT(G$54:G$113,TRANSPOSE(SAP_Speadsheet!$E$34:$BL$34))</f>
        <v>0</v>
      </c>
      <c r="H44" s="488" cm="1">
        <f t="array" aca="1" ref="H44" ca="1">SUMPRODUCT(H$54:H$113,TRANSPOSE(SAP_Speadsheet!$E$34:$BL$34))</f>
        <v>0</v>
      </c>
      <c r="I44" s="488" cm="1">
        <f t="array" aca="1" ref="I44" ca="1">SUMPRODUCT(I$54:I$113,TRANSPOSE(SAP_Speadsheet!$E$34:$BL$34))</f>
        <v>0</v>
      </c>
      <c r="J44" s="488" cm="1">
        <f t="array" aca="1" ref="J44" ca="1">SUMPRODUCT(J$54:J$113,TRANSPOSE(SAP_Speadsheet!$E$34:$BL$34))</f>
        <v>0</v>
      </c>
      <c r="K44" s="488" cm="1">
        <f t="array" aca="1" ref="K44" ca="1">SUMPRODUCT(K$54:K$113,TRANSPOSE(SAP_Speadsheet!$E$34:$BL$34))</f>
        <v>0</v>
      </c>
      <c r="L44" s="488" cm="1">
        <f t="array" aca="1" ref="L44" ca="1">SUMPRODUCT(L$54:L$113,TRANSPOSE(SAP_Speadsheet!$E$34:$BL$34))</f>
        <v>0</v>
      </c>
      <c r="M44" s="488" cm="1">
        <f t="array" aca="1" ref="M44" ca="1">SUMPRODUCT(M$54:M$113,TRANSPOSE(SAP_Speadsheet!$E$34:$BL$34))</f>
        <v>0</v>
      </c>
      <c r="N44" s="488" cm="1">
        <f t="array" aca="1" ref="N44" ca="1">SUMPRODUCT(N$54:N$113,TRANSPOSE(SAP_Speadsheet!$E$34:$BL$34))</f>
        <v>0</v>
      </c>
      <c r="O44" s="488" cm="1">
        <f t="array" aca="1" ref="O44" ca="1">SUMPRODUCT(O$54:O$113,TRANSPOSE(SAP_Speadsheet!$E$34:$BL$34))</f>
        <v>0</v>
      </c>
      <c r="P44" s="488" cm="1">
        <f t="array" aca="1" ref="P44" ca="1">SUMPRODUCT(P$54:P$113,TRANSPOSE(SAP_Speadsheet!$E$34:$BL$34))</f>
        <v>0</v>
      </c>
      <c r="Q44" s="488" cm="1">
        <f t="array" aca="1" ref="Q44" ca="1">SUMPRODUCT(Q$54:Q$113,TRANSPOSE(SAP_Speadsheet!$E$34:$BL$34))</f>
        <v>0</v>
      </c>
      <c r="R44" s="488" cm="1">
        <f t="array" aca="1" ref="R44" ca="1">SUMPRODUCT(R$54:R$113,TRANSPOSE(SAP_Speadsheet!$E$34:$BL$34))</f>
        <v>0</v>
      </c>
      <c r="S44" s="488" cm="1">
        <f t="array" aca="1" ref="S44" ca="1">SUMPRODUCT(S$54:S$113,TRANSPOSE(SAP_Speadsheet!$E$34:$BL$34))</f>
        <v>0</v>
      </c>
      <c r="T44" s="488" cm="1">
        <f t="array" aca="1" ref="T44" ca="1">SUMPRODUCT(T$54:T$113,TRANSPOSE(SAP_Speadsheet!$E$34:$BL$34))</f>
        <v>0</v>
      </c>
      <c r="U44" s="488" cm="1">
        <f t="array" aca="1" ref="U44" ca="1">SUMPRODUCT(U$54:U$113,TRANSPOSE(SAP_Speadsheet!$E$34:$BL$34))</f>
        <v>0</v>
      </c>
      <c r="V44" s="488" cm="1">
        <f t="array" aca="1" ref="V44" ca="1">SUMPRODUCT(V$54:V$113,TRANSPOSE(SAP_Speadsheet!$E$34:$BL$34))</f>
        <v>0</v>
      </c>
      <c r="W44" s="488" cm="1">
        <f t="array" aca="1" ref="W44" ca="1">SUMPRODUCT(W$54:W$113,TRANSPOSE(SAP_Speadsheet!$E$34:$BL$34))</f>
        <v>0</v>
      </c>
      <c r="X44" s="488" cm="1">
        <f t="array" aca="1" ref="X44" ca="1">SUMPRODUCT(X$54:X$113,TRANSPOSE(SAP_Speadsheet!$E$34:$BL$34))</f>
        <v>0</v>
      </c>
      <c r="Y44" s="488" cm="1">
        <f t="array" aca="1" ref="Y44" ca="1">SUMPRODUCT(Y$54:Y$113,TRANSPOSE(SAP_Speadsheet!$E$34:$BL$34))</f>
        <v>0</v>
      </c>
      <c r="Z44" s="488" cm="1">
        <f t="array" aca="1" ref="Z44" ca="1">SUMPRODUCT(Z$54:Z$113,TRANSPOSE(SAP_Speadsheet!$E$34:$BL$34))</f>
        <v>0</v>
      </c>
      <c r="AA44" s="488" cm="1">
        <f t="array" aca="1" ref="AA44" ca="1">SUMPRODUCT(AA$54:AA$113,TRANSPOSE(SAP_Speadsheet!$E$34:$BL$34))</f>
        <v>0</v>
      </c>
      <c r="AB44" s="488" cm="1">
        <f t="array" aca="1" ref="AB44" ca="1">SUMPRODUCT(AB$54:AB$113,TRANSPOSE(SAP_Speadsheet!$E$34:$BL$34))</f>
        <v>0</v>
      </c>
      <c r="AC44" s="488" cm="1">
        <f t="array" aca="1" ref="AC44" ca="1">SUMPRODUCT(AC$54:AC$113,TRANSPOSE(SAP_Speadsheet!$E$34:$BL$34))</f>
        <v>0</v>
      </c>
      <c r="AD44" s="488" cm="1">
        <f t="array" aca="1" ref="AD44" ca="1">SUMPRODUCT(AD$54:AD$113,TRANSPOSE(SAP_Speadsheet!$E$34:$BL$34))</f>
        <v>0</v>
      </c>
      <c r="AE44" s="488" cm="1">
        <f t="array" aca="1" ref="AE44" ca="1">SUMPRODUCT(AE$54:AE$113,TRANSPOSE(SAP_Speadsheet!$E$34:$BL$34))</f>
        <v>0</v>
      </c>
      <c r="AF44" s="488" cm="1">
        <f t="array" aca="1" ref="AF44" ca="1">SUMPRODUCT(AF$54:AF$113,TRANSPOSE(SAP_Speadsheet!$E$34:$BL$34))</f>
        <v>0</v>
      </c>
      <c r="AG44" s="488" cm="1">
        <f t="array" aca="1" ref="AG44" ca="1">SUMPRODUCT(AG$54:AG$113,TRANSPOSE(SAP_Speadsheet!$E$34:$BL$34))</f>
        <v>0</v>
      </c>
      <c r="AH44" s="488" cm="1">
        <f t="array" aca="1" ref="AH44" ca="1">SUMPRODUCT(AH$54:AH$113,TRANSPOSE(SAP_Speadsheet!$E$34:$BL$34))</f>
        <v>0</v>
      </c>
      <c r="AI44" s="488" cm="1">
        <f t="array" aca="1" ref="AI44" ca="1">SUMPRODUCT(AI$54:AI$113,TRANSPOSE(SAP_Speadsheet!$E$34:$BL$34))</f>
        <v>0</v>
      </c>
      <c r="AJ44" s="488" cm="1">
        <f t="array" aca="1" ref="AJ44" ca="1">SUMPRODUCT(AJ$54:AJ$113,TRANSPOSE(SAP_Speadsheet!$E$34:$BL$34))</f>
        <v>0</v>
      </c>
      <c r="AK44" s="488" cm="1">
        <f t="array" aca="1" ref="AK44" ca="1">SUMPRODUCT(AK$54:AK$113,TRANSPOSE(SAP_Speadsheet!$E$34:$BL$34))</f>
        <v>0</v>
      </c>
      <c r="AL44" s="488" cm="1">
        <f t="array" aca="1" ref="AL44" ca="1">SUMPRODUCT(AL$54:AL$113,TRANSPOSE(SAP_Speadsheet!$E$34:$BL$34))</f>
        <v>0</v>
      </c>
      <c r="AM44" s="488" cm="1">
        <f t="array" aca="1" ref="AM44" ca="1">SUMPRODUCT(AM$54:AM$113,TRANSPOSE(SAP_Speadsheet!$E$34:$BL$34))</f>
        <v>0</v>
      </c>
      <c r="AN44" s="488" cm="1">
        <f t="array" aca="1" ref="AN44" ca="1">SUMPRODUCT(AN$54:AN$113,TRANSPOSE(SAP_Speadsheet!$E$34:$BL$34))</f>
        <v>0</v>
      </c>
      <c r="AO44" s="488" cm="1">
        <f t="array" aca="1" ref="AO44" ca="1">SUMPRODUCT(AO$54:AO$113,TRANSPOSE(SAP_Speadsheet!$E$34:$BL$34))</f>
        <v>0</v>
      </c>
      <c r="AP44" s="488" cm="1">
        <f t="array" aca="1" ref="AP44" ca="1">SUMPRODUCT(AP$54:AP$113,TRANSPOSE(SAP_Speadsheet!$E$34:$BL$34))</f>
        <v>0</v>
      </c>
      <c r="AQ44" s="488" cm="1">
        <f t="array" aca="1" ref="AQ44" ca="1">SUMPRODUCT(AQ$54:AQ$113,TRANSPOSE(SAP_Speadsheet!$E$34:$BL$34))</f>
        <v>0</v>
      </c>
      <c r="AR44" s="488" cm="1">
        <f t="array" aca="1" ref="AR44" ca="1">SUMPRODUCT(AR$54:AR$113,TRANSPOSE(SAP_Speadsheet!$E$34:$BL$34))</f>
        <v>0</v>
      </c>
      <c r="AS44" s="488" cm="1">
        <f t="array" aca="1" ref="AS44" ca="1">SUMPRODUCT(AS$54:AS$113,TRANSPOSE(SAP_Speadsheet!$E$34:$BL$34))</f>
        <v>0</v>
      </c>
      <c r="AT44" s="488" cm="1">
        <f t="array" aca="1" ref="AT44" ca="1">SUMPRODUCT(AT$54:AT$113,TRANSPOSE(SAP_Speadsheet!$E$34:$BL$34))</f>
        <v>0</v>
      </c>
      <c r="AU44" s="488" cm="1">
        <f t="array" aca="1" ref="AU44" ca="1">SUMPRODUCT(AU$54:AU$113,TRANSPOSE(SAP_Speadsheet!$E$34:$BL$34))</f>
        <v>0</v>
      </c>
      <c r="AV44" s="488" cm="1">
        <f t="array" aca="1" ref="AV44" ca="1">SUMPRODUCT(AV$54:AV$113,TRANSPOSE(SAP_Speadsheet!$E$34:$BL$34))</f>
        <v>0</v>
      </c>
      <c r="AW44" s="488" cm="1">
        <f t="array" aca="1" ref="AW44" ca="1">SUMPRODUCT(AW$54:AW$113,TRANSPOSE(SAP_Speadsheet!$E$34:$BL$34))</f>
        <v>0</v>
      </c>
      <c r="AX44" s="488" cm="1">
        <f t="array" aca="1" ref="AX44" ca="1">SUMPRODUCT(AX$54:AX$113,TRANSPOSE(SAP_Speadsheet!$E$34:$BL$34))</f>
        <v>0</v>
      </c>
      <c r="AY44" s="488" cm="1">
        <f t="array" aca="1" ref="AY44" ca="1">SUMPRODUCT(AY$54:AY$113,TRANSPOSE(SAP_Speadsheet!$E$34:$BL$34))</f>
        <v>0</v>
      </c>
      <c r="AZ44" s="488" cm="1">
        <f t="array" aca="1" ref="AZ44" ca="1">SUMPRODUCT(AZ$54:AZ$113,TRANSPOSE(SAP_Speadsheet!$E$34:$BL$34))</f>
        <v>0</v>
      </c>
      <c r="BA44" s="488" cm="1">
        <f t="array" aca="1" ref="BA44" ca="1">SUMPRODUCT(BA$54:BA$113,TRANSPOSE(SAP_Speadsheet!$E$34:$BL$34))</f>
        <v>0</v>
      </c>
      <c r="BB44" s="488" cm="1">
        <f t="array" aca="1" ref="BB44" ca="1">SUMPRODUCT(BB$54:BB$113,TRANSPOSE(SAP_Speadsheet!$E$34:$BL$34))</f>
        <v>0</v>
      </c>
      <c r="BC44" s="488" cm="1">
        <f t="array" aca="1" ref="BC44" ca="1">SUMPRODUCT(BC$54:BC$113,TRANSPOSE(SAP_Speadsheet!$E$34:$BL$34))</f>
        <v>0</v>
      </c>
      <c r="BD44" s="488" cm="1">
        <f t="array" aca="1" ref="BD44" ca="1">SUMPRODUCT(BD$54:BD$113,TRANSPOSE(SAP_Speadsheet!$E$34:$BL$34))</f>
        <v>0</v>
      </c>
      <c r="BE44" s="488" cm="1">
        <f t="array" aca="1" ref="BE44" ca="1">SUMPRODUCT(BE$54:BE$113,TRANSPOSE(SAP_Speadsheet!$E$34:$BL$34))</f>
        <v>0</v>
      </c>
      <c r="BF44" s="488" cm="1">
        <f t="array" aca="1" ref="BF44" ca="1">SUMPRODUCT(BF$54:BF$113,TRANSPOSE(SAP_Speadsheet!$E$34:$BL$34))</f>
        <v>0</v>
      </c>
      <c r="BG44" s="488" cm="1">
        <f t="array" aca="1" ref="BG44" ca="1">SUMPRODUCT(BG$54:BG$113,TRANSPOSE(SAP_Speadsheet!$E$34:$BL$34))</f>
        <v>0</v>
      </c>
      <c r="BH44" s="488" cm="1">
        <f t="array" aca="1" ref="BH44" ca="1">SUMPRODUCT(BH$54:BH$113,TRANSPOSE(SAP_Speadsheet!$E$34:$BL$34))</f>
        <v>0</v>
      </c>
      <c r="BI44" s="488" cm="1">
        <f t="array" aca="1" ref="BI44" ca="1">SUMPRODUCT(BI$54:BI$113,TRANSPOSE(SAP_Speadsheet!$E$34:$BL$34))</f>
        <v>0</v>
      </c>
    </row>
    <row r="45" spans="1:61" x14ac:dyDescent="0.15">
      <c r="A45" s="477" t="s">
        <v>359</v>
      </c>
      <c r="B45" s="488" cm="1">
        <f t="array" aca="1" ref="B45" ca="1">SUMPRODUCT(B$54:B$113,TRANSPOSE(SAP_Speadsheet!$E$35:$BL$35))</f>
        <v>0</v>
      </c>
      <c r="C45" s="488" cm="1">
        <f t="array" aca="1" ref="C45" ca="1">SUMPRODUCT(C$54:C$113,TRANSPOSE(SAP_Speadsheet!$E$35:$BL$35))</f>
        <v>0</v>
      </c>
      <c r="D45" s="488" cm="1">
        <f t="array" aca="1" ref="D45" ca="1">SUMPRODUCT(D$54:D$113,TRANSPOSE(SAP_Speadsheet!$E$35:$BL$35))</f>
        <v>0</v>
      </c>
      <c r="E45" s="488" cm="1">
        <f t="array" aca="1" ref="E45" ca="1">SUMPRODUCT(E$54:E$113,TRANSPOSE(SAP_Speadsheet!$E$35:$BL$35))</f>
        <v>0</v>
      </c>
      <c r="F45" s="488" cm="1">
        <f t="array" aca="1" ref="F45" ca="1">SUMPRODUCT(F$54:F$113,TRANSPOSE(SAP_Speadsheet!$E$35:$BL$35))</f>
        <v>0</v>
      </c>
      <c r="G45" s="488" cm="1">
        <f t="array" aca="1" ref="G45" ca="1">SUMPRODUCT(G$54:G$113,TRANSPOSE(SAP_Speadsheet!$E$35:$BL$35))</f>
        <v>0</v>
      </c>
      <c r="H45" s="488" cm="1">
        <f t="array" aca="1" ref="H45" ca="1">SUMPRODUCT(H$54:H$113,TRANSPOSE(SAP_Speadsheet!$E$35:$BL$35))</f>
        <v>0</v>
      </c>
      <c r="I45" s="488" cm="1">
        <f t="array" aca="1" ref="I45" ca="1">SUMPRODUCT(I$54:I$113,TRANSPOSE(SAP_Speadsheet!$E$35:$BL$35))</f>
        <v>0</v>
      </c>
      <c r="J45" s="488" cm="1">
        <f t="array" aca="1" ref="J45" ca="1">SUMPRODUCT(J$54:J$113,TRANSPOSE(SAP_Speadsheet!$E$35:$BL$35))</f>
        <v>0</v>
      </c>
      <c r="K45" s="488" cm="1">
        <f t="array" aca="1" ref="K45" ca="1">SUMPRODUCT(K$54:K$113,TRANSPOSE(SAP_Speadsheet!$E$35:$BL$35))</f>
        <v>0</v>
      </c>
      <c r="L45" s="488" cm="1">
        <f t="array" aca="1" ref="L45" ca="1">SUMPRODUCT(L$54:L$113,TRANSPOSE(SAP_Speadsheet!$E$35:$BL$35))</f>
        <v>0</v>
      </c>
      <c r="M45" s="488" cm="1">
        <f t="array" aca="1" ref="M45" ca="1">SUMPRODUCT(M$54:M$113,TRANSPOSE(SAP_Speadsheet!$E$35:$BL$35))</f>
        <v>0</v>
      </c>
      <c r="N45" s="488" cm="1">
        <f t="array" aca="1" ref="N45" ca="1">SUMPRODUCT(N$54:N$113,TRANSPOSE(SAP_Speadsheet!$E$35:$BL$35))</f>
        <v>0</v>
      </c>
      <c r="O45" s="488" cm="1">
        <f t="array" aca="1" ref="O45" ca="1">SUMPRODUCT(O$54:O$113,TRANSPOSE(SAP_Speadsheet!$E$35:$BL$35))</f>
        <v>0</v>
      </c>
      <c r="P45" s="488" cm="1">
        <f t="array" aca="1" ref="P45" ca="1">SUMPRODUCT(P$54:P$113,TRANSPOSE(SAP_Speadsheet!$E$35:$BL$35))</f>
        <v>0</v>
      </c>
      <c r="Q45" s="488" cm="1">
        <f t="array" aca="1" ref="Q45" ca="1">SUMPRODUCT(Q$54:Q$113,TRANSPOSE(SAP_Speadsheet!$E$35:$BL$35))</f>
        <v>0</v>
      </c>
      <c r="R45" s="488" cm="1">
        <f t="array" aca="1" ref="R45" ca="1">SUMPRODUCT(R$54:R$113,TRANSPOSE(SAP_Speadsheet!$E$35:$BL$35))</f>
        <v>0</v>
      </c>
      <c r="S45" s="488" cm="1">
        <f t="array" aca="1" ref="S45" ca="1">SUMPRODUCT(S$54:S$113,TRANSPOSE(SAP_Speadsheet!$E$35:$BL$35))</f>
        <v>0</v>
      </c>
      <c r="T45" s="488" cm="1">
        <f t="array" aca="1" ref="T45" ca="1">SUMPRODUCT(T$54:T$113,TRANSPOSE(SAP_Speadsheet!$E$35:$BL$35))</f>
        <v>0</v>
      </c>
      <c r="U45" s="488" cm="1">
        <f t="array" aca="1" ref="U45" ca="1">SUMPRODUCT(U$54:U$113,TRANSPOSE(SAP_Speadsheet!$E$35:$BL$35))</f>
        <v>0</v>
      </c>
      <c r="V45" s="488" cm="1">
        <f t="array" aca="1" ref="V45" ca="1">SUMPRODUCT(V$54:V$113,TRANSPOSE(SAP_Speadsheet!$E$35:$BL$35))</f>
        <v>0</v>
      </c>
      <c r="W45" s="488" cm="1">
        <f t="array" aca="1" ref="W45" ca="1">SUMPRODUCT(W$54:W$113,TRANSPOSE(SAP_Speadsheet!$E$35:$BL$35))</f>
        <v>0</v>
      </c>
      <c r="X45" s="488" cm="1">
        <f t="array" aca="1" ref="X45" ca="1">SUMPRODUCT(X$54:X$113,TRANSPOSE(SAP_Speadsheet!$E$35:$BL$35))</f>
        <v>0</v>
      </c>
      <c r="Y45" s="488" cm="1">
        <f t="array" aca="1" ref="Y45" ca="1">SUMPRODUCT(Y$54:Y$113,TRANSPOSE(SAP_Speadsheet!$E$35:$BL$35))</f>
        <v>0</v>
      </c>
      <c r="Z45" s="488" cm="1">
        <f t="array" aca="1" ref="Z45" ca="1">SUMPRODUCT(Z$54:Z$113,TRANSPOSE(SAP_Speadsheet!$E$35:$BL$35))</f>
        <v>0</v>
      </c>
      <c r="AA45" s="488" cm="1">
        <f t="array" aca="1" ref="AA45" ca="1">SUMPRODUCT(AA$54:AA$113,TRANSPOSE(SAP_Speadsheet!$E$35:$BL$35))</f>
        <v>0</v>
      </c>
      <c r="AB45" s="488" cm="1">
        <f t="array" aca="1" ref="AB45" ca="1">SUMPRODUCT(AB$54:AB$113,TRANSPOSE(SAP_Speadsheet!$E$35:$BL$35))</f>
        <v>0</v>
      </c>
      <c r="AC45" s="488" cm="1">
        <f t="array" aca="1" ref="AC45" ca="1">SUMPRODUCT(AC$54:AC$113,TRANSPOSE(SAP_Speadsheet!$E$35:$BL$35))</f>
        <v>0</v>
      </c>
      <c r="AD45" s="488" cm="1">
        <f t="array" aca="1" ref="AD45" ca="1">SUMPRODUCT(AD$54:AD$113,TRANSPOSE(SAP_Speadsheet!$E$35:$BL$35))</f>
        <v>0</v>
      </c>
      <c r="AE45" s="488" cm="1">
        <f t="array" aca="1" ref="AE45" ca="1">SUMPRODUCT(AE$54:AE$113,TRANSPOSE(SAP_Speadsheet!$E$35:$BL$35))</f>
        <v>0</v>
      </c>
      <c r="AF45" s="488" cm="1">
        <f t="array" aca="1" ref="AF45" ca="1">SUMPRODUCT(AF$54:AF$113,TRANSPOSE(SAP_Speadsheet!$E$35:$BL$35))</f>
        <v>0</v>
      </c>
      <c r="AG45" s="488" cm="1">
        <f t="array" aca="1" ref="AG45" ca="1">SUMPRODUCT(AG$54:AG$113,TRANSPOSE(SAP_Speadsheet!$E$35:$BL$35))</f>
        <v>0</v>
      </c>
      <c r="AH45" s="488" cm="1">
        <f t="array" aca="1" ref="AH45" ca="1">SUMPRODUCT(AH$54:AH$113,TRANSPOSE(SAP_Speadsheet!$E$35:$BL$35))</f>
        <v>0</v>
      </c>
      <c r="AI45" s="488" cm="1">
        <f t="array" aca="1" ref="AI45" ca="1">SUMPRODUCT(AI$54:AI$113,TRANSPOSE(SAP_Speadsheet!$E$35:$BL$35))</f>
        <v>0</v>
      </c>
      <c r="AJ45" s="488" cm="1">
        <f t="array" aca="1" ref="AJ45" ca="1">SUMPRODUCT(AJ$54:AJ$113,TRANSPOSE(SAP_Speadsheet!$E$35:$BL$35))</f>
        <v>0</v>
      </c>
      <c r="AK45" s="488" cm="1">
        <f t="array" aca="1" ref="AK45" ca="1">SUMPRODUCT(AK$54:AK$113,TRANSPOSE(SAP_Speadsheet!$E$35:$BL$35))</f>
        <v>0</v>
      </c>
      <c r="AL45" s="488" cm="1">
        <f t="array" aca="1" ref="AL45" ca="1">SUMPRODUCT(AL$54:AL$113,TRANSPOSE(SAP_Speadsheet!$E$35:$BL$35))</f>
        <v>0</v>
      </c>
      <c r="AM45" s="488" cm="1">
        <f t="array" aca="1" ref="AM45" ca="1">SUMPRODUCT(AM$54:AM$113,TRANSPOSE(SAP_Speadsheet!$E$35:$BL$35))</f>
        <v>0</v>
      </c>
      <c r="AN45" s="488" cm="1">
        <f t="array" aca="1" ref="AN45" ca="1">SUMPRODUCT(AN$54:AN$113,TRANSPOSE(SAP_Speadsheet!$E$35:$BL$35))</f>
        <v>0</v>
      </c>
      <c r="AO45" s="488" cm="1">
        <f t="array" aca="1" ref="AO45" ca="1">SUMPRODUCT(AO$54:AO$113,TRANSPOSE(SAP_Speadsheet!$E$35:$BL$35))</f>
        <v>0</v>
      </c>
      <c r="AP45" s="488" cm="1">
        <f t="array" aca="1" ref="AP45" ca="1">SUMPRODUCT(AP$54:AP$113,TRANSPOSE(SAP_Speadsheet!$E$35:$BL$35))</f>
        <v>0</v>
      </c>
      <c r="AQ45" s="488" cm="1">
        <f t="array" aca="1" ref="AQ45" ca="1">SUMPRODUCT(AQ$54:AQ$113,TRANSPOSE(SAP_Speadsheet!$E$35:$BL$35))</f>
        <v>0</v>
      </c>
      <c r="AR45" s="488" cm="1">
        <f t="array" aca="1" ref="AR45" ca="1">SUMPRODUCT(AR$54:AR$113,TRANSPOSE(SAP_Speadsheet!$E$35:$BL$35))</f>
        <v>0</v>
      </c>
      <c r="AS45" s="488" cm="1">
        <f t="array" aca="1" ref="AS45" ca="1">SUMPRODUCT(AS$54:AS$113,TRANSPOSE(SAP_Speadsheet!$E$35:$BL$35))</f>
        <v>0</v>
      </c>
      <c r="AT45" s="488" cm="1">
        <f t="array" aca="1" ref="AT45" ca="1">SUMPRODUCT(AT$54:AT$113,TRANSPOSE(SAP_Speadsheet!$E$35:$BL$35))</f>
        <v>0</v>
      </c>
      <c r="AU45" s="488" cm="1">
        <f t="array" aca="1" ref="AU45" ca="1">SUMPRODUCT(AU$54:AU$113,TRANSPOSE(SAP_Speadsheet!$E$35:$BL$35))</f>
        <v>0</v>
      </c>
      <c r="AV45" s="488" cm="1">
        <f t="array" aca="1" ref="AV45" ca="1">SUMPRODUCT(AV$54:AV$113,TRANSPOSE(SAP_Speadsheet!$E$35:$BL$35))</f>
        <v>0</v>
      </c>
      <c r="AW45" s="488" cm="1">
        <f t="array" aca="1" ref="AW45" ca="1">SUMPRODUCT(AW$54:AW$113,TRANSPOSE(SAP_Speadsheet!$E$35:$BL$35))</f>
        <v>0</v>
      </c>
      <c r="AX45" s="488" cm="1">
        <f t="array" aca="1" ref="AX45" ca="1">SUMPRODUCT(AX$54:AX$113,TRANSPOSE(SAP_Speadsheet!$E$35:$BL$35))</f>
        <v>0</v>
      </c>
      <c r="AY45" s="488" cm="1">
        <f t="array" aca="1" ref="AY45" ca="1">SUMPRODUCT(AY$54:AY$113,TRANSPOSE(SAP_Speadsheet!$E$35:$BL$35))</f>
        <v>0</v>
      </c>
      <c r="AZ45" s="488" cm="1">
        <f t="array" aca="1" ref="AZ45" ca="1">SUMPRODUCT(AZ$54:AZ$113,TRANSPOSE(SAP_Speadsheet!$E$35:$BL$35))</f>
        <v>0</v>
      </c>
      <c r="BA45" s="488" cm="1">
        <f t="array" aca="1" ref="BA45" ca="1">SUMPRODUCT(BA$54:BA$113,TRANSPOSE(SAP_Speadsheet!$E$35:$BL$35))</f>
        <v>0</v>
      </c>
      <c r="BB45" s="488" cm="1">
        <f t="array" aca="1" ref="BB45" ca="1">SUMPRODUCT(BB$54:BB$113,TRANSPOSE(SAP_Speadsheet!$E$35:$BL$35))</f>
        <v>0</v>
      </c>
      <c r="BC45" s="488" cm="1">
        <f t="array" aca="1" ref="BC45" ca="1">SUMPRODUCT(BC$54:BC$113,TRANSPOSE(SAP_Speadsheet!$E$35:$BL$35))</f>
        <v>0</v>
      </c>
      <c r="BD45" s="488" cm="1">
        <f t="array" aca="1" ref="BD45" ca="1">SUMPRODUCT(BD$54:BD$113,TRANSPOSE(SAP_Speadsheet!$E$35:$BL$35))</f>
        <v>0</v>
      </c>
      <c r="BE45" s="488" cm="1">
        <f t="array" aca="1" ref="BE45" ca="1">SUMPRODUCT(BE$54:BE$113,TRANSPOSE(SAP_Speadsheet!$E$35:$BL$35))</f>
        <v>0</v>
      </c>
      <c r="BF45" s="488" cm="1">
        <f t="array" aca="1" ref="BF45" ca="1">SUMPRODUCT(BF$54:BF$113,TRANSPOSE(SAP_Speadsheet!$E$35:$BL$35))</f>
        <v>0</v>
      </c>
      <c r="BG45" s="488" cm="1">
        <f t="array" aca="1" ref="BG45" ca="1">SUMPRODUCT(BG$54:BG$113,TRANSPOSE(SAP_Speadsheet!$E$35:$BL$35))</f>
        <v>0</v>
      </c>
      <c r="BH45" s="488" cm="1">
        <f t="array" aca="1" ref="BH45" ca="1">SUMPRODUCT(BH$54:BH$113,TRANSPOSE(SAP_Speadsheet!$E$35:$BL$35))</f>
        <v>0</v>
      </c>
      <c r="BI45" s="488" cm="1">
        <f t="array" aca="1" ref="BI45" ca="1">SUMPRODUCT(BI$54:BI$113,TRANSPOSE(SAP_Speadsheet!$E$35:$BL$35))</f>
        <v>0</v>
      </c>
    </row>
    <row r="46" spans="1:61" x14ac:dyDescent="0.15">
      <c r="A46" s="477" t="s">
        <v>361</v>
      </c>
      <c r="B46" s="488" cm="1">
        <f t="array" aca="1" ref="B46" ca="1">SUMPRODUCT(B$54:B$113,TRANSPOSE(SAP_Speadsheet!$E$36:$BL$36))</f>
        <v>0</v>
      </c>
      <c r="C46" s="488" cm="1">
        <f t="array" aca="1" ref="C46" ca="1">SUMPRODUCT(C$54:C$113,TRANSPOSE(SAP_Speadsheet!$E$36:$BL$36))</f>
        <v>0</v>
      </c>
      <c r="D46" s="488" cm="1">
        <f t="array" aca="1" ref="D46" ca="1">SUMPRODUCT(D$54:D$113,TRANSPOSE(SAP_Speadsheet!$E$36:$BL$36))</f>
        <v>0</v>
      </c>
      <c r="E46" s="488" cm="1">
        <f t="array" aca="1" ref="E46" ca="1">SUMPRODUCT(E$54:E$113,TRANSPOSE(SAP_Speadsheet!$E$36:$BL$36))</f>
        <v>0</v>
      </c>
      <c r="F46" s="488" cm="1">
        <f t="array" aca="1" ref="F46" ca="1">SUMPRODUCT(F$54:F$113,TRANSPOSE(SAP_Speadsheet!$E$36:$BL$36))</f>
        <v>0</v>
      </c>
      <c r="G46" s="488" cm="1">
        <f t="array" aca="1" ref="G46" ca="1">SUMPRODUCT(G$54:G$113,TRANSPOSE(SAP_Speadsheet!$E$36:$BL$36))</f>
        <v>0</v>
      </c>
      <c r="H46" s="488" cm="1">
        <f t="array" aca="1" ref="H46" ca="1">SUMPRODUCT(H$54:H$113,TRANSPOSE(SAP_Speadsheet!$E$36:$BL$36))</f>
        <v>0</v>
      </c>
      <c r="I46" s="488" cm="1">
        <f t="array" aca="1" ref="I46" ca="1">SUMPRODUCT(I$54:I$113,TRANSPOSE(SAP_Speadsheet!$E$36:$BL$36))</f>
        <v>0</v>
      </c>
      <c r="J46" s="488" cm="1">
        <f t="array" aca="1" ref="J46" ca="1">SUMPRODUCT(J$54:J$113,TRANSPOSE(SAP_Speadsheet!$E$36:$BL$36))</f>
        <v>0</v>
      </c>
      <c r="K46" s="488" cm="1">
        <f t="array" aca="1" ref="K46" ca="1">SUMPRODUCT(K$54:K$113,TRANSPOSE(SAP_Speadsheet!$E$36:$BL$36))</f>
        <v>0</v>
      </c>
      <c r="L46" s="488" cm="1">
        <f t="array" aca="1" ref="L46" ca="1">SUMPRODUCT(L$54:L$113,TRANSPOSE(SAP_Speadsheet!$E$36:$BL$36))</f>
        <v>0</v>
      </c>
      <c r="M46" s="488" cm="1">
        <f t="array" aca="1" ref="M46" ca="1">SUMPRODUCT(M$54:M$113,TRANSPOSE(SAP_Speadsheet!$E$36:$BL$36))</f>
        <v>0</v>
      </c>
      <c r="N46" s="488" cm="1">
        <f t="array" aca="1" ref="N46" ca="1">SUMPRODUCT(N$54:N$113,TRANSPOSE(SAP_Speadsheet!$E$36:$BL$36))</f>
        <v>0</v>
      </c>
      <c r="O46" s="488" cm="1">
        <f t="array" aca="1" ref="O46" ca="1">SUMPRODUCT(O$54:O$113,TRANSPOSE(SAP_Speadsheet!$E$36:$BL$36))</f>
        <v>0</v>
      </c>
      <c r="P46" s="488" cm="1">
        <f t="array" aca="1" ref="P46" ca="1">SUMPRODUCT(P$54:P$113,TRANSPOSE(SAP_Speadsheet!$E$36:$BL$36))</f>
        <v>0</v>
      </c>
      <c r="Q46" s="488" cm="1">
        <f t="array" aca="1" ref="Q46" ca="1">SUMPRODUCT(Q$54:Q$113,TRANSPOSE(SAP_Speadsheet!$E$36:$BL$36))</f>
        <v>0</v>
      </c>
      <c r="R46" s="488" cm="1">
        <f t="array" aca="1" ref="R46" ca="1">SUMPRODUCT(R$54:R$113,TRANSPOSE(SAP_Speadsheet!$E$36:$BL$36))</f>
        <v>0</v>
      </c>
      <c r="S46" s="488" cm="1">
        <f t="array" aca="1" ref="S46" ca="1">SUMPRODUCT(S$54:S$113,TRANSPOSE(SAP_Speadsheet!$E$36:$BL$36))</f>
        <v>0</v>
      </c>
      <c r="T46" s="488" cm="1">
        <f t="array" aca="1" ref="T46" ca="1">SUMPRODUCT(T$54:T$113,TRANSPOSE(SAP_Speadsheet!$E$36:$BL$36))</f>
        <v>0</v>
      </c>
      <c r="U46" s="488" cm="1">
        <f t="array" aca="1" ref="U46" ca="1">SUMPRODUCT(U$54:U$113,TRANSPOSE(SAP_Speadsheet!$E$36:$BL$36))</f>
        <v>0</v>
      </c>
      <c r="V46" s="488" cm="1">
        <f t="array" aca="1" ref="V46" ca="1">SUMPRODUCT(V$54:V$113,TRANSPOSE(SAP_Speadsheet!$E$36:$BL$36))</f>
        <v>0</v>
      </c>
      <c r="W46" s="488" cm="1">
        <f t="array" aca="1" ref="W46" ca="1">SUMPRODUCT(W$54:W$113,TRANSPOSE(SAP_Speadsheet!$E$36:$BL$36))</f>
        <v>0</v>
      </c>
      <c r="X46" s="488" cm="1">
        <f t="array" aca="1" ref="X46" ca="1">SUMPRODUCT(X$54:X$113,TRANSPOSE(SAP_Speadsheet!$E$36:$BL$36))</f>
        <v>0</v>
      </c>
      <c r="Y46" s="488" cm="1">
        <f t="array" aca="1" ref="Y46" ca="1">SUMPRODUCT(Y$54:Y$113,TRANSPOSE(SAP_Speadsheet!$E$36:$BL$36))</f>
        <v>0</v>
      </c>
      <c r="Z46" s="488" cm="1">
        <f t="array" aca="1" ref="Z46" ca="1">SUMPRODUCT(Z$54:Z$113,TRANSPOSE(SAP_Speadsheet!$E$36:$BL$36))</f>
        <v>0</v>
      </c>
      <c r="AA46" s="488" cm="1">
        <f t="array" aca="1" ref="AA46" ca="1">SUMPRODUCT(AA$54:AA$113,TRANSPOSE(SAP_Speadsheet!$E$36:$BL$36))</f>
        <v>0</v>
      </c>
      <c r="AB46" s="488" cm="1">
        <f t="array" aca="1" ref="AB46" ca="1">SUMPRODUCT(AB$54:AB$113,TRANSPOSE(SAP_Speadsheet!$E$36:$BL$36))</f>
        <v>0</v>
      </c>
      <c r="AC46" s="488" cm="1">
        <f t="array" aca="1" ref="AC46" ca="1">SUMPRODUCT(AC$54:AC$113,TRANSPOSE(SAP_Speadsheet!$E$36:$BL$36))</f>
        <v>0</v>
      </c>
      <c r="AD46" s="488" cm="1">
        <f t="array" aca="1" ref="AD46" ca="1">SUMPRODUCT(AD$54:AD$113,TRANSPOSE(SAP_Speadsheet!$E$36:$BL$36))</f>
        <v>0</v>
      </c>
      <c r="AE46" s="488" cm="1">
        <f t="array" aca="1" ref="AE46" ca="1">SUMPRODUCT(AE$54:AE$113,TRANSPOSE(SAP_Speadsheet!$E$36:$BL$36))</f>
        <v>0</v>
      </c>
      <c r="AF46" s="488" cm="1">
        <f t="array" aca="1" ref="AF46" ca="1">SUMPRODUCT(AF$54:AF$113,TRANSPOSE(SAP_Speadsheet!$E$36:$BL$36))</f>
        <v>0</v>
      </c>
      <c r="AG46" s="488" cm="1">
        <f t="array" aca="1" ref="AG46" ca="1">SUMPRODUCT(AG$54:AG$113,TRANSPOSE(SAP_Speadsheet!$E$36:$BL$36))</f>
        <v>0</v>
      </c>
      <c r="AH46" s="488" cm="1">
        <f t="array" aca="1" ref="AH46" ca="1">SUMPRODUCT(AH$54:AH$113,TRANSPOSE(SAP_Speadsheet!$E$36:$BL$36))</f>
        <v>0</v>
      </c>
      <c r="AI46" s="488" cm="1">
        <f t="array" aca="1" ref="AI46" ca="1">SUMPRODUCT(AI$54:AI$113,TRANSPOSE(SAP_Speadsheet!$E$36:$BL$36))</f>
        <v>0</v>
      </c>
      <c r="AJ46" s="488" cm="1">
        <f t="array" aca="1" ref="AJ46" ca="1">SUMPRODUCT(AJ$54:AJ$113,TRANSPOSE(SAP_Speadsheet!$E$36:$BL$36))</f>
        <v>0</v>
      </c>
      <c r="AK46" s="488" cm="1">
        <f t="array" aca="1" ref="AK46" ca="1">SUMPRODUCT(AK$54:AK$113,TRANSPOSE(SAP_Speadsheet!$E$36:$BL$36))</f>
        <v>0</v>
      </c>
      <c r="AL46" s="488" cm="1">
        <f t="array" aca="1" ref="AL46" ca="1">SUMPRODUCT(AL$54:AL$113,TRANSPOSE(SAP_Speadsheet!$E$36:$BL$36))</f>
        <v>0</v>
      </c>
      <c r="AM46" s="488" cm="1">
        <f t="array" aca="1" ref="AM46" ca="1">SUMPRODUCT(AM$54:AM$113,TRANSPOSE(SAP_Speadsheet!$E$36:$BL$36))</f>
        <v>0</v>
      </c>
      <c r="AN46" s="488" cm="1">
        <f t="array" aca="1" ref="AN46" ca="1">SUMPRODUCT(AN$54:AN$113,TRANSPOSE(SAP_Speadsheet!$E$36:$BL$36))</f>
        <v>0</v>
      </c>
      <c r="AO46" s="488" cm="1">
        <f t="array" aca="1" ref="AO46" ca="1">SUMPRODUCT(AO$54:AO$113,TRANSPOSE(SAP_Speadsheet!$E$36:$BL$36))</f>
        <v>0</v>
      </c>
      <c r="AP46" s="488" cm="1">
        <f t="array" aca="1" ref="AP46" ca="1">SUMPRODUCT(AP$54:AP$113,TRANSPOSE(SAP_Speadsheet!$E$36:$BL$36))</f>
        <v>0</v>
      </c>
      <c r="AQ46" s="488" cm="1">
        <f t="array" aca="1" ref="AQ46" ca="1">SUMPRODUCT(AQ$54:AQ$113,TRANSPOSE(SAP_Speadsheet!$E$36:$BL$36))</f>
        <v>0</v>
      </c>
      <c r="AR46" s="488" cm="1">
        <f t="array" aca="1" ref="AR46" ca="1">SUMPRODUCT(AR$54:AR$113,TRANSPOSE(SAP_Speadsheet!$E$36:$BL$36))</f>
        <v>0</v>
      </c>
      <c r="AS46" s="488" cm="1">
        <f t="array" aca="1" ref="AS46" ca="1">SUMPRODUCT(AS$54:AS$113,TRANSPOSE(SAP_Speadsheet!$E$36:$BL$36))</f>
        <v>0</v>
      </c>
      <c r="AT46" s="488" cm="1">
        <f t="array" aca="1" ref="AT46" ca="1">SUMPRODUCT(AT$54:AT$113,TRANSPOSE(SAP_Speadsheet!$E$36:$BL$36))</f>
        <v>0</v>
      </c>
      <c r="AU46" s="488" cm="1">
        <f t="array" aca="1" ref="AU46" ca="1">SUMPRODUCT(AU$54:AU$113,TRANSPOSE(SAP_Speadsheet!$E$36:$BL$36))</f>
        <v>0</v>
      </c>
      <c r="AV46" s="488" cm="1">
        <f t="array" aca="1" ref="AV46" ca="1">SUMPRODUCT(AV$54:AV$113,TRANSPOSE(SAP_Speadsheet!$E$36:$BL$36))</f>
        <v>0</v>
      </c>
      <c r="AW46" s="488" cm="1">
        <f t="array" aca="1" ref="AW46" ca="1">SUMPRODUCT(AW$54:AW$113,TRANSPOSE(SAP_Speadsheet!$E$36:$BL$36))</f>
        <v>0</v>
      </c>
      <c r="AX46" s="488" cm="1">
        <f t="array" aca="1" ref="AX46" ca="1">SUMPRODUCT(AX$54:AX$113,TRANSPOSE(SAP_Speadsheet!$E$36:$BL$36))</f>
        <v>0</v>
      </c>
      <c r="AY46" s="488" cm="1">
        <f t="array" aca="1" ref="AY46" ca="1">SUMPRODUCT(AY$54:AY$113,TRANSPOSE(SAP_Speadsheet!$E$36:$BL$36))</f>
        <v>0</v>
      </c>
      <c r="AZ46" s="488" cm="1">
        <f t="array" aca="1" ref="AZ46" ca="1">SUMPRODUCT(AZ$54:AZ$113,TRANSPOSE(SAP_Speadsheet!$E$36:$BL$36))</f>
        <v>0</v>
      </c>
      <c r="BA46" s="488" cm="1">
        <f t="array" aca="1" ref="BA46" ca="1">SUMPRODUCT(BA$54:BA$113,TRANSPOSE(SAP_Speadsheet!$E$36:$BL$36))</f>
        <v>0</v>
      </c>
      <c r="BB46" s="488" cm="1">
        <f t="array" aca="1" ref="BB46" ca="1">SUMPRODUCT(BB$54:BB$113,TRANSPOSE(SAP_Speadsheet!$E$36:$BL$36))</f>
        <v>0</v>
      </c>
      <c r="BC46" s="488" cm="1">
        <f t="array" aca="1" ref="BC46" ca="1">SUMPRODUCT(BC$54:BC$113,TRANSPOSE(SAP_Speadsheet!$E$36:$BL$36))</f>
        <v>0</v>
      </c>
      <c r="BD46" s="488" cm="1">
        <f t="array" aca="1" ref="BD46" ca="1">SUMPRODUCT(BD$54:BD$113,TRANSPOSE(SAP_Speadsheet!$E$36:$BL$36))</f>
        <v>0</v>
      </c>
      <c r="BE46" s="488" cm="1">
        <f t="array" aca="1" ref="BE46" ca="1">SUMPRODUCT(BE$54:BE$113,TRANSPOSE(SAP_Speadsheet!$E$36:$BL$36))</f>
        <v>0</v>
      </c>
      <c r="BF46" s="488" cm="1">
        <f t="array" aca="1" ref="BF46" ca="1">SUMPRODUCT(BF$54:BF$113,TRANSPOSE(SAP_Speadsheet!$E$36:$BL$36))</f>
        <v>0</v>
      </c>
      <c r="BG46" s="488" cm="1">
        <f t="array" aca="1" ref="BG46" ca="1">SUMPRODUCT(BG$54:BG$113,TRANSPOSE(SAP_Speadsheet!$E$36:$BL$36))</f>
        <v>0</v>
      </c>
      <c r="BH46" s="488" cm="1">
        <f t="array" aca="1" ref="BH46" ca="1">SUMPRODUCT(BH$54:BH$113,TRANSPOSE(SAP_Speadsheet!$E$36:$BL$36))</f>
        <v>0</v>
      </c>
      <c r="BI46" s="488" cm="1">
        <f t="array" aca="1" ref="BI46" ca="1">SUMPRODUCT(BI$54:BI$113,TRANSPOSE(SAP_Speadsheet!$E$36:$BL$36))</f>
        <v>0</v>
      </c>
    </row>
    <row r="47" spans="1:61" x14ac:dyDescent="0.15">
      <c r="A47" s="477" t="s">
        <v>362</v>
      </c>
      <c r="B47" s="488" cm="1">
        <f t="array" aca="1" ref="B47" ca="1">SUMPRODUCT(B$54:B$113,TRANSPOSE(SAP_Speadsheet!$E$37:$BL$37))</f>
        <v>0</v>
      </c>
      <c r="C47" s="488" cm="1">
        <f t="array" aca="1" ref="C47" ca="1">SUMPRODUCT(C$54:C$113,TRANSPOSE(SAP_Speadsheet!$E$37:$BL$37))</f>
        <v>0</v>
      </c>
      <c r="D47" s="488" cm="1">
        <f t="array" aca="1" ref="D47" ca="1">SUMPRODUCT(D$54:D$113,TRANSPOSE(SAP_Speadsheet!$E$37:$BL$37))</f>
        <v>0</v>
      </c>
      <c r="E47" s="488" cm="1">
        <f t="array" aca="1" ref="E47" ca="1">SUMPRODUCT(E$54:E$113,TRANSPOSE(SAP_Speadsheet!$E$37:$BL$37))</f>
        <v>0</v>
      </c>
      <c r="F47" s="488" cm="1">
        <f t="array" aca="1" ref="F47" ca="1">SUMPRODUCT(F$54:F$113,TRANSPOSE(SAP_Speadsheet!$E$37:$BL$37))</f>
        <v>0</v>
      </c>
      <c r="G47" s="488" cm="1">
        <f t="array" aca="1" ref="G47" ca="1">SUMPRODUCT(G$54:G$113,TRANSPOSE(SAP_Speadsheet!$E$37:$BL$37))</f>
        <v>0</v>
      </c>
      <c r="H47" s="488" cm="1">
        <f t="array" aca="1" ref="H47" ca="1">SUMPRODUCT(H$54:H$113,TRANSPOSE(SAP_Speadsheet!$E$37:$BL$37))</f>
        <v>0</v>
      </c>
      <c r="I47" s="488" cm="1">
        <f t="array" aca="1" ref="I47" ca="1">SUMPRODUCT(I$54:I$113,TRANSPOSE(SAP_Speadsheet!$E$37:$BL$37))</f>
        <v>0</v>
      </c>
      <c r="J47" s="488" cm="1">
        <f t="array" aca="1" ref="J47" ca="1">SUMPRODUCT(J$54:J$113,TRANSPOSE(SAP_Speadsheet!$E$37:$BL$37))</f>
        <v>0</v>
      </c>
      <c r="K47" s="488" cm="1">
        <f t="array" aca="1" ref="K47" ca="1">SUMPRODUCT(K$54:K$113,TRANSPOSE(SAP_Speadsheet!$E$37:$BL$37))</f>
        <v>0</v>
      </c>
      <c r="L47" s="488" cm="1">
        <f t="array" aca="1" ref="L47" ca="1">SUMPRODUCT(L$54:L$113,TRANSPOSE(SAP_Speadsheet!$E$37:$BL$37))</f>
        <v>0</v>
      </c>
      <c r="M47" s="488" cm="1">
        <f t="array" aca="1" ref="M47" ca="1">SUMPRODUCT(M$54:M$113,TRANSPOSE(SAP_Speadsheet!$E$37:$BL$37))</f>
        <v>0</v>
      </c>
      <c r="N47" s="488" cm="1">
        <f t="array" aca="1" ref="N47" ca="1">SUMPRODUCT(N$54:N$113,TRANSPOSE(SAP_Speadsheet!$E$37:$BL$37))</f>
        <v>0</v>
      </c>
      <c r="O47" s="488" cm="1">
        <f t="array" aca="1" ref="O47" ca="1">SUMPRODUCT(O$54:O$113,TRANSPOSE(SAP_Speadsheet!$E$37:$BL$37))</f>
        <v>0</v>
      </c>
      <c r="P47" s="488" cm="1">
        <f t="array" aca="1" ref="P47" ca="1">SUMPRODUCT(P$54:P$113,TRANSPOSE(SAP_Speadsheet!$E$37:$BL$37))</f>
        <v>0</v>
      </c>
      <c r="Q47" s="488" cm="1">
        <f t="array" aca="1" ref="Q47" ca="1">SUMPRODUCT(Q$54:Q$113,TRANSPOSE(SAP_Speadsheet!$E$37:$BL$37))</f>
        <v>0</v>
      </c>
      <c r="R47" s="488" cm="1">
        <f t="array" aca="1" ref="R47" ca="1">SUMPRODUCT(R$54:R$113,TRANSPOSE(SAP_Speadsheet!$E$37:$BL$37))</f>
        <v>0</v>
      </c>
      <c r="S47" s="488" cm="1">
        <f t="array" aca="1" ref="S47" ca="1">SUMPRODUCT(S$54:S$113,TRANSPOSE(SAP_Speadsheet!$E$37:$BL$37))</f>
        <v>0</v>
      </c>
      <c r="T47" s="488" cm="1">
        <f t="array" aca="1" ref="T47" ca="1">SUMPRODUCT(T$54:T$113,TRANSPOSE(SAP_Speadsheet!$E$37:$BL$37))</f>
        <v>0</v>
      </c>
      <c r="U47" s="488" cm="1">
        <f t="array" aca="1" ref="U47" ca="1">SUMPRODUCT(U$54:U$113,TRANSPOSE(SAP_Speadsheet!$E$37:$BL$37))</f>
        <v>0</v>
      </c>
      <c r="V47" s="488" cm="1">
        <f t="array" aca="1" ref="V47" ca="1">SUMPRODUCT(V$54:V$113,TRANSPOSE(SAP_Speadsheet!$E$37:$BL$37))</f>
        <v>0</v>
      </c>
      <c r="W47" s="488" cm="1">
        <f t="array" aca="1" ref="W47" ca="1">SUMPRODUCT(W$54:W$113,TRANSPOSE(SAP_Speadsheet!$E$37:$BL$37))</f>
        <v>0</v>
      </c>
      <c r="X47" s="488" cm="1">
        <f t="array" aca="1" ref="X47" ca="1">SUMPRODUCT(X$54:X$113,TRANSPOSE(SAP_Speadsheet!$E$37:$BL$37))</f>
        <v>0</v>
      </c>
      <c r="Y47" s="488" cm="1">
        <f t="array" aca="1" ref="Y47" ca="1">SUMPRODUCT(Y$54:Y$113,TRANSPOSE(SAP_Speadsheet!$E$37:$BL$37))</f>
        <v>0</v>
      </c>
      <c r="Z47" s="488" cm="1">
        <f t="array" aca="1" ref="Z47" ca="1">SUMPRODUCT(Z$54:Z$113,TRANSPOSE(SAP_Speadsheet!$E$37:$BL$37))</f>
        <v>0</v>
      </c>
      <c r="AA47" s="488" cm="1">
        <f t="array" aca="1" ref="AA47" ca="1">SUMPRODUCT(AA$54:AA$113,TRANSPOSE(SAP_Speadsheet!$E$37:$BL$37))</f>
        <v>0</v>
      </c>
      <c r="AB47" s="488" cm="1">
        <f t="array" aca="1" ref="AB47" ca="1">SUMPRODUCT(AB$54:AB$113,TRANSPOSE(SAP_Speadsheet!$E$37:$BL$37))</f>
        <v>0</v>
      </c>
      <c r="AC47" s="488" cm="1">
        <f t="array" aca="1" ref="AC47" ca="1">SUMPRODUCT(AC$54:AC$113,TRANSPOSE(SAP_Speadsheet!$E$37:$BL$37))</f>
        <v>0</v>
      </c>
      <c r="AD47" s="488" cm="1">
        <f t="array" aca="1" ref="AD47" ca="1">SUMPRODUCT(AD$54:AD$113,TRANSPOSE(SAP_Speadsheet!$E$37:$BL$37))</f>
        <v>0</v>
      </c>
      <c r="AE47" s="488" cm="1">
        <f t="array" aca="1" ref="AE47" ca="1">SUMPRODUCT(AE$54:AE$113,TRANSPOSE(SAP_Speadsheet!$E$37:$BL$37))</f>
        <v>0</v>
      </c>
      <c r="AF47" s="488" cm="1">
        <f t="array" aca="1" ref="AF47" ca="1">SUMPRODUCT(AF$54:AF$113,TRANSPOSE(SAP_Speadsheet!$E$37:$BL$37))</f>
        <v>0</v>
      </c>
      <c r="AG47" s="488" cm="1">
        <f t="array" aca="1" ref="AG47" ca="1">SUMPRODUCT(AG$54:AG$113,TRANSPOSE(SAP_Speadsheet!$E$37:$BL$37))</f>
        <v>0</v>
      </c>
      <c r="AH47" s="488" cm="1">
        <f t="array" aca="1" ref="AH47" ca="1">SUMPRODUCT(AH$54:AH$113,TRANSPOSE(SAP_Speadsheet!$E$37:$BL$37))</f>
        <v>0</v>
      </c>
      <c r="AI47" s="488" cm="1">
        <f t="array" aca="1" ref="AI47" ca="1">SUMPRODUCT(AI$54:AI$113,TRANSPOSE(SAP_Speadsheet!$E$37:$BL$37))</f>
        <v>0</v>
      </c>
      <c r="AJ47" s="488" cm="1">
        <f t="array" aca="1" ref="AJ47" ca="1">SUMPRODUCT(AJ$54:AJ$113,TRANSPOSE(SAP_Speadsheet!$E$37:$BL$37))</f>
        <v>0</v>
      </c>
      <c r="AK47" s="488" cm="1">
        <f t="array" aca="1" ref="AK47" ca="1">SUMPRODUCT(AK$54:AK$113,TRANSPOSE(SAP_Speadsheet!$E$37:$BL$37))</f>
        <v>0</v>
      </c>
      <c r="AL47" s="488" cm="1">
        <f t="array" aca="1" ref="AL47" ca="1">SUMPRODUCT(AL$54:AL$113,TRANSPOSE(SAP_Speadsheet!$E$37:$BL$37))</f>
        <v>0</v>
      </c>
      <c r="AM47" s="488" cm="1">
        <f t="array" aca="1" ref="AM47" ca="1">SUMPRODUCT(AM$54:AM$113,TRANSPOSE(SAP_Speadsheet!$E$37:$BL$37))</f>
        <v>0</v>
      </c>
      <c r="AN47" s="488" cm="1">
        <f t="array" aca="1" ref="AN47" ca="1">SUMPRODUCT(AN$54:AN$113,TRANSPOSE(SAP_Speadsheet!$E$37:$BL$37))</f>
        <v>0</v>
      </c>
      <c r="AO47" s="488" cm="1">
        <f t="array" aca="1" ref="AO47" ca="1">SUMPRODUCT(AO$54:AO$113,TRANSPOSE(SAP_Speadsheet!$E$37:$BL$37))</f>
        <v>0</v>
      </c>
      <c r="AP47" s="488" cm="1">
        <f t="array" aca="1" ref="AP47" ca="1">SUMPRODUCT(AP$54:AP$113,TRANSPOSE(SAP_Speadsheet!$E$37:$BL$37))</f>
        <v>0</v>
      </c>
      <c r="AQ47" s="488" cm="1">
        <f t="array" aca="1" ref="AQ47" ca="1">SUMPRODUCT(AQ$54:AQ$113,TRANSPOSE(SAP_Speadsheet!$E$37:$BL$37))</f>
        <v>0</v>
      </c>
      <c r="AR47" s="488" cm="1">
        <f t="array" aca="1" ref="AR47" ca="1">SUMPRODUCT(AR$54:AR$113,TRANSPOSE(SAP_Speadsheet!$E$37:$BL$37))</f>
        <v>0</v>
      </c>
      <c r="AS47" s="488" cm="1">
        <f t="array" aca="1" ref="AS47" ca="1">SUMPRODUCT(AS$54:AS$113,TRANSPOSE(SAP_Speadsheet!$E$37:$BL$37))</f>
        <v>0</v>
      </c>
      <c r="AT47" s="488" cm="1">
        <f t="array" aca="1" ref="AT47" ca="1">SUMPRODUCT(AT$54:AT$113,TRANSPOSE(SAP_Speadsheet!$E$37:$BL$37))</f>
        <v>0</v>
      </c>
      <c r="AU47" s="488" cm="1">
        <f t="array" aca="1" ref="AU47" ca="1">SUMPRODUCT(AU$54:AU$113,TRANSPOSE(SAP_Speadsheet!$E$37:$BL$37))</f>
        <v>0</v>
      </c>
      <c r="AV47" s="488" cm="1">
        <f t="array" aca="1" ref="AV47" ca="1">SUMPRODUCT(AV$54:AV$113,TRANSPOSE(SAP_Speadsheet!$E$37:$BL$37))</f>
        <v>0</v>
      </c>
      <c r="AW47" s="488" cm="1">
        <f t="array" aca="1" ref="AW47" ca="1">SUMPRODUCT(AW$54:AW$113,TRANSPOSE(SAP_Speadsheet!$E$37:$BL$37))</f>
        <v>0</v>
      </c>
      <c r="AX47" s="488" cm="1">
        <f t="array" aca="1" ref="AX47" ca="1">SUMPRODUCT(AX$54:AX$113,TRANSPOSE(SAP_Speadsheet!$E$37:$BL$37))</f>
        <v>0</v>
      </c>
      <c r="AY47" s="488" cm="1">
        <f t="array" aca="1" ref="AY47" ca="1">SUMPRODUCT(AY$54:AY$113,TRANSPOSE(SAP_Speadsheet!$E$37:$BL$37))</f>
        <v>0</v>
      </c>
      <c r="AZ47" s="488" cm="1">
        <f t="array" aca="1" ref="AZ47" ca="1">SUMPRODUCT(AZ$54:AZ$113,TRANSPOSE(SAP_Speadsheet!$E$37:$BL$37))</f>
        <v>0</v>
      </c>
      <c r="BA47" s="488" cm="1">
        <f t="array" aca="1" ref="BA47" ca="1">SUMPRODUCT(BA$54:BA$113,TRANSPOSE(SAP_Speadsheet!$E$37:$BL$37))</f>
        <v>0</v>
      </c>
      <c r="BB47" s="488" cm="1">
        <f t="array" aca="1" ref="BB47" ca="1">SUMPRODUCT(BB$54:BB$113,TRANSPOSE(SAP_Speadsheet!$E$37:$BL$37))</f>
        <v>0</v>
      </c>
      <c r="BC47" s="488" cm="1">
        <f t="array" aca="1" ref="BC47" ca="1">SUMPRODUCT(BC$54:BC$113,TRANSPOSE(SAP_Speadsheet!$E$37:$BL$37))</f>
        <v>0</v>
      </c>
      <c r="BD47" s="488" cm="1">
        <f t="array" aca="1" ref="BD47" ca="1">SUMPRODUCT(BD$54:BD$113,TRANSPOSE(SAP_Speadsheet!$E$37:$BL$37))</f>
        <v>0</v>
      </c>
      <c r="BE47" s="488" cm="1">
        <f t="array" aca="1" ref="BE47" ca="1">SUMPRODUCT(BE$54:BE$113,TRANSPOSE(SAP_Speadsheet!$E$37:$BL$37))</f>
        <v>0</v>
      </c>
      <c r="BF47" s="488" cm="1">
        <f t="array" aca="1" ref="BF47" ca="1">SUMPRODUCT(BF$54:BF$113,TRANSPOSE(SAP_Speadsheet!$E$37:$BL$37))</f>
        <v>0</v>
      </c>
      <c r="BG47" s="488" cm="1">
        <f t="array" aca="1" ref="BG47" ca="1">SUMPRODUCT(BG$54:BG$113,TRANSPOSE(SAP_Speadsheet!$E$37:$BL$37))</f>
        <v>0</v>
      </c>
      <c r="BH47" s="488" cm="1">
        <f t="array" aca="1" ref="BH47" ca="1">SUMPRODUCT(BH$54:BH$113,TRANSPOSE(SAP_Speadsheet!$E$37:$BL$37))</f>
        <v>0</v>
      </c>
      <c r="BI47" s="488" cm="1">
        <f t="array" aca="1" ref="BI47" ca="1">SUMPRODUCT(BI$54:BI$113,TRANSPOSE(SAP_Speadsheet!$E$37:$BL$37))</f>
        <v>0</v>
      </c>
    </row>
    <row r="48" spans="1:61" x14ac:dyDescent="0.15">
      <c r="A48" s="477" t="s">
        <v>588</v>
      </c>
      <c r="B48" s="488" cm="1">
        <f t="array" aca="1" ref="B48" ca="1">SUMPRODUCT(B$54:B$113,TRANSPOSE(SAP_Speadsheet!$E$38:$BL$38))</f>
        <v>0</v>
      </c>
      <c r="C48" s="488" cm="1">
        <f t="array" aca="1" ref="C48" ca="1">SUMPRODUCT(C$54:C$113,TRANSPOSE(SAP_Speadsheet!$E$38:$BL$38))</f>
        <v>0</v>
      </c>
      <c r="D48" s="488" cm="1">
        <f t="array" aca="1" ref="D48" ca="1">SUMPRODUCT(D$54:D$113,TRANSPOSE(SAP_Speadsheet!$E$38:$BL$38))</f>
        <v>0</v>
      </c>
      <c r="E48" s="488" cm="1">
        <f t="array" aca="1" ref="E48" ca="1">SUMPRODUCT(E$54:E$113,TRANSPOSE(SAP_Speadsheet!$E$38:$BL$38))</f>
        <v>0</v>
      </c>
      <c r="F48" s="488" cm="1">
        <f t="array" aca="1" ref="F48" ca="1">SUMPRODUCT(F$54:F$113,TRANSPOSE(SAP_Speadsheet!$E$38:$BL$38))</f>
        <v>0</v>
      </c>
      <c r="G48" s="488" cm="1">
        <f t="array" aca="1" ref="G48" ca="1">SUMPRODUCT(G$54:G$113,TRANSPOSE(SAP_Speadsheet!$E$38:$BL$38))</f>
        <v>0</v>
      </c>
      <c r="H48" s="488" cm="1">
        <f t="array" aca="1" ref="H48" ca="1">SUMPRODUCT(H$54:H$113,TRANSPOSE(SAP_Speadsheet!$E$38:$BL$38))</f>
        <v>0</v>
      </c>
      <c r="I48" s="488" cm="1">
        <f t="array" aca="1" ref="I48" ca="1">SUMPRODUCT(I$54:I$113,TRANSPOSE(SAP_Speadsheet!$E$38:$BL$38))</f>
        <v>0</v>
      </c>
      <c r="J48" s="488" cm="1">
        <f t="array" aca="1" ref="J48" ca="1">SUMPRODUCT(J$54:J$113,TRANSPOSE(SAP_Speadsheet!$E$38:$BL$38))</f>
        <v>0</v>
      </c>
      <c r="K48" s="488" cm="1">
        <f t="array" aca="1" ref="K48" ca="1">SUMPRODUCT(K$54:K$113,TRANSPOSE(SAP_Speadsheet!$E$38:$BL$38))</f>
        <v>0</v>
      </c>
      <c r="L48" s="488" cm="1">
        <f t="array" aca="1" ref="L48" ca="1">SUMPRODUCT(L$54:L$113,TRANSPOSE(SAP_Speadsheet!$E$38:$BL$38))</f>
        <v>0</v>
      </c>
      <c r="M48" s="488" cm="1">
        <f t="array" aca="1" ref="M48" ca="1">SUMPRODUCT(M$54:M$113,TRANSPOSE(SAP_Speadsheet!$E$38:$BL$38))</f>
        <v>0</v>
      </c>
      <c r="N48" s="488" cm="1">
        <f t="array" aca="1" ref="N48" ca="1">SUMPRODUCT(N$54:N$113,TRANSPOSE(SAP_Speadsheet!$E$38:$BL$38))</f>
        <v>0</v>
      </c>
      <c r="O48" s="488" cm="1">
        <f t="array" aca="1" ref="O48" ca="1">SUMPRODUCT(O$54:O$113,TRANSPOSE(SAP_Speadsheet!$E$38:$BL$38))</f>
        <v>0</v>
      </c>
      <c r="P48" s="488" cm="1">
        <f t="array" aca="1" ref="P48" ca="1">SUMPRODUCT(P$54:P$113,TRANSPOSE(SAP_Speadsheet!$E$38:$BL$38))</f>
        <v>0</v>
      </c>
      <c r="Q48" s="488" cm="1">
        <f t="array" aca="1" ref="Q48" ca="1">SUMPRODUCT(Q$54:Q$113,TRANSPOSE(SAP_Speadsheet!$E$38:$BL$38))</f>
        <v>0</v>
      </c>
      <c r="R48" s="488" cm="1">
        <f t="array" aca="1" ref="R48" ca="1">SUMPRODUCT(R$54:R$113,TRANSPOSE(SAP_Speadsheet!$E$38:$BL$38))</f>
        <v>0</v>
      </c>
      <c r="S48" s="488" cm="1">
        <f t="array" aca="1" ref="S48" ca="1">SUMPRODUCT(S$54:S$113,TRANSPOSE(SAP_Speadsheet!$E$38:$BL$38))</f>
        <v>0</v>
      </c>
      <c r="T48" s="488" cm="1">
        <f t="array" aca="1" ref="T48" ca="1">SUMPRODUCT(T$54:T$113,TRANSPOSE(SAP_Speadsheet!$E$38:$BL$38))</f>
        <v>0</v>
      </c>
      <c r="U48" s="488" cm="1">
        <f t="array" aca="1" ref="U48" ca="1">SUMPRODUCT(U$54:U$113,TRANSPOSE(SAP_Speadsheet!$E$38:$BL$38))</f>
        <v>0</v>
      </c>
      <c r="V48" s="488" cm="1">
        <f t="array" aca="1" ref="V48" ca="1">SUMPRODUCT(V$54:V$113,TRANSPOSE(SAP_Speadsheet!$E$38:$BL$38))</f>
        <v>0</v>
      </c>
      <c r="W48" s="488" cm="1">
        <f t="array" aca="1" ref="W48" ca="1">SUMPRODUCT(W$54:W$113,TRANSPOSE(SAP_Speadsheet!$E$38:$BL$38))</f>
        <v>0</v>
      </c>
      <c r="X48" s="488" cm="1">
        <f t="array" aca="1" ref="X48" ca="1">SUMPRODUCT(X$54:X$113,TRANSPOSE(SAP_Speadsheet!$E$38:$BL$38))</f>
        <v>0</v>
      </c>
      <c r="Y48" s="488" cm="1">
        <f t="array" aca="1" ref="Y48" ca="1">SUMPRODUCT(Y$54:Y$113,TRANSPOSE(SAP_Speadsheet!$E$38:$BL$38))</f>
        <v>0</v>
      </c>
      <c r="Z48" s="488" cm="1">
        <f t="array" aca="1" ref="Z48" ca="1">SUMPRODUCT(Z$54:Z$113,TRANSPOSE(SAP_Speadsheet!$E$38:$BL$38))</f>
        <v>0</v>
      </c>
      <c r="AA48" s="488" cm="1">
        <f t="array" aca="1" ref="AA48" ca="1">SUMPRODUCT(AA$54:AA$113,TRANSPOSE(SAP_Speadsheet!$E$38:$BL$38))</f>
        <v>0</v>
      </c>
      <c r="AB48" s="488" cm="1">
        <f t="array" aca="1" ref="AB48" ca="1">SUMPRODUCT(AB$54:AB$113,TRANSPOSE(SAP_Speadsheet!$E$38:$BL$38))</f>
        <v>0</v>
      </c>
      <c r="AC48" s="488" cm="1">
        <f t="array" aca="1" ref="AC48" ca="1">SUMPRODUCT(AC$54:AC$113,TRANSPOSE(SAP_Speadsheet!$E$38:$BL$38))</f>
        <v>0</v>
      </c>
      <c r="AD48" s="488" cm="1">
        <f t="array" aca="1" ref="AD48" ca="1">SUMPRODUCT(AD$54:AD$113,TRANSPOSE(SAP_Speadsheet!$E$38:$BL$38))</f>
        <v>0</v>
      </c>
      <c r="AE48" s="488" cm="1">
        <f t="array" aca="1" ref="AE48" ca="1">SUMPRODUCT(AE$54:AE$113,TRANSPOSE(SAP_Speadsheet!$E$38:$BL$38))</f>
        <v>0</v>
      </c>
      <c r="AF48" s="488" cm="1">
        <f t="array" aca="1" ref="AF48" ca="1">SUMPRODUCT(AF$54:AF$113,TRANSPOSE(SAP_Speadsheet!$E$38:$BL$38))</f>
        <v>0</v>
      </c>
      <c r="AG48" s="488" cm="1">
        <f t="array" aca="1" ref="AG48" ca="1">SUMPRODUCT(AG$54:AG$113,TRANSPOSE(SAP_Speadsheet!$E$38:$BL$38))</f>
        <v>0</v>
      </c>
      <c r="AH48" s="488" cm="1">
        <f t="array" aca="1" ref="AH48" ca="1">SUMPRODUCT(AH$54:AH$113,TRANSPOSE(SAP_Speadsheet!$E$38:$BL$38))</f>
        <v>0</v>
      </c>
      <c r="AI48" s="488" cm="1">
        <f t="array" aca="1" ref="AI48" ca="1">SUMPRODUCT(AI$54:AI$113,TRANSPOSE(SAP_Speadsheet!$E$38:$BL$38))</f>
        <v>0</v>
      </c>
      <c r="AJ48" s="488" cm="1">
        <f t="array" aca="1" ref="AJ48" ca="1">SUMPRODUCT(AJ$54:AJ$113,TRANSPOSE(SAP_Speadsheet!$E$38:$BL$38))</f>
        <v>0</v>
      </c>
      <c r="AK48" s="488" cm="1">
        <f t="array" aca="1" ref="AK48" ca="1">SUMPRODUCT(AK$54:AK$113,TRANSPOSE(SAP_Speadsheet!$E$38:$BL$38))</f>
        <v>0</v>
      </c>
      <c r="AL48" s="488" cm="1">
        <f t="array" aca="1" ref="AL48" ca="1">SUMPRODUCT(AL$54:AL$113,TRANSPOSE(SAP_Speadsheet!$E$38:$BL$38))</f>
        <v>0</v>
      </c>
      <c r="AM48" s="488" cm="1">
        <f t="array" aca="1" ref="AM48" ca="1">SUMPRODUCT(AM$54:AM$113,TRANSPOSE(SAP_Speadsheet!$E$38:$BL$38))</f>
        <v>0</v>
      </c>
      <c r="AN48" s="488" cm="1">
        <f t="array" aca="1" ref="AN48" ca="1">SUMPRODUCT(AN$54:AN$113,TRANSPOSE(SAP_Speadsheet!$E$38:$BL$38))</f>
        <v>0</v>
      </c>
      <c r="AO48" s="488" cm="1">
        <f t="array" aca="1" ref="AO48" ca="1">SUMPRODUCT(AO$54:AO$113,TRANSPOSE(SAP_Speadsheet!$E$38:$BL$38))</f>
        <v>0</v>
      </c>
      <c r="AP48" s="488" cm="1">
        <f t="array" aca="1" ref="AP48" ca="1">SUMPRODUCT(AP$54:AP$113,TRANSPOSE(SAP_Speadsheet!$E$38:$BL$38))</f>
        <v>0</v>
      </c>
      <c r="AQ48" s="488" cm="1">
        <f t="array" aca="1" ref="AQ48" ca="1">SUMPRODUCT(AQ$54:AQ$113,TRANSPOSE(SAP_Speadsheet!$E$38:$BL$38))</f>
        <v>0</v>
      </c>
      <c r="AR48" s="488" cm="1">
        <f t="array" aca="1" ref="AR48" ca="1">SUMPRODUCT(AR$54:AR$113,TRANSPOSE(SAP_Speadsheet!$E$38:$BL$38))</f>
        <v>0</v>
      </c>
      <c r="AS48" s="488" cm="1">
        <f t="array" aca="1" ref="AS48" ca="1">SUMPRODUCT(AS$54:AS$113,TRANSPOSE(SAP_Speadsheet!$E$38:$BL$38))</f>
        <v>0</v>
      </c>
      <c r="AT48" s="488" cm="1">
        <f t="array" aca="1" ref="AT48" ca="1">SUMPRODUCT(AT$54:AT$113,TRANSPOSE(SAP_Speadsheet!$E$38:$BL$38))</f>
        <v>0</v>
      </c>
      <c r="AU48" s="488" cm="1">
        <f t="array" aca="1" ref="AU48" ca="1">SUMPRODUCT(AU$54:AU$113,TRANSPOSE(SAP_Speadsheet!$E$38:$BL$38))</f>
        <v>0</v>
      </c>
      <c r="AV48" s="488" cm="1">
        <f t="array" aca="1" ref="AV48" ca="1">SUMPRODUCT(AV$54:AV$113,TRANSPOSE(SAP_Speadsheet!$E$38:$BL$38))</f>
        <v>0</v>
      </c>
      <c r="AW48" s="488" cm="1">
        <f t="array" aca="1" ref="AW48" ca="1">SUMPRODUCT(AW$54:AW$113,TRANSPOSE(SAP_Speadsheet!$E$38:$BL$38))</f>
        <v>0</v>
      </c>
      <c r="AX48" s="488" cm="1">
        <f t="array" aca="1" ref="AX48" ca="1">SUMPRODUCT(AX$54:AX$113,TRANSPOSE(SAP_Speadsheet!$E$38:$BL$38))</f>
        <v>0</v>
      </c>
      <c r="AY48" s="488" cm="1">
        <f t="array" aca="1" ref="AY48" ca="1">SUMPRODUCT(AY$54:AY$113,TRANSPOSE(SAP_Speadsheet!$E$38:$BL$38))</f>
        <v>0</v>
      </c>
      <c r="AZ48" s="488" cm="1">
        <f t="array" aca="1" ref="AZ48" ca="1">SUMPRODUCT(AZ$54:AZ$113,TRANSPOSE(SAP_Speadsheet!$E$38:$BL$38))</f>
        <v>0</v>
      </c>
      <c r="BA48" s="488" cm="1">
        <f t="array" aca="1" ref="BA48" ca="1">SUMPRODUCT(BA$54:BA$113,TRANSPOSE(SAP_Speadsheet!$E$38:$BL$38))</f>
        <v>0</v>
      </c>
      <c r="BB48" s="488" cm="1">
        <f t="array" aca="1" ref="BB48" ca="1">SUMPRODUCT(BB$54:BB$113,TRANSPOSE(SAP_Speadsheet!$E$38:$BL$38))</f>
        <v>0</v>
      </c>
      <c r="BC48" s="488" cm="1">
        <f t="array" aca="1" ref="BC48" ca="1">SUMPRODUCT(BC$54:BC$113,TRANSPOSE(SAP_Speadsheet!$E$38:$BL$38))</f>
        <v>0</v>
      </c>
      <c r="BD48" s="488" cm="1">
        <f t="array" aca="1" ref="BD48" ca="1">SUMPRODUCT(BD$54:BD$113,TRANSPOSE(SAP_Speadsheet!$E$38:$BL$38))</f>
        <v>0</v>
      </c>
      <c r="BE48" s="488" cm="1">
        <f t="array" aca="1" ref="BE48" ca="1">SUMPRODUCT(BE$54:BE$113,TRANSPOSE(SAP_Speadsheet!$E$38:$BL$38))</f>
        <v>0</v>
      </c>
      <c r="BF48" s="488" cm="1">
        <f t="array" aca="1" ref="BF48" ca="1">SUMPRODUCT(BF$54:BF$113,TRANSPOSE(SAP_Speadsheet!$E$38:$BL$38))</f>
        <v>0</v>
      </c>
      <c r="BG48" s="488" cm="1">
        <f t="array" aca="1" ref="BG48" ca="1">SUMPRODUCT(BG$54:BG$113,TRANSPOSE(SAP_Speadsheet!$E$38:$BL$38))</f>
        <v>0</v>
      </c>
      <c r="BH48" s="488" cm="1">
        <f t="array" aca="1" ref="BH48" ca="1">SUMPRODUCT(BH$54:BH$113,TRANSPOSE(SAP_Speadsheet!$E$38:$BL$38))</f>
        <v>0</v>
      </c>
      <c r="BI48" s="488" cm="1">
        <f t="array" aca="1" ref="BI48" ca="1">SUMPRODUCT(BI$54:BI$113,TRANSPOSE(SAP_Speadsheet!$E$38:$BL$38))</f>
        <v>0</v>
      </c>
    </row>
    <row r="49" spans="1:62" x14ac:dyDescent="0.15">
      <c r="A49" s="477" t="s">
        <v>515</v>
      </c>
      <c r="B49" s="488" cm="1">
        <f t="array" aca="1" ref="B49" ca="1">SUMPRODUCT(B$54:B$113,TRANSPOSE(SAP_Speadsheet!$E$39:$BL$39))</f>
        <v>0</v>
      </c>
      <c r="C49" s="488" cm="1">
        <f t="array" aca="1" ref="C49" ca="1">SUMPRODUCT(C$54:C$113,TRANSPOSE(SAP_Speadsheet!$E$39:$BL$39))</f>
        <v>0</v>
      </c>
      <c r="D49" s="488" cm="1">
        <f t="array" aca="1" ref="D49" ca="1">SUMPRODUCT(D$54:D$113,TRANSPOSE(SAP_Speadsheet!$E$39:$BL$39))</f>
        <v>0</v>
      </c>
      <c r="E49" s="488" cm="1">
        <f t="array" aca="1" ref="E49" ca="1">SUMPRODUCT(E$54:E$113,TRANSPOSE(SAP_Speadsheet!$E$39:$BL$39))</f>
        <v>0</v>
      </c>
      <c r="F49" s="488" cm="1">
        <f t="array" aca="1" ref="F49" ca="1">SUMPRODUCT(F$54:F$113,TRANSPOSE(SAP_Speadsheet!$E$39:$BL$39))</f>
        <v>0</v>
      </c>
      <c r="G49" s="488" cm="1">
        <f t="array" aca="1" ref="G49" ca="1">SUMPRODUCT(G$54:G$113,TRANSPOSE(SAP_Speadsheet!$E$39:$BL$39))</f>
        <v>0</v>
      </c>
      <c r="H49" s="488" cm="1">
        <f t="array" aca="1" ref="H49" ca="1">SUMPRODUCT(H$54:H$113,TRANSPOSE(SAP_Speadsheet!$E$39:$BL$39))</f>
        <v>0</v>
      </c>
      <c r="I49" s="488" cm="1">
        <f t="array" aca="1" ref="I49" ca="1">SUMPRODUCT(I$54:I$113,TRANSPOSE(SAP_Speadsheet!$E$39:$BL$39))</f>
        <v>0</v>
      </c>
      <c r="J49" s="488" cm="1">
        <f t="array" aca="1" ref="J49" ca="1">SUMPRODUCT(J$54:J$113,TRANSPOSE(SAP_Speadsheet!$E$39:$BL$39))</f>
        <v>0</v>
      </c>
      <c r="K49" s="488" cm="1">
        <f t="array" aca="1" ref="K49" ca="1">SUMPRODUCT(K$54:K$113,TRANSPOSE(SAP_Speadsheet!$E$39:$BL$39))</f>
        <v>0</v>
      </c>
      <c r="L49" s="488" cm="1">
        <f t="array" aca="1" ref="L49" ca="1">SUMPRODUCT(L$54:L$113,TRANSPOSE(SAP_Speadsheet!$E$39:$BL$39))</f>
        <v>0</v>
      </c>
      <c r="M49" s="488" cm="1">
        <f t="array" aca="1" ref="M49" ca="1">SUMPRODUCT(M$54:M$113,TRANSPOSE(SAP_Speadsheet!$E$39:$BL$39))</f>
        <v>0</v>
      </c>
      <c r="N49" s="488" cm="1">
        <f t="array" aca="1" ref="N49" ca="1">SUMPRODUCT(N$54:N$113,TRANSPOSE(SAP_Speadsheet!$E$39:$BL$39))</f>
        <v>0</v>
      </c>
      <c r="O49" s="488" cm="1">
        <f t="array" aca="1" ref="O49" ca="1">SUMPRODUCT(O$54:O$113,TRANSPOSE(SAP_Speadsheet!$E$39:$BL$39))</f>
        <v>0</v>
      </c>
      <c r="P49" s="488" cm="1">
        <f t="array" aca="1" ref="P49" ca="1">SUMPRODUCT(P$54:P$113,TRANSPOSE(SAP_Speadsheet!$E$39:$BL$39))</f>
        <v>0</v>
      </c>
      <c r="Q49" s="488" cm="1">
        <f t="array" aca="1" ref="Q49" ca="1">SUMPRODUCT(Q$54:Q$113,TRANSPOSE(SAP_Speadsheet!$E$39:$BL$39))</f>
        <v>0</v>
      </c>
      <c r="R49" s="488" cm="1">
        <f t="array" aca="1" ref="R49" ca="1">SUMPRODUCT(R$54:R$113,TRANSPOSE(SAP_Speadsheet!$E$39:$BL$39))</f>
        <v>0</v>
      </c>
      <c r="S49" s="488" cm="1">
        <f t="array" aca="1" ref="S49" ca="1">SUMPRODUCT(S$54:S$113,TRANSPOSE(SAP_Speadsheet!$E$39:$BL$39))</f>
        <v>0</v>
      </c>
      <c r="T49" s="488" cm="1">
        <f t="array" aca="1" ref="T49" ca="1">SUMPRODUCT(T$54:T$113,TRANSPOSE(SAP_Speadsheet!$E$39:$BL$39))</f>
        <v>0</v>
      </c>
      <c r="U49" s="488" cm="1">
        <f t="array" aca="1" ref="U49" ca="1">SUMPRODUCT(U$54:U$113,TRANSPOSE(SAP_Speadsheet!$E$39:$BL$39))</f>
        <v>0</v>
      </c>
      <c r="V49" s="488" cm="1">
        <f t="array" aca="1" ref="V49" ca="1">SUMPRODUCT(V$54:V$113,TRANSPOSE(SAP_Speadsheet!$E$39:$BL$39))</f>
        <v>0</v>
      </c>
      <c r="W49" s="488" cm="1">
        <f t="array" aca="1" ref="W49" ca="1">SUMPRODUCT(W$54:W$113,TRANSPOSE(SAP_Speadsheet!$E$39:$BL$39))</f>
        <v>0</v>
      </c>
      <c r="X49" s="488" cm="1">
        <f t="array" aca="1" ref="X49" ca="1">SUMPRODUCT(X$54:X$113,TRANSPOSE(SAP_Speadsheet!$E$39:$BL$39))</f>
        <v>0</v>
      </c>
      <c r="Y49" s="488" cm="1">
        <f t="array" aca="1" ref="Y49" ca="1">SUMPRODUCT(Y$54:Y$113,TRANSPOSE(SAP_Speadsheet!$E$39:$BL$39))</f>
        <v>0</v>
      </c>
      <c r="Z49" s="488" cm="1">
        <f t="array" aca="1" ref="Z49" ca="1">SUMPRODUCT(Z$54:Z$113,TRANSPOSE(SAP_Speadsheet!$E$39:$BL$39))</f>
        <v>0</v>
      </c>
      <c r="AA49" s="488" cm="1">
        <f t="array" aca="1" ref="AA49" ca="1">SUMPRODUCT(AA$54:AA$113,TRANSPOSE(SAP_Speadsheet!$E$39:$BL$39))</f>
        <v>0</v>
      </c>
      <c r="AB49" s="488" cm="1">
        <f t="array" aca="1" ref="AB49" ca="1">SUMPRODUCT(AB$54:AB$113,TRANSPOSE(SAP_Speadsheet!$E$39:$BL$39))</f>
        <v>0</v>
      </c>
      <c r="AC49" s="488" cm="1">
        <f t="array" aca="1" ref="AC49" ca="1">SUMPRODUCT(AC$54:AC$113,TRANSPOSE(SAP_Speadsheet!$E$39:$BL$39))</f>
        <v>0</v>
      </c>
      <c r="AD49" s="488" cm="1">
        <f t="array" aca="1" ref="AD49" ca="1">SUMPRODUCT(AD$54:AD$113,TRANSPOSE(SAP_Speadsheet!$E$39:$BL$39))</f>
        <v>0</v>
      </c>
      <c r="AE49" s="488" cm="1">
        <f t="array" aca="1" ref="AE49" ca="1">SUMPRODUCT(AE$54:AE$113,TRANSPOSE(SAP_Speadsheet!$E$39:$BL$39))</f>
        <v>0</v>
      </c>
      <c r="AF49" s="488" cm="1">
        <f t="array" aca="1" ref="AF49" ca="1">SUMPRODUCT(AF$54:AF$113,TRANSPOSE(SAP_Speadsheet!$E$39:$BL$39))</f>
        <v>0</v>
      </c>
      <c r="AG49" s="488" cm="1">
        <f t="array" aca="1" ref="AG49" ca="1">SUMPRODUCT(AG$54:AG$113,TRANSPOSE(SAP_Speadsheet!$E$39:$BL$39))</f>
        <v>0</v>
      </c>
      <c r="AH49" s="488" cm="1">
        <f t="array" aca="1" ref="AH49" ca="1">SUMPRODUCT(AH$54:AH$113,TRANSPOSE(SAP_Speadsheet!$E$39:$BL$39))</f>
        <v>0</v>
      </c>
      <c r="AI49" s="488" cm="1">
        <f t="array" aca="1" ref="AI49" ca="1">SUMPRODUCT(AI$54:AI$113,TRANSPOSE(SAP_Speadsheet!$E$39:$BL$39))</f>
        <v>0</v>
      </c>
      <c r="AJ49" s="488" cm="1">
        <f t="array" aca="1" ref="AJ49" ca="1">SUMPRODUCT(AJ$54:AJ$113,TRANSPOSE(SAP_Speadsheet!$E$39:$BL$39))</f>
        <v>0</v>
      </c>
      <c r="AK49" s="488" cm="1">
        <f t="array" aca="1" ref="AK49" ca="1">SUMPRODUCT(AK$54:AK$113,TRANSPOSE(SAP_Speadsheet!$E$39:$BL$39))</f>
        <v>0</v>
      </c>
      <c r="AL49" s="488" cm="1">
        <f t="array" aca="1" ref="AL49" ca="1">SUMPRODUCT(AL$54:AL$113,TRANSPOSE(SAP_Speadsheet!$E$39:$BL$39))</f>
        <v>0</v>
      </c>
      <c r="AM49" s="488" cm="1">
        <f t="array" aca="1" ref="AM49" ca="1">SUMPRODUCT(AM$54:AM$113,TRANSPOSE(SAP_Speadsheet!$E$39:$BL$39))</f>
        <v>0</v>
      </c>
      <c r="AN49" s="488" cm="1">
        <f t="array" aca="1" ref="AN49" ca="1">SUMPRODUCT(AN$54:AN$113,TRANSPOSE(SAP_Speadsheet!$E$39:$BL$39))</f>
        <v>0</v>
      </c>
      <c r="AO49" s="488" cm="1">
        <f t="array" aca="1" ref="AO49" ca="1">SUMPRODUCT(AO$54:AO$113,TRANSPOSE(SAP_Speadsheet!$E$39:$BL$39))</f>
        <v>0</v>
      </c>
      <c r="AP49" s="488" cm="1">
        <f t="array" aca="1" ref="AP49" ca="1">SUMPRODUCT(AP$54:AP$113,TRANSPOSE(SAP_Speadsheet!$E$39:$BL$39))</f>
        <v>0</v>
      </c>
      <c r="AQ49" s="488" cm="1">
        <f t="array" aca="1" ref="AQ49" ca="1">SUMPRODUCT(AQ$54:AQ$113,TRANSPOSE(SAP_Speadsheet!$E$39:$BL$39))</f>
        <v>0</v>
      </c>
      <c r="AR49" s="488" cm="1">
        <f t="array" aca="1" ref="AR49" ca="1">SUMPRODUCT(AR$54:AR$113,TRANSPOSE(SAP_Speadsheet!$E$39:$BL$39))</f>
        <v>0</v>
      </c>
      <c r="AS49" s="488" cm="1">
        <f t="array" aca="1" ref="AS49" ca="1">SUMPRODUCT(AS$54:AS$113,TRANSPOSE(SAP_Speadsheet!$E$39:$BL$39))</f>
        <v>0</v>
      </c>
      <c r="AT49" s="488" cm="1">
        <f t="array" aca="1" ref="AT49" ca="1">SUMPRODUCT(AT$54:AT$113,TRANSPOSE(SAP_Speadsheet!$E$39:$BL$39))</f>
        <v>0</v>
      </c>
      <c r="AU49" s="488" cm="1">
        <f t="array" aca="1" ref="AU49" ca="1">SUMPRODUCT(AU$54:AU$113,TRANSPOSE(SAP_Speadsheet!$E$39:$BL$39))</f>
        <v>0</v>
      </c>
      <c r="AV49" s="488" cm="1">
        <f t="array" aca="1" ref="AV49" ca="1">SUMPRODUCT(AV$54:AV$113,TRANSPOSE(SAP_Speadsheet!$E$39:$BL$39))</f>
        <v>0</v>
      </c>
      <c r="AW49" s="488" cm="1">
        <f t="array" aca="1" ref="AW49" ca="1">SUMPRODUCT(AW$54:AW$113,TRANSPOSE(SAP_Speadsheet!$E$39:$BL$39))</f>
        <v>0</v>
      </c>
      <c r="AX49" s="488" cm="1">
        <f t="array" aca="1" ref="AX49" ca="1">SUMPRODUCT(AX$54:AX$113,TRANSPOSE(SAP_Speadsheet!$E$39:$BL$39))</f>
        <v>0</v>
      </c>
      <c r="AY49" s="488" cm="1">
        <f t="array" aca="1" ref="AY49" ca="1">SUMPRODUCT(AY$54:AY$113,TRANSPOSE(SAP_Speadsheet!$E$39:$BL$39))</f>
        <v>0</v>
      </c>
      <c r="AZ49" s="488" cm="1">
        <f t="array" aca="1" ref="AZ49" ca="1">SUMPRODUCT(AZ$54:AZ$113,TRANSPOSE(SAP_Speadsheet!$E$39:$BL$39))</f>
        <v>0</v>
      </c>
      <c r="BA49" s="488" cm="1">
        <f t="array" aca="1" ref="BA49" ca="1">SUMPRODUCT(BA$54:BA$113,TRANSPOSE(SAP_Speadsheet!$E$39:$BL$39))</f>
        <v>0</v>
      </c>
      <c r="BB49" s="488" cm="1">
        <f t="array" aca="1" ref="BB49" ca="1">SUMPRODUCT(BB$54:BB$113,TRANSPOSE(SAP_Speadsheet!$E$39:$BL$39))</f>
        <v>0</v>
      </c>
      <c r="BC49" s="488" cm="1">
        <f t="array" aca="1" ref="BC49" ca="1">SUMPRODUCT(BC$54:BC$113,TRANSPOSE(SAP_Speadsheet!$E$39:$BL$39))</f>
        <v>0</v>
      </c>
      <c r="BD49" s="488" cm="1">
        <f t="array" aca="1" ref="BD49" ca="1">SUMPRODUCT(BD$54:BD$113,TRANSPOSE(SAP_Speadsheet!$E$39:$BL$39))</f>
        <v>0</v>
      </c>
      <c r="BE49" s="488" cm="1">
        <f t="array" aca="1" ref="BE49" ca="1">SUMPRODUCT(BE$54:BE$113,TRANSPOSE(SAP_Speadsheet!$E$39:$BL$39))</f>
        <v>0</v>
      </c>
      <c r="BF49" s="488" cm="1">
        <f t="array" aca="1" ref="BF49" ca="1">SUMPRODUCT(BF$54:BF$113,TRANSPOSE(SAP_Speadsheet!$E$39:$BL$39))</f>
        <v>0</v>
      </c>
      <c r="BG49" s="488" cm="1">
        <f t="array" aca="1" ref="BG49" ca="1">SUMPRODUCT(BG$54:BG$113,TRANSPOSE(SAP_Speadsheet!$E$39:$BL$39))</f>
        <v>0</v>
      </c>
      <c r="BH49" s="488" cm="1">
        <f t="array" aca="1" ref="BH49" ca="1">SUMPRODUCT(BH$54:BH$113,TRANSPOSE(SAP_Speadsheet!$E$39:$BL$39))</f>
        <v>0</v>
      </c>
      <c r="BI49" s="488" cm="1">
        <f t="array" aca="1" ref="BI49" ca="1">SUMPRODUCT(BI$54:BI$113,TRANSPOSE(SAP_Speadsheet!$E$39:$BL$39))</f>
        <v>0</v>
      </c>
    </row>
    <row r="50" spans="1:62" s="495" customFormat="1" x14ac:dyDescent="0.15">
      <c r="A50" s="490" t="s">
        <v>560</v>
      </c>
      <c r="B50" s="494">
        <f t="shared" ref="B50:BI50" ca="1" si="6">SUM(B35:B49)-B7</f>
        <v>0</v>
      </c>
      <c r="C50" s="494">
        <f t="shared" ca="1" si="6"/>
        <v>0</v>
      </c>
      <c r="D50" s="494">
        <f t="shared" ca="1" si="6"/>
        <v>0</v>
      </c>
      <c r="E50" s="494">
        <f t="shared" ca="1" si="6"/>
        <v>0</v>
      </c>
      <c r="F50" s="494">
        <f t="shared" ca="1" si="6"/>
        <v>0</v>
      </c>
      <c r="G50" s="494">
        <f t="shared" ca="1" si="6"/>
        <v>0</v>
      </c>
      <c r="H50" s="494">
        <f t="shared" ca="1" si="6"/>
        <v>0</v>
      </c>
      <c r="I50" s="494">
        <f t="shared" ca="1" si="6"/>
        <v>0</v>
      </c>
      <c r="J50" s="494">
        <f t="shared" ca="1" si="6"/>
        <v>0</v>
      </c>
      <c r="K50" s="494">
        <f t="shared" ca="1" si="6"/>
        <v>0</v>
      </c>
      <c r="L50" s="494">
        <f t="shared" ca="1" si="6"/>
        <v>0</v>
      </c>
      <c r="M50" s="494">
        <f t="shared" ca="1" si="6"/>
        <v>0</v>
      </c>
      <c r="N50" s="494">
        <f t="shared" ca="1" si="6"/>
        <v>0</v>
      </c>
      <c r="O50" s="494">
        <f t="shared" ca="1" si="6"/>
        <v>0</v>
      </c>
      <c r="P50" s="494">
        <f t="shared" ca="1" si="6"/>
        <v>0</v>
      </c>
      <c r="Q50" s="494">
        <f t="shared" ca="1" si="6"/>
        <v>0</v>
      </c>
      <c r="R50" s="494">
        <f t="shared" ca="1" si="6"/>
        <v>0</v>
      </c>
      <c r="S50" s="494">
        <f t="shared" ca="1" si="6"/>
        <v>0</v>
      </c>
      <c r="T50" s="494">
        <f t="shared" ca="1" si="6"/>
        <v>0</v>
      </c>
      <c r="U50" s="494">
        <f t="shared" ca="1" si="6"/>
        <v>0</v>
      </c>
      <c r="V50" s="494">
        <f t="shared" ca="1" si="6"/>
        <v>0</v>
      </c>
      <c r="W50" s="494">
        <f t="shared" ca="1" si="6"/>
        <v>0</v>
      </c>
      <c r="X50" s="494">
        <f t="shared" ca="1" si="6"/>
        <v>0</v>
      </c>
      <c r="Y50" s="494">
        <f t="shared" ca="1" si="6"/>
        <v>0</v>
      </c>
      <c r="Z50" s="494">
        <f t="shared" ca="1" si="6"/>
        <v>0</v>
      </c>
      <c r="AA50" s="494">
        <f t="shared" ca="1" si="6"/>
        <v>0</v>
      </c>
      <c r="AB50" s="494">
        <f t="shared" ca="1" si="6"/>
        <v>0</v>
      </c>
      <c r="AC50" s="494">
        <f t="shared" ca="1" si="6"/>
        <v>0</v>
      </c>
      <c r="AD50" s="494">
        <f t="shared" ca="1" si="6"/>
        <v>0</v>
      </c>
      <c r="AE50" s="494">
        <f t="shared" ca="1" si="6"/>
        <v>0</v>
      </c>
      <c r="AF50" s="494">
        <f t="shared" ca="1" si="6"/>
        <v>0</v>
      </c>
      <c r="AG50" s="494">
        <f t="shared" ca="1" si="6"/>
        <v>0</v>
      </c>
      <c r="AH50" s="494">
        <f t="shared" ca="1" si="6"/>
        <v>0</v>
      </c>
      <c r="AI50" s="494">
        <f t="shared" ca="1" si="6"/>
        <v>0</v>
      </c>
      <c r="AJ50" s="494">
        <f t="shared" ca="1" si="6"/>
        <v>0</v>
      </c>
      <c r="AK50" s="494">
        <f t="shared" ca="1" si="6"/>
        <v>0</v>
      </c>
      <c r="AL50" s="494">
        <f t="shared" ca="1" si="6"/>
        <v>0</v>
      </c>
      <c r="AM50" s="494">
        <f t="shared" ca="1" si="6"/>
        <v>0</v>
      </c>
      <c r="AN50" s="494">
        <f t="shared" ca="1" si="6"/>
        <v>0</v>
      </c>
      <c r="AO50" s="494">
        <f t="shared" ca="1" si="6"/>
        <v>0</v>
      </c>
      <c r="AP50" s="494">
        <f t="shared" ca="1" si="6"/>
        <v>0</v>
      </c>
      <c r="AQ50" s="494">
        <f t="shared" ca="1" si="6"/>
        <v>0</v>
      </c>
      <c r="AR50" s="494">
        <f t="shared" ca="1" si="6"/>
        <v>0</v>
      </c>
      <c r="AS50" s="494">
        <f t="shared" ca="1" si="6"/>
        <v>0</v>
      </c>
      <c r="AT50" s="494">
        <f t="shared" ca="1" si="6"/>
        <v>0</v>
      </c>
      <c r="AU50" s="494">
        <f t="shared" ca="1" si="6"/>
        <v>0</v>
      </c>
      <c r="AV50" s="494">
        <f t="shared" ca="1" si="6"/>
        <v>0</v>
      </c>
      <c r="AW50" s="494">
        <f t="shared" ca="1" si="6"/>
        <v>0</v>
      </c>
      <c r="AX50" s="494">
        <f t="shared" ca="1" si="6"/>
        <v>0</v>
      </c>
      <c r="AY50" s="494">
        <f t="shared" ca="1" si="6"/>
        <v>0</v>
      </c>
      <c r="AZ50" s="494">
        <f t="shared" ca="1" si="6"/>
        <v>0</v>
      </c>
      <c r="BA50" s="494">
        <f t="shared" ca="1" si="6"/>
        <v>0</v>
      </c>
      <c r="BB50" s="494">
        <f t="shared" ca="1" si="6"/>
        <v>0</v>
      </c>
      <c r="BC50" s="494">
        <f t="shared" ca="1" si="6"/>
        <v>0</v>
      </c>
      <c r="BD50" s="494">
        <f t="shared" ca="1" si="6"/>
        <v>0</v>
      </c>
      <c r="BE50" s="494">
        <f t="shared" ca="1" si="6"/>
        <v>0</v>
      </c>
      <c r="BF50" s="494">
        <f t="shared" ca="1" si="6"/>
        <v>0</v>
      </c>
      <c r="BG50" s="494">
        <f t="shared" ca="1" si="6"/>
        <v>0</v>
      </c>
      <c r="BH50" s="494">
        <f t="shared" ca="1" si="6"/>
        <v>0</v>
      </c>
      <c r="BI50" s="494">
        <f t="shared" ca="1" si="6"/>
        <v>0</v>
      </c>
    </row>
    <row r="51" spans="1:62" x14ac:dyDescent="0.15">
      <c r="A51" s="490"/>
      <c r="B51" s="494"/>
      <c r="C51" s="494"/>
      <c r="D51" s="494"/>
      <c r="E51" s="494"/>
      <c r="F51" s="494"/>
      <c r="G51" s="494"/>
      <c r="H51" s="494"/>
      <c r="I51" s="494"/>
      <c r="J51" s="494"/>
      <c r="K51" s="494"/>
      <c r="L51" s="494"/>
      <c r="M51" s="494"/>
      <c r="N51" s="494"/>
      <c r="O51" s="494"/>
      <c r="P51" s="494"/>
      <c r="Q51" s="494"/>
      <c r="R51" s="494"/>
      <c r="S51" s="494"/>
      <c r="T51" s="494"/>
      <c r="U51" s="494"/>
      <c r="V51" s="494"/>
      <c r="W51" s="494"/>
      <c r="X51" s="494"/>
      <c r="Y51" s="494"/>
      <c r="Z51" s="494"/>
      <c r="AA51" s="494"/>
      <c r="AB51" s="494"/>
      <c r="AC51" s="494"/>
      <c r="AD51" s="494"/>
      <c r="AE51" s="494"/>
      <c r="AF51" s="494"/>
      <c r="AG51" s="494"/>
      <c r="AH51" s="494"/>
      <c r="AI51" s="494"/>
      <c r="AJ51" s="494"/>
      <c r="AK51" s="494"/>
      <c r="AL51" s="494"/>
      <c r="AM51" s="494"/>
      <c r="AN51" s="494"/>
      <c r="AO51" s="494"/>
      <c r="AP51" s="494"/>
      <c r="AQ51" s="494"/>
      <c r="AR51" s="494"/>
      <c r="AS51" s="494"/>
      <c r="AT51" s="494"/>
      <c r="AU51" s="494"/>
      <c r="AV51" s="494"/>
      <c r="AW51" s="494"/>
      <c r="AX51" s="494"/>
      <c r="AY51" s="494"/>
      <c r="AZ51" s="494"/>
      <c r="BA51" s="494"/>
      <c r="BB51" s="494"/>
      <c r="BC51" s="494"/>
      <c r="BD51" s="494"/>
      <c r="BE51" s="494"/>
      <c r="BF51" s="494"/>
      <c r="BG51" s="494"/>
      <c r="BH51" s="494"/>
      <c r="BI51" s="494"/>
    </row>
    <row r="52" spans="1:62" s="495" customFormat="1" x14ac:dyDescent="0.15">
      <c r="A52" s="490"/>
    </row>
    <row r="53" spans="1:62" s="476" customFormat="1" outlineLevel="1" x14ac:dyDescent="0.15">
      <c r="A53" s="496" t="s">
        <v>589</v>
      </c>
      <c r="B53" s="497">
        <f>ROUND('Saleplan&amp;PnL'!D6*1000/Leadsheet!$E$10,0)</f>
        <v>0</v>
      </c>
      <c r="C53" s="497">
        <f>ROUND('Saleplan&amp;PnL'!E6*1000/Leadsheet!$E$10,0)</f>
        <v>0</v>
      </c>
      <c r="D53" s="497">
        <f>ROUND('Saleplan&amp;PnL'!F6*1000/Leadsheet!$E$10,0)</f>
        <v>0</v>
      </c>
      <c r="E53" s="497">
        <f>ROUND('Saleplan&amp;PnL'!G6*1000/Leadsheet!$E$10,0)</f>
        <v>0</v>
      </c>
      <c r="F53" s="497">
        <f>ROUND('Saleplan&amp;PnL'!H6*1000/Leadsheet!$E$10,0)</f>
        <v>0</v>
      </c>
      <c r="G53" s="497">
        <f>ROUND('Saleplan&amp;PnL'!I6*1000/Leadsheet!$E$10,0)</f>
        <v>0</v>
      </c>
      <c r="H53" s="497">
        <f>ROUND('Saleplan&amp;PnL'!J6*1000/Leadsheet!$E$10,0)</f>
        <v>0</v>
      </c>
      <c r="I53" s="497">
        <f>ROUND('Saleplan&amp;PnL'!K6*1000/Leadsheet!$E$10,0)</f>
        <v>0</v>
      </c>
      <c r="J53" s="497">
        <f>ROUND('Saleplan&amp;PnL'!L6*1000/Leadsheet!$E$10,0)</f>
        <v>0</v>
      </c>
      <c r="K53" s="497">
        <f>ROUND('Saleplan&amp;PnL'!M6*1000/Leadsheet!$E$10,0)</f>
        <v>0</v>
      </c>
      <c r="L53" s="497">
        <f>ROUND('Saleplan&amp;PnL'!N6*1000/Leadsheet!$E$10,0)</f>
        <v>0</v>
      </c>
      <c r="M53" s="497">
        <f>ROUND('Saleplan&amp;PnL'!O6*1000/Leadsheet!$E$10,0)</f>
        <v>0</v>
      </c>
      <c r="N53" s="497">
        <f>ROUND('Saleplan&amp;PnL'!P6*1000/Leadsheet!$E$10,0)</f>
        <v>0</v>
      </c>
      <c r="O53" s="497">
        <f>ROUND('Saleplan&amp;PnL'!Q6*1000/Leadsheet!$E$10,0)</f>
        <v>0</v>
      </c>
      <c r="P53" s="497">
        <f>ROUND('Saleplan&amp;PnL'!R6*1000/Leadsheet!$E$10,0)</f>
        <v>0</v>
      </c>
      <c r="Q53" s="497">
        <f>ROUND('Saleplan&amp;PnL'!S6*1000/Leadsheet!$E$10,0)</f>
        <v>0</v>
      </c>
      <c r="R53" s="497">
        <f>ROUND('Saleplan&amp;PnL'!T6*1000/Leadsheet!$E$10,0)</f>
        <v>0</v>
      </c>
      <c r="S53" s="497">
        <f>ROUND('Saleplan&amp;PnL'!U6*1000/Leadsheet!$E$10,0)</f>
        <v>0</v>
      </c>
      <c r="T53" s="497">
        <f>ROUND('Saleplan&amp;PnL'!V6*1000/Leadsheet!$E$10,0)</f>
        <v>0</v>
      </c>
      <c r="U53" s="497">
        <f>ROUND('Saleplan&amp;PnL'!W6*1000/Leadsheet!$E$10,0)</f>
        <v>0</v>
      </c>
      <c r="V53" s="497">
        <f>ROUND('Saleplan&amp;PnL'!X6*1000/Leadsheet!$E$10,0)</f>
        <v>0</v>
      </c>
      <c r="W53" s="497">
        <f>ROUND('Saleplan&amp;PnL'!Y6*1000/Leadsheet!$E$10,0)</f>
        <v>0</v>
      </c>
      <c r="X53" s="497">
        <f>ROUND('Saleplan&amp;PnL'!Z6*1000/Leadsheet!$E$10,0)</f>
        <v>0</v>
      </c>
      <c r="Y53" s="497">
        <f>ROUND('Saleplan&amp;PnL'!AA6*1000/Leadsheet!$E$10,0)</f>
        <v>0</v>
      </c>
      <c r="Z53" s="497">
        <f>ROUND('Saleplan&amp;PnL'!AB6*1000/Leadsheet!$E$10,0)</f>
        <v>0</v>
      </c>
      <c r="AA53" s="497">
        <f>ROUND('Saleplan&amp;PnL'!AC6*1000/Leadsheet!$E$10,0)</f>
        <v>0</v>
      </c>
      <c r="AB53" s="497">
        <f>ROUND('Saleplan&amp;PnL'!AD6*1000/Leadsheet!$E$10,0)</f>
        <v>0</v>
      </c>
      <c r="AC53" s="497">
        <f>ROUND('Saleplan&amp;PnL'!AE6*1000/Leadsheet!$E$10,0)</f>
        <v>0</v>
      </c>
      <c r="AD53" s="497">
        <f>ROUND('Saleplan&amp;PnL'!AF6*1000/Leadsheet!$E$10,0)</f>
        <v>0</v>
      </c>
      <c r="AE53" s="497">
        <f>ROUND('Saleplan&amp;PnL'!AG6*1000/Leadsheet!$E$10,0)</f>
        <v>0</v>
      </c>
      <c r="AF53" s="497">
        <f>ROUND('Saleplan&amp;PnL'!AH6*1000/Leadsheet!$E$10,0)</f>
        <v>0</v>
      </c>
      <c r="AG53" s="497">
        <f>ROUND('Saleplan&amp;PnL'!AI6*1000/Leadsheet!$E$10,0)</f>
        <v>0</v>
      </c>
      <c r="AH53" s="497">
        <f>ROUND('Saleplan&amp;PnL'!AJ6*1000/Leadsheet!$E$10,0)</f>
        <v>0</v>
      </c>
      <c r="AI53" s="497">
        <f>ROUND('Saleplan&amp;PnL'!AK6*1000/Leadsheet!$E$10,0)</f>
        <v>0</v>
      </c>
      <c r="AJ53" s="497">
        <f>ROUND('Saleplan&amp;PnL'!AL6*1000/Leadsheet!$E$10,0)</f>
        <v>0</v>
      </c>
      <c r="AK53" s="497">
        <f>ROUND('Saleplan&amp;PnL'!AM6*1000/Leadsheet!$E$10,0)</f>
        <v>0</v>
      </c>
      <c r="AL53" s="497">
        <f>ROUND('Saleplan&amp;PnL'!AN6*1000/Leadsheet!$E$10,0)</f>
        <v>0</v>
      </c>
      <c r="AM53" s="497">
        <f>ROUND('Saleplan&amp;PnL'!AO6*1000/Leadsheet!$E$10,0)</f>
        <v>0</v>
      </c>
      <c r="AN53" s="497">
        <f>ROUND('Saleplan&amp;PnL'!AP6*1000/Leadsheet!$E$10,0)</f>
        <v>0</v>
      </c>
      <c r="AO53" s="497">
        <f>ROUND('Saleplan&amp;PnL'!AQ6*1000/Leadsheet!$E$10,0)</f>
        <v>0</v>
      </c>
      <c r="AP53" s="497">
        <f>ROUND('Saleplan&amp;PnL'!AR6*1000/Leadsheet!$E$10,0)</f>
        <v>0</v>
      </c>
      <c r="AQ53" s="497">
        <f>ROUND('Saleplan&amp;PnL'!AS6*1000/Leadsheet!$E$10,0)</f>
        <v>0</v>
      </c>
      <c r="AR53" s="497">
        <f>ROUND('Saleplan&amp;PnL'!AT6*1000/Leadsheet!$E$10,0)</f>
        <v>0</v>
      </c>
      <c r="AS53" s="497">
        <f>ROUND('Saleplan&amp;PnL'!AU6*1000/Leadsheet!$E$10,0)</f>
        <v>0</v>
      </c>
      <c r="AT53" s="497">
        <f>ROUND('Saleplan&amp;PnL'!AV6*1000/Leadsheet!$E$10,0)</f>
        <v>0</v>
      </c>
      <c r="AU53" s="497">
        <f>ROUND('Saleplan&amp;PnL'!AW6*1000/Leadsheet!$E$10,0)</f>
        <v>0</v>
      </c>
      <c r="AV53" s="497">
        <f>ROUND('Saleplan&amp;PnL'!AX6*1000/Leadsheet!$E$10,0)</f>
        <v>0</v>
      </c>
      <c r="AW53" s="497">
        <f>ROUND('Saleplan&amp;PnL'!AY6*1000/Leadsheet!$E$10,0)</f>
        <v>0</v>
      </c>
      <c r="AX53" s="497">
        <f>ROUND('Saleplan&amp;PnL'!AZ6*1000/Leadsheet!$E$10,0)</f>
        <v>0</v>
      </c>
      <c r="AY53" s="497">
        <f>ROUND('Saleplan&amp;PnL'!BA6*1000/Leadsheet!$E$10,0)</f>
        <v>0</v>
      </c>
      <c r="AZ53" s="497">
        <f>ROUND('Saleplan&amp;PnL'!BB6*1000/Leadsheet!$E$10,0)</f>
        <v>0</v>
      </c>
      <c r="BA53" s="497">
        <f>ROUND('Saleplan&amp;PnL'!BC6*1000/Leadsheet!$E$10,0)</f>
        <v>0</v>
      </c>
      <c r="BB53" s="497">
        <f>ROUND('Saleplan&amp;PnL'!BD6*1000/Leadsheet!$E$10,0)</f>
        <v>0</v>
      </c>
      <c r="BC53" s="497">
        <f>ROUND('Saleplan&amp;PnL'!BE6*1000/Leadsheet!$E$10,0)</f>
        <v>0</v>
      </c>
      <c r="BD53" s="497">
        <f>ROUND('Saleplan&amp;PnL'!BF6*1000/Leadsheet!$E$10,0)</f>
        <v>0</v>
      </c>
      <c r="BE53" s="497">
        <f>ROUND('Saleplan&amp;PnL'!BG6*1000/Leadsheet!$E$10,0)</f>
        <v>0</v>
      </c>
      <c r="BF53" s="497">
        <f>ROUND('Saleplan&amp;PnL'!BH6*1000/Leadsheet!$E$10,0)</f>
        <v>0</v>
      </c>
      <c r="BG53" s="497">
        <f>ROUND('Saleplan&amp;PnL'!BI6*1000/Leadsheet!$E$10,0)</f>
        <v>0</v>
      </c>
      <c r="BH53" s="497">
        <f>ROUND('Saleplan&amp;PnL'!BJ6*1000/Leadsheet!$E$10,0)</f>
        <v>0</v>
      </c>
      <c r="BI53" s="497">
        <f>ROUND('Saleplan&amp;PnL'!BK6*1000/Leadsheet!$E$10,0)</f>
        <v>0</v>
      </c>
    </row>
    <row r="54" spans="1:62" outlineLevel="1" x14ac:dyDescent="0.15">
      <c r="A54" s="498">
        <v>1</v>
      </c>
      <c r="B54" s="488">
        <f t="shared" ref="B54:Q69" ca="1" si="7">IF($A54&gt;B$5,"",OFFSET(B$53,0,-($A54-1)))</f>
        <v>0</v>
      </c>
      <c r="C54" s="488">
        <f t="shared" ca="1" si="7"/>
        <v>0</v>
      </c>
      <c r="D54" s="488">
        <f t="shared" ca="1" si="7"/>
        <v>0</v>
      </c>
      <c r="E54" s="488">
        <f t="shared" ca="1" si="7"/>
        <v>0</v>
      </c>
      <c r="F54" s="488">
        <f t="shared" ca="1" si="7"/>
        <v>0</v>
      </c>
      <c r="G54" s="488">
        <f t="shared" ca="1" si="7"/>
        <v>0</v>
      </c>
      <c r="H54" s="488">
        <f t="shared" ca="1" si="7"/>
        <v>0</v>
      </c>
      <c r="I54" s="488">
        <f t="shared" ca="1" si="7"/>
        <v>0</v>
      </c>
      <c r="J54" s="488">
        <f t="shared" ca="1" si="7"/>
        <v>0</v>
      </c>
      <c r="K54" s="488">
        <f t="shared" ca="1" si="7"/>
        <v>0</v>
      </c>
      <c r="L54" s="488">
        <f t="shared" ca="1" si="7"/>
        <v>0</v>
      </c>
      <c r="M54" s="488">
        <f t="shared" ca="1" si="7"/>
        <v>0</v>
      </c>
      <c r="N54" s="488">
        <f t="shared" ca="1" si="7"/>
        <v>0</v>
      </c>
      <c r="O54" s="488">
        <f t="shared" ca="1" si="7"/>
        <v>0</v>
      </c>
      <c r="P54" s="488">
        <f t="shared" ca="1" si="7"/>
        <v>0</v>
      </c>
      <c r="Q54" s="488">
        <f t="shared" ca="1" si="7"/>
        <v>0</v>
      </c>
      <c r="R54" s="488">
        <f t="shared" ref="R54:BI59" ca="1" si="8">IF($A54&gt;R$5,"",OFFSET(R$53,0,-($A54-1)))</f>
        <v>0</v>
      </c>
      <c r="S54" s="488">
        <f t="shared" ca="1" si="8"/>
        <v>0</v>
      </c>
      <c r="T54" s="488">
        <f t="shared" ca="1" si="8"/>
        <v>0</v>
      </c>
      <c r="U54" s="488">
        <f t="shared" ca="1" si="8"/>
        <v>0</v>
      </c>
      <c r="V54" s="488">
        <f t="shared" ca="1" si="8"/>
        <v>0</v>
      </c>
      <c r="W54" s="488">
        <f t="shared" ca="1" si="8"/>
        <v>0</v>
      </c>
      <c r="X54" s="488">
        <f t="shared" ca="1" si="8"/>
        <v>0</v>
      </c>
      <c r="Y54" s="488">
        <f t="shared" ca="1" si="8"/>
        <v>0</v>
      </c>
      <c r="Z54" s="488">
        <f t="shared" ca="1" si="8"/>
        <v>0</v>
      </c>
      <c r="AA54" s="488">
        <f t="shared" ca="1" si="8"/>
        <v>0</v>
      </c>
      <c r="AB54" s="488">
        <f t="shared" ca="1" si="8"/>
        <v>0</v>
      </c>
      <c r="AC54" s="488">
        <f t="shared" ca="1" si="8"/>
        <v>0</v>
      </c>
      <c r="AD54" s="488">
        <f t="shared" ca="1" si="8"/>
        <v>0</v>
      </c>
      <c r="AE54" s="488">
        <f t="shared" ca="1" si="8"/>
        <v>0</v>
      </c>
      <c r="AF54" s="488">
        <f t="shared" ca="1" si="8"/>
        <v>0</v>
      </c>
      <c r="AG54" s="488">
        <f t="shared" ca="1" si="8"/>
        <v>0</v>
      </c>
      <c r="AH54" s="488">
        <f t="shared" ca="1" si="8"/>
        <v>0</v>
      </c>
      <c r="AI54" s="488">
        <f t="shared" ca="1" si="8"/>
        <v>0</v>
      </c>
      <c r="AJ54" s="488">
        <f t="shared" ca="1" si="8"/>
        <v>0</v>
      </c>
      <c r="AK54" s="488">
        <f t="shared" ca="1" si="8"/>
        <v>0</v>
      </c>
      <c r="AL54" s="488">
        <f t="shared" ca="1" si="8"/>
        <v>0</v>
      </c>
      <c r="AM54" s="488">
        <f t="shared" ca="1" si="8"/>
        <v>0</v>
      </c>
      <c r="AN54" s="488">
        <f t="shared" ca="1" si="8"/>
        <v>0</v>
      </c>
      <c r="AO54" s="488">
        <f t="shared" ca="1" si="8"/>
        <v>0</v>
      </c>
      <c r="AP54" s="488">
        <f t="shared" ca="1" si="8"/>
        <v>0</v>
      </c>
      <c r="AQ54" s="488">
        <f t="shared" ca="1" si="8"/>
        <v>0</v>
      </c>
      <c r="AR54" s="488">
        <f t="shared" ca="1" si="8"/>
        <v>0</v>
      </c>
      <c r="AS54" s="488">
        <f t="shared" ca="1" si="8"/>
        <v>0</v>
      </c>
      <c r="AT54" s="488">
        <f t="shared" ca="1" si="8"/>
        <v>0</v>
      </c>
      <c r="AU54" s="488">
        <f t="shared" ca="1" si="8"/>
        <v>0</v>
      </c>
      <c r="AV54" s="488">
        <f t="shared" ca="1" si="8"/>
        <v>0</v>
      </c>
      <c r="AW54" s="488">
        <f t="shared" ca="1" si="8"/>
        <v>0</v>
      </c>
      <c r="AX54" s="488">
        <f t="shared" ca="1" si="8"/>
        <v>0</v>
      </c>
      <c r="AY54" s="488">
        <f t="shared" ca="1" si="8"/>
        <v>0</v>
      </c>
      <c r="AZ54" s="488">
        <f t="shared" ca="1" si="8"/>
        <v>0</v>
      </c>
      <c r="BA54" s="488">
        <f t="shared" ca="1" si="8"/>
        <v>0</v>
      </c>
      <c r="BB54" s="488">
        <f t="shared" ca="1" si="8"/>
        <v>0</v>
      </c>
      <c r="BC54" s="488">
        <f t="shared" ca="1" si="8"/>
        <v>0</v>
      </c>
      <c r="BD54" s="488">
        <f t="shared" ca="1" si="8"/>
        <v>0</v>
      </c>
      <c r="BE54" s="488">
        <f t="shared" ca="1" si="8"/>
        <v>0</v>
      </c>
      <c r="BF54" s="488">
        <f t="shared" ca="1" si="8"/>
        <v>0</v>
      </c>
      <c r="BG54" s="488">
        <f t="shared" ca="1" si="8"/>
        <v>0</v>
      </c>
      <c r="BH54" s="488">
        <f t="shared" ca="1" si="8"/>
        <v>0</v>
      </c>
      <c r="BI54" s="488">
        <f t="shared" ca="1" si="8"/>
        <v>0</v>
      </c>
      <c r="BJ54" s="488"/>
    </row>
    <row r="55" spans="1:62" outlineLevel="1" x14ac:dyDescent="0.15">
      <c r="A55" s="498">
        <v>2</v>
      </c>
      <c r="B55" s="488" t="str">
        <f t="shared" ca="1" si="7"/>
        <v/>
      </c>
      <c r="C55" s="488">
        <f t="shared" ca="1" si="7"/>
        <v>0</v>
      </c>
      <c r="D55" s="488">
        <f t="shared" ca="1" si="7"/>
        <v>0</v>
      </c>
      <c r="E55" s="488">
        <f t="shared" ca="1" si="7"/>
        <v>0</v>
      </c>
      <c r="F55" s="488">
        <f t="shared" ca="1" si="7"/>
        <v>0</v>
      </c>
      <c r="G55" s="488">
        <f t="shared" ca="1" si="7"/>
        <v>0</v>
      </c>
      <c r="H55" s="488">
        <f t="shared" ca="1" si="7"/>
        <v>0</v>
      </c>
      <c r="I55" s="488">
        <f t="shared" ca="1" si="7"/>
        <v>0</v>
      </c>
      <c r="J55" s="488">
        <f t="shared" ca="1" si="7"/>
        <v>0</v>
      </c>
      <c r="K55" s="488">
        <f t="shared" ca="1" si="7"/>
        <v>0</v>
      </c>
      <c r="L55" s="488">
        <f t="shared" ca="1" si="7"/>
        <v>0</v>
      </c>
      <c r="M55" s="488">
        <f t="shared" ca="1" si="7"/>
        <v>0</v>
      </c>
      <c r="N55" s="488">
        <f t="shared" ca="1" si="7"/>
        <v>0</v>
      </c>
      <c r="O55" s="488">
        <f t="shared" ca="1" si="7"/>
        <v>0</v>
      </c>
      <c r="P55" s="488">
        <f t="shared" ca="1" si="7"/>
        <v>0</v>
      </c>
      <c r="Q55" s="488">
        <f t="shared" ca="1" si="7"/>
        <v>0</v>
      </c>
      <c r="R55" s="488">
        <f t="shared" ca="1" si="8"/>
        <v>0</v>
      </c>
      <c r="S55" s="488">
        <f t="shared" ca="1" si="8"/>
        <v>0</v>
      </c>
      <c r="T55" s="488">
        <f t="shared" ca="1" si="8"/>
        <v>0</v>
      </c>
      <c r="U55" s="488">
        <f t="shared" ca="1" si="8"/>
        <v>0</v>
      </c>
      <c r="V55" s="488">
        <f t="shared" ca="1" si="8"/>
        <v>0</v>
      </c>
      <c r="W55" s="488">
        <f t="shared" ca="1" si="8"/>
        <v>0</v>
      </c>
      <c r="X55" s="488">
        <f t="shared" ca="1" si="8"/>
        <v>0</v>
      </c>
      <c r="Y55" s="488">
        <f t="shared" ca="1" si="8"/>
        <v>0</v>
      </c>
      <c r="Z55" s="488">
        <f t="shared" ca="1" si="8"/>
        <v>0</v>
      </c>
      <c r="AA55" s="488">
        <f t="shared" ca="1" si="8"/>
        <v>0</v>
      </c>
      <c r="AB55" s="488">
        <f t="shared" ca="1" si="8"/>
        <v>0</v>
      </c>
      <c r="AC55" s="488">
        <f t="shared" ca="1" si="8"/>
        <v>0</v>
      </c>
      <c r="AD55" s="488">
        <f t="shared" ca="1" si="8"/>
        <v>0</v>
      </c>
      <c r="AE55" s="488">
        <f t="shared" ca="1" si="8"/>
        <v>0</v>
      </c>
      <c r="AF55" s="488">
        <f t="shared" ca="1" si="8"/>
        <v>0</v>
      </c>
      <c r="AG55" s="488">
        <f t="shared" ca="1" si="8"/>
        <v>0</v>
      </c>
      <c r="AH55" s="488">
        <f t="shared" ca="1" si="8"/>
        <v>0</v>
      </c>
      <c r="AI55" s="488">
        <f t="shared" ca="1" si="8"/>
        <v>0</v>
      </c>
      <c r="AJ55" s="488">
        <f t="shared" ca="1" si="8"/>
        <v>0</v>
      </c>
      <c r="AK55" s="488">
        <f t="shared" ca="1" si="8"/>
        <v>0</v>
      </c>
      <c r="AL55" s="488">
        <f t="shared" ca="1" si="8"/>
        <v>0</v>
      </c>
      <c r="AM55" s="488">
        <f t="shared" ca="1" si="8"/>
        <v>0</v>
      </c>
      <c r="AN55" s="488">
        <f t="shared" ca="1" si="8"/>
        <v>0</v>
      </c>
      <c r="AO55" s="488">
        <f t="shared" ca="1" si="8"/>
        <v>0</v>
      </c>
      <c r="AP55" s="488">
        <f t="shared" ca="1" si="8"/>
        <v>0</v>
      </c>
      <c r="AQ55" s="488">
        <f t="shared" ca="1" si="8"/>
        <v>0</v>
      </c>
      <c r="AR55" s="488">
        <f t="shared" ca="1" si="8"/>
        <v>0</v>
      </c>
      <c r="AS55" s="488">
        <f t="shared" ca="1" si="8"/>
        <v>0</v>
      </c>
      <c r="AT55" s="488">
        <f t="shared" ca="1" si="8"/>
        <v>0</v>
      </c>
      <c r="AU55" s="488">
        <f t="shared" ca="1" si="8"/>
        <v>0</v>
      </c>
      <c r="AV55" s="488">
        <f t="shared" ca="1" si="8"/>
        <v>0</v>
      </c>
      <c r="AW55" s="488">
        <f t="shared" ca="1" si="8"/>
        <v>0</v>
      </c>
      <c r="AX55" s="488">
        <f t="shared" ca="1" si="8"/>
        <v>0</v>
      </c>
      <c r="AY55" s="488">
        <f t="shared" ca="1" si="8"/>
        <v>0</v>
      </c>
      <c r="AZ55" s="488">
        <f t="shared" ca="1" si="8"/>
        <v>0</v>
      </c>
      <c r="BA55" s="488">
        <f t="shared" ca="1" si="8"/>
        <v>0</v>
      </c>
      <c r="BB55" s="488">
        <f t="shared" ca="1" si="8"/>
        <v>0</v>
      </c>
      <c r="BC55" s="488">
        <f t="shared" ca="1" si="8"/>
        <v>0</v>
      </c>
      <c r="BD55" s="488">
        <f t="shared" ca="1" si="8"/>
        <v>0</v>
      </c>
      <c r="BE55" s="488">
        <f t="shared" ca="1" si="8"/>
        <v>0</v>
      </c>
      <c r="BF55" s="488">
        <f t="shared" ca="1" si="8"/>
        <v>0</v>
      </c>
      <c r="BG55" s="488">
        <f t="shared" ca="1" si="8"/>
        <v>0</v>
      </c>
      <c r="BH55" s="488">
        <f t="shared" ca="1" si="8"/>
        <v>0</v>
      </c>
      <c r="BI55" s="488">
        <f t="shared" ca="1" si="8"/>
        <v>0</v>
      </c>
      <c r="BJ55" s="488"/>
    </row>
    <row r="56" spans="1:62" outlineLevel="1" x14ac:dyDescent="0.15">
      <c r="A56" s="498">
        <v>3</v>
      </c>
      <c r="B56" s="488" t="str">
        <f t="shared" ca="1" si="7"/>
        <v/>
      </c>
      <c r="C56" s="488" t="str">
        <f t="shared" ca="1" si="7"/>
        <v/>
      </c>
      <c r="D56" s="488">
        <f t="shared" ca="1" si="7"/>
        <v>0</v>
      </c>
      <c r="E56" s="488">
        <f t="shared" ca="1" si="7"/>
        <v>0</v>
      </c>
      <c r="F56" s="488">
        <f t="shared" ca="1" si="7"/>
        <v>0</v>
      </c>
      <c r="G56" s="488">
        <f t="shared" ca="1" si="7"/>
        <v>0</v>
      </c>
      <c r="H56" s="488">
        <f t="shared" ca="1" si="7"/>
        <v>0</v>
      </c>
      <c r="I56" s="488">
        <f t="shared" ca="1" si="7"/>
        <v>0</v>
      </c>
      <c r="J56" s="488">
        <f t="shared" ca="1" si="7"/>
        <v>0</v>
      </c>
      <c r="K56" s="488">
        <f t="shared" ca="1" si="7"/>
        <v>0</v>
      </c>
      <c r="L56" s="488">
        <f t="shared" ca="1" si="7"/>
        <v>0</v>
      </c>
      <c r="M56" s="488">
        <f t="shared" ca="1" si="7"/>
        <v>0</v>
      </c>
      <c r="N56" s="488">
        <f t="shared" ca="1" si="7"/>
        <v>0</v>
      </c>
      <c r="O56" s="488">
        <f t="shared" ca="1" si="7"/>
        <v>0</v>
      </c>
      <c r="P56" s="488">
        <f t="shared" ca="1" si="7"/>
        <v>0</v>
      </c>
      <c r="Q56" s="488">
        <f t="shared" ca="1" si="7"/>
        <v>0</v>
      </c>
      <c r="R56" s="488">
        <f t="shared" ca="1" si="8"/>
        <v>0</v>
      </c>
      <c r="S56" s="488">
        <f t="shared" ca="1" si="8"/>
        <v>0</v>
      </c>
      <c r="T56" s="488">
        <f t="shared" ca="1" si="8"/>
        <v>0</v>
      </c>
      <c r="U56" s="488">
        <f t="shared" ca="1" si="8"/>
        <v>0</v>
      </c>
      <c r="V56" s="488">
        <f t="shared" ca="1" si="8"/>
        <v>0</v>
      </c>
      <c r="W56" s="488">
        <f t="shared" ca="1" si="8"/>
        <v>0</v>
      </c>
      <c r="X56" s="488">
        <f t="shared" ca="1" si="8"/>
        <v>0</v>
      </c>
      <c r="Y56" s="488">
        <f t="shared" ca="1" si="8"/>
        <v>0</v>
      </c>
      <c r="Z56" s="488">
        <f t="shared" ca="1" si="8"/>
        <v>0</v>
      </c>
      <c r="AA56" s="488">
        <f t="shared" ca="1" si="8"/>
        <v>0</v>
      </c>
      <c r="AB56" s="488">
        <f t="shared" ca="1" si="8"/>
        <v>0</v>
      </c>
      <c r="AC56" s="488">
        <f t="shared" ca="1" si="8"/>
        <v>0</v>
      </c>
      <c r="AD56" s="488">
        <f t="shared" ca="1" si="8"/>
        <v>0</v>
      </c>
      <c r="AE56" s="488">
        <f t="shared" ca="1" si="8"/>
        <v>0</v>
      </c>
      <c r="AF56" s="488">
        <f t="shared" ca="1" si="8"/>
        <v>0</v>
      </c>
      <c r="AG56" s="488">
        <f t="shared" ca="1" si="8"/>
        <v>0</v>
      </c>
      <c r="AH56" s="488">
        <f t="shared" ca="1" si="8"/>
        <v>0</v>
      </c>
      <c r="AI56" s="488">
        <f t="shared" ca="1" si="8"/>
        <v>0</v>
      </c>
      <c r="AJ56" s="488">
        <f t="shared" ca="1" si="8"/>
        <v>0</v>
      </c>
      <c r="AK56" s="488">
        <f t="shared" ca="1" si="8"/>
        <v>0</v>
      </c>
      <c r="AL56" s="488">
        <f t="shared" ca="1" si="8"/>
        <v>0</v>
      </c>
      <c r="AM56" s="488">
        <f t="shared" ca="1" si="8"/>
        <v>0</v>
      </c>
      <c r="AN56" s="488">
        <f t="shared" ca="1" si="8"/>
        <v>0</v>
      </c>
      <c r="AO56" s="488">
        <f t="shared" ca="1" si="8"/>
        <v>0</v>
      </c>
      <c r="AP56" s="488">
        <f t="shared" ca="1" si="8"/>
        <v>0</v>
      </c>
      <c r="AQ56" s="488">
        <f t="shared" ca="1" si="8"/>
        <v>0</v>
      </c>
      <c r="AR56" s="488">
        <f t="shared" ca="1" si="8"/>
        <v>0</v>
      </c>
      <c r="AS56" s="488">
        <f t="shared" ca="1" si="8"/>
        <v>0</v>
      </c>
      <c r="AT56" s="488">
        <f t="shared" ca="1" si="8"/>
        <v>0</v>
      </c>
      <c r="AU56" s="488">
        <f t="shared" ca="1" si="8"/>
        <v>0</v>
      </c>
      <c r="AV56" s="488">
        <f t="shared" ca="1" si="8"/>
        <v>0</v>
      </c>
      <c r="AW56" s="488">
        <f t="shared" ca="1" si="8"/>
        <v>0</v>
      </c>
      <c r="AX56" s="488">
        <f t="shared" ca="1" si="8"/>
        <v>0</v>
      </c>
      <c r="AY56" s="488">
        <f t="shared" ca="1" si="8"/>
        <v>0</v>
      </c>
      <c r="AZ56" s="488">
        <f t="shared" ca="1" si="8"/>
        <v>0</v>
      </c>
      <c r="BA56" s="488">
        <f t="shared" ca="1" si="8"/>
        <v>0</v>
      </c>
      <c r="BB56" s="488">
        <f t="shared" ca="1" si="8"/>
        <v>0</v>
      </c>
      <c r="BC56" s="488">
        <f t="shared" ca="1" si="8"/>
        <v>0</v>
      </c>
      <c r="BD56" s="488">
        <f t="shared" ca="1" si="8"/>
        <v>0</v>
      </c>
      <c r="BE56" s="488">
        <f t="shared" ca="1" si="8"/>
        <v>0</v>
      </c>
      <c r="BF56" s="488">
        <f t="shared" ca="1" si="8"/>
        <v>0</v>
      </c>
      <c r="BG56" s="488">
        <f t="shared" ca="1" si="8"/>
        <v>0</v>
      </c>
      <c r="BH56" s="488">
        <f t="shared" ca="1" si="8"/>
        <v>0</v>
      </c>
      <c r="BI56" s="488">
        <f t="shared" ca="1" si="8"/>
        <v>0</v>
      </c>
      <c r="BJ56" s="488"/>
    </row>
    <row r="57" spans="1:62" outlineLevel="1" x14ac:dyDescent="0.15">
      <c r="A57" s="498">
        <v>4</v>
      </c>
      <c r="B57" s="488" t="str">
        <f t="shared" ca="1" si="7"/>
        <v/>
      </c>
      <c r="C57" s="488" t="str">
        <f t="shared" ca="1" si="7"/>
        <v/>
      </c>
      <c r="D57" s="488" t="str">
        <f t="shared" ca="1" si="7"/>
        <v/>
      </c>
      <c r="E57" s="488">
        <f t="shared" ca="1" si="7"/>
        <v>0</v>
      </c>
      <c r="F57" s="488">
        <f t="shared" ca="1" si="7"/>
        <v>0</v>
      </c>
      <c r="G57" s="488">
        <f t="shared" ca="1" si="7"/>
        <v>0</v>
      </c>
      <c r="H57" s="488">
        <f t="shared" ca="1" si="7"/>
        <v>0</v>
      </c>
      <c r="I57" s="488">
        <f t="shared" ca="1" si="7"/>
        <v>0</v>
      </c>
      <c r="J57" s="488">
        <f t="shared" ca="1" si="7"/>
        <v>0</v>
      </c>
      <c r="K57" s="488">
        <f t="shared" ca="1" si="7"/>
        <v>0</v>
      </c>
      <c r="L57" s="488">
        <f t="shared" ca="1" si="7"/>
        <v>0</v>
      </c>
      <c r="M57" s="488">
        <f t="shared" ca="1" si="7"/>
        <v>0</v>
      </c>
      <c r="N57" s="488">
        <f t="shared" ca="1" si="7"/>
        <v>0</v>
      </c>
      <c r="O57" s="488">
        <f t="shared" ca="1" si="7"/>
        <v>0</v>
      </c>
      <c r="P57" s="488">
        <f t="shared" ca="1" si="7"/>
        <v>0</v>
      </c>
      <c r="Q57" s="488">
        <f t="shared" ca="1" si="7"/>
        <v>0</v>
      </c>
      <c r="R57" s="488">
        <f t="shared" ca="1" si="8"/>
        <v>0</v>
      </c>
      <c r="S57" s="488">
        <f t="shared" ca="1" si="8"/>
        <v>0</v>
      </c>
      <c r="T57" s="488">
        <f t="shared" ca="1" si="8"/>
        <v>0</v>
      </c>
      <c r="U57" s="488">
        <f t="shared" ca="1" si="8"/>
        <v>0</v>
      </c>
      <c r="V57" s="488">
        <f t="shared" ca="1" si="8"/>
        <v>0</v>
      </c>
      <c r="W57" s="488">
        <f t="shared" ca="1" si="8"/>
        <v>0</v>
      </c>
      <c r="X57" s="488">
        <f t="shared" ca="1" si="8"/>
        <v>0</v>
      </c>
      <c r="Y57" s="488">
        <f t="shared" ca="1" si="8"/>
        <v>0</v>
      </c>
      <c r="Z57" s="488">
        <f t="shared" ca="1" si="8"/>
        <v>0</v>
      </c>
      <c r="AA57" s="488">
        <f t="shared" ca="1" si="8"/>
        <v>0</v>
      </c>
      <c r="AB57" s="488">
        <f t="shared" ca="1" si="8"/>
        <v>0</v>
      </c>
      <c r="AC57" s="488">
        <f t="shared" ca="1" si="8"/>
        <v>0</v>
      </c>
      <c r="AD57" s="488">
        <f t="shared" ca="1" si="8"/>
        <v>0</v>
      </c>
      <c r="AE57" s="488">
        <f t="shared" ca="1" si="8"/>
        <v>0</v>
      </c>
      <c r="AF57" s="488">
        <f t="shared" ca="1" si="8"/>
        <v>0</v>
      </c>
      <c r="AG57" s="488">
        <f t="shared" ca="1" si="8"/>
        <v>0</v>
      </c>
      <c r="AH57" s="488">
        <f t="shared" ca="1" si="8"/>
        <v>0</v>
      </c>
      <c r="AI57" s="488">
        <f t="shared" ca="1" si="8"/>
        <v>0</v>
      </c>
      <c r="AJ57" s="488">
        <f t="shared" ca="1" si="8"/>
        <v>0</v>
      </c>
      <c r="AK57" s="488">
        <f t="shared" ca="1" si="8"/>
        <v>0</v>
      </c>
      <c r="AL57" s="488">
        <f t="shared" ca="1" si="8"/>
        <v>0</v>
      </c>
      <c r="AM57" s="488">
        <f t="shared" ca="1" si="8"/>
        <v>0</v>
      </c>
      <c r="AN57" s="488">
        <f t="shared" ca="1" si="8"/>
        <v>0</v>
      </c>
      <c r="AO57" s="488">
        <f t="shared" ca="1" si="8"/>
        <v>0</v>
      </c>
      <c r="AP57" s="488">
        <f t="shared" ca="1" si="8"/>
        <v>0</v>
      </c>
      <c r="AQ57" s="488">
        <f t="shared" ca="1" si="8"/>
        <v>0</v>
      </c>
      <c r="AR57" s="488">
        <f t="shared" ca="1" si="8"/>
        <v>0</v>
      </c>
      <c r="AS57" s="488">
        <f t="shared" ca="1" si="8"/>
        <v>0</v>
      </c>
      <c r="AT57" s="488">
        <f t="shared" ca="1" si="8"/>
        <v>0</v>
      </c>
      <c r="AU57" s="488">
        <f t="shared" ca="1" si="8"/>
        <v>0</v>
      </c>
      <c r="AV57" s="488">
        <f t="shared" ca="1" si="8"/>
        <v>0</v>
      </c>
      <c r="AW57" s="488">
        <f t="shared" ca="1" si="8"/>
        <v>0</v>
      </c>
      <c r="AX57" s="488">
        <f t="shared" ca="1" si="8"/>
        <v>0</v>
      </c>
      <c r="AY57" s="488">
        <f t="shared" ca="1" si="8"/>
        <v>0</v>
      </c>
      <c r="AZ57" s="488">
        <f t="shared" ca="1" si="8"/>
        <v>0</v>
      </c>
      <c r="BA57" s="488">
        <f t="shared" ca="1" si="8"/>
        <v>0</v>
      </c>
      <c r="BB57" s="488">
        <f t="shared" ca="1" si="8"/>
        <v>0</v>
      </c>
      <c r="BC57" s="488">
        <f t="shared" ca="1" si="8"/>
        <v>0</v>
      </c>
      <c r="BD57" s="488">
        <f t="shared" ca="1" si="8"/>
        <v>0</v>
      </c>
      <c r="BE57" s="488">
        <f t="shared" ca="1" si="8"/>
        <v>0</v>
      </c>
      <c r="BF57" s="488">
        <f t="shared" ca="1" si="8"/>
        <v>0</v>
      </c>
      <c r="BG57" s="488">
        <f t="shared" ca="1" si="8"/>
        <v>0</v>
      </c>
      <c r="BH57" s="488">
        <f t="shared" ca="1" si="8"/>
        <v>0</v>
      </c>
      <c r="BI57" s="488">
        <f t="shared" ca="1" si="8"/>
        <v>0</v>
      </c>
      <c r="BJ57" s="488"/>
    </row>
    <row r="58" spans="1:62" outlineLevel="1" x14ac:dyDescent="0.15">
      <c r="A58" s="498">
        <v>5</v>
      </c>
      <c r="B58" s="488" t="str">
        <f t="shared" ca="1" si="7"/>
        <v/>
      </c>
      <c r="C58" s="488" t="str">
        <f t="shared" ca="1" si="7"/>
        <v/>
      </c>
      <c r="D58" s="488" t="str">
        <f t="shared" ca="1" si="7"/>
        <v/>
      </c>
      <c r="E58" s="488" t="str">
        <f t="shared" ca="1" si="7"/>
        <v/>
      </c>
      <c r="F58" s="488">
        <f t="shared" ca="1" si="7"/>
        <v>0</v>
      </c>
      <c r="G58" s="488">
        <f t="shared" ca="1" si="7"/>
        <v>0</v>
      </c>
      <c r="H58" s="488">
        <f t="shared" ca="1" si="7"/>
        <v>0</v>
      </c>
      <c r="I58" s="488">
        <f t="shared" ca="1" si="7"/>
        <v>0</v>
      </c>
      <c r="J58" s="488">
        <f t="shared" ca="1" si="7"/>
        <v>0</v>
      </c>
      <c r="K58" s="488">
        <f t="shared" ca="1" si="7"/>
        <v>0</v>
      </c>
      <c r="L58" s="488">
        <f t="shared" ca="1" si="7"/>
        <v>0</v>
      </c>
      <c r="M58" s="488">
        <f t="shared" ca="1" si="7"/>
        <v>0</v>
      </c>
      <c r="N58" s="488">
        <f t="shared" ca="1" si="7"/>
        <v>0</v>
      </c>
      <c r="O58" s="488">
        <f t="shared" ca="1" si="7"/>
        <v>0</v>
      </c>
      <c r="P58" s="488">
        <f t="shared" ca="1" si="7"/>
        <v>0</v>
      </c>
      <c r="Q58" s="488">
        <f t="shared" ca="1" si="7"/>
        <v>0</v>
      </c>
      <c r="R58" s="488">
        <f t="shared" ca="1" si="8"/>
        <v>0</v>
      </c>
      <c r="S58" s="488">
        <f t="shared" ca="1" si="8"/>
        <v>0</v>
      </c>
      <c r="T58" s="488">
        <f t="shared" ca="1" si="8"/>
        <v>0</v>
      </c>
      <c r="U58" s="488">
        <f t="shared" ca="1" si="8"/>
        <v>0</v>
      </c>
      <c r="V58" s="488">
        <f t="shared" ca="1" si="8"/>
        <v>0</v>
      </c>
      <c r="W58" s="488">
        <f t="shared" ca="1" si="8"/>
        <v>0</v>
      </c>
      <c r="X58" s="488">
        <f t="shared" ca="1" si="8"/>
        <v>0</v>
      </c>
      <c r="Y58" s="488">
        <f t="shared" ca="1" si="8"/>
        <v>0</v>
      </c>
      <c r="Z58" s="488">
        <f t="shared" ca="1" si="8"/>
        <v>0</v>
      </c>
      <c r="AA58" s="488">
        <f t="shared" ca="1" si="8"/>
        <v>0</v>
      </c>
      <c r="AB58" s="488">
        <f t="shared" ca="1" si="8"/>
        <v>0</v>
      </c>
      <c r="AC58" s="488">
        <f t="shared" ca="1" si="8"/>
        <v>0</v>
      </c>
      <c r="AD58" s="488">
        <f t="shared" ca="1" si="8"/>
        <v>0</v>
      </c>
      <c r="AE58" s="488">
        <f t="shared" ca="1" si="8"/>
        <v>0</v>
      </c>
      <c r="AF58" s="488">
        <f t="shared" ca="1" si="8"/>
        <v>0</v>
      </c>
      <c r="AG58" s="488">
        <f t="shared" ca="1" si="8"/>
        <v>0</v>
      </c>
      <c r="AH58" s="488">
        <f t="shared" ca="1" si="8"/>
        <v>0</v>
      </c>
      <c r="AI58" s="488">
        <f t="shared" ca="1" si="8"/>
        <v>0</v>
      </c>
      <c r="AJ58" s="488">
        <f t="shared" ca="1" si="8"/>
        <v>0</v>
      </c>
      <c r="AK58" s="488">
        <f t="shared" ca="1" si="8"/>
        <v>0</v>
      </c>
      <c r="AL58" s="488">
        <f t="shared" ca="1" si="8"/>
        <v>0</v>
      </c>
      <c r="AM58" s="488">
        <f t="shared" ca="1" si="8"/>
        <v>0</v>
      </c>
      <c r="AN58" s="488">
        <f t="shared" ca="1" si="8"/>
        <v>0</v>
      </c>
      <c r="AO58" s="488">
        <f t="shared" ca="1" si="8"/>
        <v>0</v>
      </c>
      <c r="AP58" s="488">
        <f t="shared" ca="1" si="8"/>
        <v>0</v>
      </c>
      <c r="AQ58" s="488">
        <f t="shared" ca="1" si="8"/>
        <v>0</v>
      </c>
      <c r="AR58" s="488">
        <f t="shared" ca="1" si="8"/>
        <v>0</v>
      </c>
      <c r="AS58" s="488">
        <f t="shared" ca="1" si="8"/>
        <v>0</v>
      </c>
      <c r="AT58" s="488">
        <f t="shared" ca="1" si="8"/>
        <v>0</v>
      </c>
      <c r="AU58" s="488">
        <f t="shared" ca="1" si="8"/>
        <v>0</v>
      </c>
      <c r="AV58" s="488">
        <f t="shared" ca="1" si="8"/>
        <v>0</v>
      </c>
      <c r="AW58" s="488">
        <f t="shared" ca="1" si="8"/>
        <v>0</v>
      </c>
      <c r="AX58" s="488">
        <f t="shared" ca="1" si="8"/>
        <v>0</v>
      </c>
      <c r="AY58" s="488">
        <f t="shared" ca="1" si="8"/>
        <v>0</v>
      </c>
      <c r="AZ58" s="488">
        <f t="shared" ca="1" si="8"/>
        <v>0</v>
      </c>
      <c r="BA58" s="488">
        <f t="shared" ca="1" si="8"/>
        <v>0</v>
      </c>
      <c r="BB58" s="488">
        <f t="shared" ca="1" si="8"/>
        <v>0</v>
      </c>
      <c r="BC58" s="488">
        <f t="shared" ca="1" si="8"/>
        <v>0</v>
      </c>
      <c r="BD58" s="488">
        <f t="shared" ca="1" si="8"/>
        <v>0</v>
      </c>
      <c r="BE58" s="488">
        <f t="shared" ca="1" si="8"/>
        <v>0</v>
      </c>
      <c r="BF58" s="488">
        <f t="shared" ca="1" si="8"/>
        <v>0</v>
      </c>
      <c r="BG58" s="488">
        <f t="shared" ca="1" si="8"/>
        <v>0</v>
      </c>
      <c r="BH58" s="488">
        <f t="shared" ca="1" si="8"/>
        <v>0</v>
      </c>
      <c r="BI58" s="488">
        <f t="shared" ca="1" si="8"/>
        <v>0</v>
      </c>
      <c r="BJ58" s="488"/>
    </row>
    <row r="59" spans="1:62" outlineLevel="1" x14ac:dyDescent="0.15">
      <c r="A59" s="498">
        <v>6</v>
      </c>
      <c r="B59" s="488" t="str">
        <f t="shared" ca="1" si="7"/>
        <v/>
      </c>
      <c r="C59" s="488" t="str">
        <f t="shared" ca="1" si="7"/>
        <v/>
      </c>
      <c r="D59" s="488" t="str">
        <f t="shared" ca="1" si="7"/>
        <v/>
      </c>
      <c r="E59" s="488" t="str">
        <f t="shared" ca="1" si="7"/>
        <v/>
      </c>
      <c r="F59" s="488" t="str">
        <f t="shared" ca="1" si="7"/>
        <v/>
      </c>
      <c r="G59" s="488">
        <f t="shared" ca="1" si="7"/>
        <v>0</v>
      </c>
      <c r="H59" s="488">
        <f t="shared" ca="1" si="7"/>
        <v>0</v>
      </c>
      <c r="I59" s="488">
        <f t="shared" ca="1" si="7"/>
        <v>0</v>
      </c>
      <c r="J59" s="488">
        <f t="shared" ca="1" si="7"/>
        <v>0</v>
      </c>
      <c r="K59" s="488">
        <f t="shared" ca="1" si="7"/>
        <v>0</v>
      </c>
      <c r="L59" s="488">
        <f t="shared" ca="1" si="7"/>
        <v>0</v>
      </c>
      <c r="M59" s="488">
        <f t="shared" ca="1" si="7"/>
        <v>0</v>
      </c>
      <c r="N59" s="488">
        <f t="shared" ca="1" si="7"/>
        <v>0</v>
      </c>
      <c r="O59" s="488">
        <f t="shared" ca="1" si="7"/>
        <v>0</v>
      </c>
      <c r="P59" s="488">
        <f t="shared" ca="1" si="7"/>
        <v>0</v>
      </c>
      <c r="Q59" s="488">
        <f t="shared" ca="1" si="7"/>
        <v>0</v>
      </c>
      <c r="R59" s="488">
        <f t="shared" ca="1" si="8"/>
        <v>0</v>
      </c>
      <c r="S59" s="488">
        <f t="shared" ca="1" si="8"/>
        <v>0</v>
      </c>
      <c r="T59" s="488">
        <f t="shared" ca="1" si="8"/>
        <v>0</v>
      </c>
      <c r="U59" s="488">
        <f t="shared" ca="1" si="8"/>
        <v>0</v>
      </c>
      <c r="V59" s="488">
        <f t="shared" ca="1" si="8"/>
        <v>0</v>
      </c>
      <c r="W59" s="488">
        <f t="shared" ca="1" si="8"/>
        <v>0</v>
      </c>
      <c r="X59" s="488">
        <f t="shared" ca="1" si="8"/>
        <v>0</v>
      </c>
      <c r="Y59" s="488">
        <f t="shared" ca="1" si="8"/>
        <v>0</v>
      </c>
      <c r="Z59" s="488">
        <f t="shared" ca="1" si="8"/>
        <v>0</v>
      </c>
      <c r="AA59" s="488">
        <f t="shared" ca="1" si="8"/>
        <v>0</v>
      </c>
      <c r="AB59" s="488">
        <f t="shared" ca="1" si="8"/>
        <v>0</v>
      </c>
      <c r="AC59" s="488">
        <f t="shared" ca="1" si="8"/>
        <v>0</v>
      </c>
      <c r="AD59" s="488">
        <f t="shared" ca="1" si="8"/>
        <v>0</v>
      </c>
      <c r="AE59" s="488">
        <f t="shared" ca="1" si="8"/>
        <v>0</v>
      </c>
      <c r="AF59" s="488">
        <f t="shared" ca="1" si="8"/>
        <v>0</v>
      </c>
      <c r="AG59" s="488">
        <f t="shared" ca="1" si="8"/>
        <v>0</v>
      </c>
      <c r="AH59" s="488">
        <f t="shared" ca="1" si="8"/>
        <v>0</v>
      </c>
      <c r="AI59" s="488">
        <f t="shared" ca="1" si="8"/>
        <v>0</v>
      </c>
      <c r="AJ59" s="488">
        <f t="shared" ca="1" si="8"/>
        <v>0</v>
      </c>
      <c r="AK59" s="488">
        <f t="shared" ca="1" si="8"/>
        <v>0</v>
      </c>
      <c r="AL59" s="488">
        <f t="shared" ca="1" si="8"/>
        <v>0</v>
      </c>
      <c r="AM59" s="488">
        <f t="shared" ca="1" si="8"/>
        <v>0</v>
      </c>
      <c r="AN59" s="488">
        <f t="shared" ca="1" si="8"/>
        <v>0</v>
      </c>
      <c r="AO59" s="488">
        <f t="shared" ca="1" si="8"/>
        <v>0</v>
      </c>
      <c r="AP59" s="488">
        <f t="shared" ca="1" si="8"/>
        <v>0</v>
      </c>
      <c r="AQ59" s="488">
        <f t="shared" ca="1" si="8"/>
        <v>0</v>
      </c>
      <c r="AR59" s="488">
        <f t="shared" ca="1" si="8"/>
        <v>0</v>
      </c>
      <c r="AS59" s="488">
        <f t="shared" ca="1" si="8"/>
        <v>0</v>
      </c>
      <c r="AT59" s="488">
        <f t="shared" ca="1" si="8"/>
        <v>0</v>
      </c>
      <c r="AU59" s="488">
        <f t="shared" ca="1" si="8"/>
        <v>0</v>
      </c>
      <c r="AV59" s="488">
        <f t="shared" ca="1" si="8"/>
        <v>0</v>
      </c>
      <c r="AW59" s="488">
        <f t="shared" ca="1" si="8"/>
        <v>0</v>
      </c>
      <c r="AX59" s="488">
        <f t="shared" ca="1" si="8"/>
        <v>0</v>
      </c>
      <c r="AY59" s="488">
        <f t="shared" ca="1" si="8"/>
        <v>0</v>
      </c>
      <c r="AZ59" s="488">
        <f t="shared" ca="1" si="8"/>
        <v>0</v>
      </c>
      <c r="BA59" s="488">
        <f t="shared" ref="BA59:BI59" ca="1" si="9">IF($A59&gt;BA$5,"",OFFSET(BA$53,0,-($A59-1)))</f>
        <v>0</v>
      </c>
      <c r="BB59" s="488">
        <f t="shared" ca="1" si="9"/>
        <v>0</v>
      </c>
      <c r="BC59" s="488">
        <f t="shared" ca="1" si="9"/>
        <v>0</v>
      </c>
      <c r="BD59" s="488">
        <f t="shared" ca="1" si="9"/>
        <v>0</v>
      </c>
      <c r="BE59" s="488">
        <f t="shared" ca="1" si="9"/>
        <v>0</v>
      </c>
      <c r="BF59" s="488">
        <f t="shared" ca="1" si="9"/>
        <v>0</v>
      </c>
      <c r="BG59" s="488">
        <f t="shared" ca="1" si="9"/>
        <v>0</v>
      </c>
      <c r="BH59" s="488">
        <f t="shared" ca="1" si="9"/>
        <v>0</v>
      </c>
      <c r="BI59" s="488">
        <f t="shared" ca="1" si="9"/>
        <v>0</v>
      </c>
      <c r="BJ59" s="488"/>
    </row>
    <row r="60" spans="1:62" outlineLevel="1" x14ac:dyDescent="0.15">
      <c r="A60" s="498">
        <v>7</v>
      </c>
      <c r="B60" s="488" t="str">
        <f t="shared" ca="1" si="7"/>
        <v/>
      </c>
      <c r="C60" s="488" t="str">
        <f t="shared" ca="1" si="7"/>
        <v/>
      </c>
      <c r="D60" s="488" t="str">
        <f t="shared" ca="1" si="7"/>
        <v/>
      </c>
      <c r="E60" s="488" t="str">
        <f t="shared" ca="1" si="7"/>
        <v/>
      </c>
      <c r="F60" s="488" t="str">
        <f t="shared" ca="1" si="7"/>
        <v/>
      </c>
      <c r="G60" s="488" t="str">
        <f t="shared" ca="1" si="7"/>
        <v/>
      </c>
      <c r="H60" s="488">
        <f t="shared" ca="1" si="7"/>
        <v>0</v>
      </c>
      <c r="I60" s="488">
        <f t="shared" ca="1" si="7"/>
        <v>0</v>
      </c>
      <c r="J60" s="488">
        <f t="shared" ca="1" si="7"/>
        <v>0</v>
      </c>
      <c r="K60" s="488">
        <f t="shared" ca="1" si="7"/>
        <v>0</v>
      </c>
      <c r="L60" s="488">
        <f t="shared" ca="1" si="7"/>
        <v>0</v>
      </c>
      <c r="M60" s="488">
        <f t="shared" ca="1" si="7"/>
        <v>0</v>
      </c>
      <c r="N60" s="488">
        <f t="shared" ca="1" si="7"/>
        <v>0</v>
      </c>
      <c r="O60" s="488">
        <f t="shared" ca="1" si="7"/>
        <v>0</v>
      </c>
      <c r="P60" s="488">
        <f t="shared" ca="1" si="7"/>
        <v>0</v>
      </c>
      <c r="Q60" s="488">
        <f t="shared" ca="1" si="7"/>
        <v>0</v>
      </c>
      <c r="R60" s="488">
        <f t="shared" ref="R60:BI65" ca="1" si="10">IF($A60&gt;R$5,"",OFFSET(R$53,0,-($A60-1)))</f>
        <v>0</v>
      </c>
      <c r="S60" s="488">
        <f t="shared" ca="1" si="10"/>
        <v>0</v>
      </c>
      <c r="T60" s="488">
        <f t="shared" ca="1" si="10"/>
        <v>0</v>
      </c>
      <c r="U60" s="488">
        <f t="shared" ca="1" si="10"/>
        <v>0</v>
      </c>
      <c r="V60" s="488">
        <f t="shared" ca="1" si="10"/>
        <v>0</v>
      </c>
      <c r="W60" s="488">
        <f t="shared" ca="1" si="10"/>
        <v>0</v>
      </c>
      <c r="X60" s="488">
        <f t="shared" ca="1" si="10"/>
        <v>0</v>
      </c>
      <c r="Y60" s="488">
        <f t="shared" ca="1" si="10"/>
        <v>0</v>
      </c>
      <c r="Z60" s="488">
        <f t="shared" ca="1" si="10"/>
        <v>0</v>
      </c>
      <c r="AA60" s="488">
        <f t="shared" ca="1" si="10"/>
        <v>0</v>
      </c>
      <c r="AB60" s="488">
        <f t="shared" ca="1" si="10"/>
        <v>0</v>
      </c>
      <c r="AC60" s="488">
        <f t="shared" ca="1" si="10"/>
        <v>0</v>
      </c>
      <c r="AD60" s="488">
        <f t="shared" ca="1" si="10"/>
        <v>0</v>
      </c>
      <c r="AE60" s="488">
        <f t="shared" ca="1" si="10"/>
        <v>0</v>
      </c>
      <c r="AF60" s="488">
        <f t="shared" ca="1" si="10"/>
        <v>0</v>
      </c>
      <c r="AG60" s="488">
        <f t="shared" ca="1" si="10"/>
        <v>0</v>
      </c>
      <c r="AH60" s="488">
        <f t="shared" ca="1" si="10"/>
        <v>0</v>
      </c>
      <c r="AI60" s="488">
        <f t="shared" ca="1" si="10"/>
        <v>0</v>
      </c>
      <c r="AJ60" s="488">
        <f t="shared" ca="1" si="10"/>
        <v>0</v>
      </c>
      <c r="AK60" s="488">
        <f t="shared" ca="1" si="10"/>
        <v>0</v>
      </c>
      <c r="AL60" s="488">
        <f t="shared" ca="1" si="10"/>
        <v>0</v>
      </c>
      <c r="AM60" s="488">
        <f t="shared" ca="1" si="10"/>
        <v>0</v>
      </c>
      <c r="AN60" s="488">
        <f t="shared" ca="1" si="10"/>
        <v>0</v>
      </c>
      <c r="AO60" s="488">
        <f t="shared" ca="1" si="10"/>
        <v>0</v>
      </c>
      <c r="AP60" s="488">
        <f t="shared" ca="1" si="10"/>
        <v>0</v>
      </c>
      <c r="AQ60" s="488">
        <f t="shared" ca="1" si="10"/>
        <v>0</v>
      </c>
      <c r="AR60" s="488">
        <f t="shared" ca="1" si="10"/>
        <v>0</v>
      </c>
      <c r="AS60" s="488">
        <f t="shared" ca="1" si="10"/>
        <v>0</v>
      </c>
      <c r="AT60" s="488">
        <f t="shared" ca="1" si="10"/>
        <v>0</v>
      </c>
      <c r="AU60" s="488">
        <f t="shared" ca="1" si="10"/>
        <v>0</v>
      </c>
      <c r="AV60" s="488">
        <f t="shared" ca="1" si="10"/>
        <v>0</v>
      </c>
      <c r="AW60" s="488">
        <f t="shared" ca="1" si="10"/>
        <v>0</v>
      </c>
      <c r="AX60" s="488">
        <f t="shared" ca="1" si="10"/>
        <v>0</v>
      </c>
      <c r="AY60" s="488">
        <f t="shared" ca="1" si="10"/>
        <v>0</v>
      </c>
      <c r="AZ60" s="488">
        <f t="shared" ca="1" si="10"/>
        <v>0</v>
      </c>
      <c r="BA60" s="488">
        <f t="shared" ca="1" si="10"/>
        <v>0</v>
      </c>
      <c r="BB60" s="488">
        <f t="shared" ca="1" si="10"/>
        <v>0</v>
      </c>
      <c r="BC60" s="488">
        <f t="shared" ca="1" si="10"/>
        <v>0</v>
      </c>
      <c r="BD60" s="488">
        <f t="shared" ca="1" si="10"/>
        <v>0</v>
      </c>
      <c r="BE60" s="488">
        <f t="shared" ca="1" si="10"/>
        <v>0</v>
      </c>
      <c r="BF60" s="488">
        <f t="shared" ca="1" si="10"/>
        <v>0</v>
      </c>
      <c r="BG60" s="488">
        <f t="shared" ca="1" si="10"/>
        <v>0</v>
      </c>
      <c r="BH60" s="488">
        <f t="shared" ca="1" si="10"/>
        <v>0</v>
      </c>
      <c r="BI60" s="488">
        <f t="shared" ca="1" si="10"/>
        <v>0</v>
      </c>
      <c r="BJ60" s="488"/>
    </row>
    <row r="61" spans="1:62" outlineLevel="1" x14ac:dyDescent="0.15">
      <c r="A61" s="498">
        <v>8</v>
      </c>
      <c r="B61" s="488" t="str">
        <f t="shared" ca="1" si="7"/>
        <v/>
      </c>
      <c r="C61" s="488" t="str">
        <f t="shared" ca="1" si="7"/>
        <v/>
      </c>
      <c r="D61" s="488" t="str">
        <f t="shared" ca="1" si="7"/>
        <v/>
      </c>
      <c r="E61" s="488" t="str">
        <f t="shared" ca="1" si="7"/>
        <v/>
      </c>
      <c r="F61" s="488" t="str">
        <f t="shared" ca="1" si="7"/>
        <v/>
      </c>
      <c r="G61" s="488" t="str">
        <f t="shared" ca="1" si="7"/>
        <v/>
      </c>
      <c r="H61" s="488" t="str">
        <f t="shared" ca="1" si="7"/>
        <v/>
      </c>
      <c r="I61" s="488">
        <f t="shared" ca="1" si="7"/>
        <v>0</v>
      </c>
      <c r="J61" s="488">
        <f t="shared" ca="1" si="7"/>
        <v>0</v>
      </c>
      <c r="K61" s="488">
        <f t="shared" ca="1" si="7"/>
        <v>0</v>
      </c>
      <c r="L61" s="488">
        <f t="shared" ca="1" si="7"/>
        <v>0</v>
      </c>
      <c r="M61" s="488">
        <f t="shared" ca="1" si="7"/>
        <v>0</v>
      </c>
      <c r="N61" s="488">
        <f t="shared" ca="1" si="7"/>
        <v>0</v>
      </c>
      <c r="O61" s="488">
        <f t="shared" ca="1" si="7"/>
        <v>0</v>
      </c>
      <c r="P61" s="488">
        <f t="shared" ca="1" si="7"/>
        <v>0</v>
      </c>
      <c r="Q61" s="488">
        <f t="shared" ca="1" si="7"/>
        <v>0</v>
      </c>
      <c r="R61" s="488">
        <f t="shared" ca="1" si="10"/>
        <v>0</v>
      </c>
      <c r="S61" s="488">
        <f t="shared" ca="1" si="10"/>
        <v>0</v>
      </c>
      <c r="T61" s="488">
        <f t="shared" ca="1" si="10"/>
        <v>0</v>
      </c>
      <c r="U61" s="488">
        <f t="shared" ca="1" si="10"/>
        <v>0</v>
      </c>
      <c r="V61" s="488">
        <f t="shared" ca="1" si="10"/>
        <v>0</v>
      </c>
      <c r="W61" s="488">
        <f t="shared" ca="1" si="10"/>
        <v>0</v>
      </c>
      <c r="X61" s="488">
        <f t="shared" ca="1" si="10"/>
        <v>0</v>
      </c>
      <c r="Y61" s="488">
        <f t="shared" ca="1" si="10"/>
        <v>0</v>
      </c>
      <c r="Z61" s="488">
        <f t="shared" ca="1" si="10"/>
        <v>0</v>
      </c>
      <c r="AA61" s="488">
        <f t="shared" ca="1" si="10"/>
        <v>0</v>
      </c>
      <c r="AB61" s="488">
        <f t="shared" ca="1" si="10"/>
        <v>0</v>
      </c>
      <c r="AC61" s="488">
        <f t="shared" ca="1" si="10"/>
        <v>0</v>
      </c>
      <c r="AD61" s="488">
        <f t="shared" ca="1" si="10"/>
        <v>0</v>
      </c>
      <c r="AE61" s="488">
        <f t="shared" ca="1" si="10"/>
        <v>0</v>
      </c>
      <c r="AF61" s="488">
        <f t="shared" ca="1" si="10"/>
        <v>0</v>
      </c>
      <c r="AG61" s="488">
        <f t="shared" ca="1" si="10"/>
        <v>0</v>
      </c>
      <c r="AH61" s="488">
        <f t="shared" ca="1" si="10"/>
        <v>0</v>
      </c>
      <c r="AI61" s="488">
        <f t="shared" ca="1" si="10"/>
        <v>0</v>
      </c>
      <c r="AJ61" s="488">
        <f t="shared" ca="1" si="10"/>
        <v>0</v>
      </c>
      <c r="AK61" s="488">
        <f t="shared" ca="1" si="10"/>
        <v>0</v>
      </c>
      <c r="AL61" s="488">
        <f t="shared" ca="1" si="10"/>
        <v>0</v>
      </c>
      <c r="AM61" s="488">
        <f t="shared" ca="1" si="10"/>
        <v>0</v>
      </c>
      <c r="AN61" s="488">
        <f t="shared" ca="1" si="10"/>
        <v>0</v>
      </c>
      <c r="AO61" s="488">
        <f t="shared" ca="1" si="10"/>
        <v>0</v>
      </c>
      <c r="AP61" s="488">
        <f t="shared" ca="1" si="10"/>
        <v>0</v>
      </c>
      <c r="AQ61" s="488">
        <f t="shared" ca="1" si="10"/>
        <v>0</v>
      </c>
      <c r="AR61" s="488">
        <f t="shared" ca="1" si="10"/>
        <v>0</v>
      </c>
      <c r="AS61" s="488">
        <f t="shared" ca="1" si="10"/>
        <v>0</v>
      </c>
      <c r="AT61" s="488">
        <f t="shared" ca="1" si="10"/>
        <v>0</v>
      </c>
      <c r="AU61" s="488">
        <f t="shared" ca="1" si="10"/>
        <v>0</v>
      </c>
      <c r="AV61" s="488">
        <f t="shared" ca="1" si="10"/>
        <v>0</v>
      </c>
      <c r="AW61" s="488">
        <f t="shared" ca="1" si="10"/>
        <v>0</v>
      </c>
      <c r="AX61" s="488">
        <f t="shared" ca="1" si="10"/>
        <v>0</v>
      </c>
      <c r="AY61" s="488">
        <f t="shared" ca="1" si="10"/>
        <v>0</v>
      </c>
      <c r="AZ61" s="488">
        <f t="shared" ca="1" si="10"/>
        <v>0</v>
      </c>
      <c r="BA61" s="488">
        <f t="shared" ca="1" si="10"/>
        <v>0</v>
      </c>
      <c r="BB61" s="488">
        <f t="shared" ca="1" si="10"/>
        <v>0</v>
      </c>
      <c r="BC61" s="488">
        <f t="shared" ca="1" si="10"/>
        <v>0</v>
      </c>
      <c r="BD61" s="488">
        <f t="shared" ca="1" si="10"/>
        <v>0</v>
      </c>
      <c r="BE61" s="488">
        <f t="shared" ca="1" si="10"/>
        <v>0</v>
      </c>
      <c r="BF61" s="488">
        <f t="shared" ca="1" si="10"/>
        <v>0</v>
      </c>
      <c r="BG61" s="488">
        <f t="shared" ca="1" si="10"/>
        <v>0</v>
      </c>
      <c r="BH61" s="488">
        <f t="shared" ca="1" si="10"/>
        <v>0</v>
      </c>
      <c r="BI61" s="488">
        <f t="shared" ca="1" si="10"/>
        <v>0</v>
      </c>
      <c r="BJ61" s="488"/>
    </row>
    <row r="62" spans="1:62" outlineLevel="1" x14ac:dyDescent="0.15">
      <c r="A62" s="498">
        <v>9</v>
      </c>
      <c r="B62" s="488" t="str">
        <f t="shared" ca="1" si="7"/>
        <v/>
      </c>
      <c r="C62" s="488" t="str">
        <f t="shared" ca="1" si="7"/>
        <v/>
      </c>
      <c r="D62" s="488" t="str">
        <f t="shared" ca="1" si="7"/>
        <v/>
      </c>
      <c r="E62" s="488" t="str">
        <f t="shared" ca="1" si="7"/>
        <v/>
      </c>
      <c r="F62" s="488" t="str">
        <f t="shared" ca="1" si="7"/>
        <v/>
      </c>
      <c r="G62" s="488" t="str">
        <f t="shared" ca="1" si="7"/>
        <v/>
      </c>
      <c r="H62" s="488" t="str">
        <f t="shared" ca="1" si="7"/>
        <v/>
      </c>
      <c r="I62" s="488" t="str">
        <f t="shared" ca="1" si="7"/>
        <v/>
      </c>
      <c r="J62" s="488">
        <f t="shared" ca="1" si="7"/>
        <v>0</v>
      </c>
      <c r="K62" s="488">
        <f t="shared" ca="1" si="7"/>
        <v>0</v>
      </c>
      <c r="L62" s="488">
        <f t="shared" ca="1" si="7"/>
        <v>0</v>
      </c>
      <c r="M62" s="488">
        <f t="shared" ca="1" si="7"/>
        <v>0</v>
      </c>
      <c r="N62" s="488">
        <f t="shared" ca="1" si="7"/>
        <v>0</v>
      </c>
      <c r="O62" s="488">
        <f t="shared" ca="1" si="7"/>
        <v>0</v>
      </c>
      <c r="P62" s="488">
        <f t="shared" ca="1" si="7"/>
        <v>0</v>
      </c>
      <c r="Q62" s="488">
        <f t="shared" ca="1" si="7"/>
        <v>0</v>
      </c>
      <c r="R62" s="488">
        <f t="shared" ca="1" si="10"/>
        <v>0</v>
      </c>
      <c r="S62" s="488">
        <f t="shared" ca="1" si="10"/>
        <v>0</v>
      </c>
      <c r="T62" s="488">
        <f t="shared" ca="1" si="10"/>
        <v>0</v>
      </c>
      <c r="U62" s="488">
        <f t="shared" ca="1" si="10"/>
        <v>0</v>
      </c>
      <c r="V62" s="488">
        <f t="shared" ca="1" si="10"/>
        <v>0</v>
      </c>
      <c r="W62" s="488">
        <f t="shared" ca="1" si="10"/>
        <v>0</v>
      </c>
      <c r="X62" s="488">
        <f t="shared" ca="1" si="10"/>
        <v>0</v>
      </c>
      <c r="Y62" s="488">
        <f t="shared" ca="1" si="10"/>
        <v>0</v>
      </c>
      <c r="Z62" s="488">
        <f t="shared" ca="1" si="10"/>
        <v>0</v>
      </c>
      <c r="AA62" s="488">
        <f t="shared" ca="1" si="10"/>
        <v>0</v>
      </c>
      <c r="AB62" s="488">
        <f t="shared" ca="1" si="10"/>
        <v>0</v>
      </c>
      <c r="AC62" s="488">
        <f t="shared" ca="1" si="10"/>
        <v>0</v>
      </c>
      <c r="AD62" s="488">
        <f t="shared" ca="1" si="10"/>
        <v>0</v>
      </c>
      <c r="AE62" s="488">
        <f t="shared" ca="1" si="10"/>
        <v>0</v>
      </c>
      <c r="AF62" s="488">
        <f t="shared" ca="1" si="10"/>
        <v>0</v>
      </c>
      <c r="AG62" s="488">
        <f t="shared" ca="1" si="10"/>
        <v>0</v>
      </c>
      <c r="AH62" s="488">
        <f t="shared" ca="1" si="10"/>
        <v>0</v>
      </c>
      <c r="AI62" s="488">
        <f t="shared" ca="1" si="10"/>
        <v>0</v>
      </c>
      <c r="AJ62" s="488">
        <f t="shared" ca="1" si="10"/>
        <v>0</v>
      </c>
      <c r="AK62" s="488">
        <f t="shared" ca="1" si="10"/>
        <v>0</v>
      </c>
      <c r="AL62" s="488">
        <f t="shared" ca="1" si="10"/>
        <v>0</v>
      </c>
      <c r="AM62" s="488">
        <f t="shared" ca="1" si="10"/>
        <v>0</v>
      </c>
      <c r="AN62" s="488">
        <f t="shared" ca="1" si="10"/>
        <v>0</v>
      </c>
      <c r="AO62" s="488">
        <f t="shared" ca="1" si="10"/>
        <v>0</v>
      </c>
      <c r="AP62" s="488">
        <f t="shared" ca="1" si="10"/>
        <v>0</v>
      </c>
      <c r="AQ62" s="488">
        <f t="shared" ca="1" si="10"/>
        <v>0</v>
      </c>
      <c r="AR62" s="488">
        <f t="shared" ca="1" si="10"/>
        <v>0</v>
      </c>
      <c r="AS62" s="488">
        <f t="shared" ca="1" si="10"/>
        <v>0</v>
      </c>
      <c r="AT62" s="488">
        <f t="shared" ca="1" si="10"/>
        <v>0</v>
      </c>
      <c r="AU62" s="488">
        <f t="shared" ca="1" si="10"/>
        <v>0</v>
      </c>
      <c r="AV62" s="488">
        <f t="shared" ca="1" si="10"/>
        <v>0</v>
      </c>
      <c r="AW62" s="488">
        <f t="shared" ca="1" si="10"/>
        <v>0</v>
      </c>
      <c r="AX62" s="488">
        <f t="shared" ca="1" si="10"/>
        <v>0</v>
      </c>
      <c r="AY62" s="488">
        <f t="shared" ca="1" si="10"/>
        <v>0</v>
      </c>
      <c r="AZ62" s="488">
        <f t="shared" ca="1" si="10"/>
        <v>0</v>
      </c>
      <c r="BA62" s="488">
        <f t="shared" ca="1" si="10"/>
        <v>0</v>
      </c>
      <c r="BB62" s="488">
        <f t="shared" ca="1" si="10"/>
        <v>0</v>
      </c>
      <c r="BC62" s="488">
        <f t="shared" ca="1" si="10"/>
        <v>0</v>
      </c>
      <c r="BD62" s="488">
        <f t="shared" ca="1" si="10"/>
        <v>0</v>
      </c>
      <c r="BE62" s="488">
        <f t="shared" ca="1" si="10"/>
        <v>0</v>
      </c>
      <c r="BF62" s="488">
        <f t="shared" ca="1" si="10"/>
        <v>0</v>
      </c>
      <c r="BG62" s="488">
        <f t="shared" ca="1" si="10"/>
        <v>0</v>
      </c>
      <c r="BH62" s="488">
        <f t="shared" ca="1" si="10"/>
        <v>0</v>
      </c>
      <c r="BI62" s="488">
        <f t="shared" ca="1" si="10"/>
        <v>0</v>
      </c>
      <c r="BJ62" s="488"/>
    </row>
    <row r="63" spans="1:62" outlineLevel="1" x14ac:dyDescent="0.15">
      <c r="A63" s="498">
        <v>10</v>
      </c>
      <c r="B63" s="488" t="str">
        <f t="shared" ca="1" si="7"/>
        <v/>
      </c>
      <c r="C63" s="488" t="str">
        <f t="shared" ca="1" si="7"/>
        <v/>
      </c>
      <c r="D63" s="488" t="str">
        <f t="shared" ca="1" si="7"/>
        <v/>
      </c>
      <c r="E63" s="488" t="str">
        <f t="shared" ca="1" si="7"/>
        <v/>
      </c>
      <c r="F63" s="488" t="str">
        <f t="shared" ca="1" si="7"/>
        <v/>
      </c>
      <c r="G63" s="488" t="str">
        <f t="shared" ca="1" si="7"/>
        <v/>
      </c>
      <c r="H63" s="488" t="str">
        <f t="shared" ca="1" si="7"/>
        <v/>
      </c>
      <c r="I63" s="488" t="str">
        <f t="shared" ca="1" si="7"/>
        <v/>
      </c>
      <c r="J63" s="488" t="str">
        <f t="shared" ca="1" si="7"/>
        <v/>
      </c>
      <c r="K63" s="488">
        <f t="shared" ca="1" si="7"/>
        <v>0</v>
      </c>
      <c r="L63" s="488">
        <f t="shared" ca="1" si="7"/>
        <v>0</v>
      </c>
      <c r="M63" s="488">
        <f t="shared" ca="1" si="7"/>
        <v>0</v>
      </c>
      <c r="N63" s="488">
        <f t="shared" ca="1" si="7"/>
        <v>0</v>
      </c>
      <c r="O63" s="488">
        <f t="shared" ca="1" si="7"/>
        <v>0</v>
      </c>
      <c r="P63" s="488">
        <f t="shared" ca="1" si="7"/>
        <v>0</v>
      </c>
      <c r="Q63" s="488">
        <f t="shared" ca="1" si="7"/>
        <v>0</v>
      </c>
      <c r="R63" s="488">
        <f t="shared" ca="1" si="10"/>
        <v>0</v>
      </c>
      <c r="S63" s="488">
        <f t="shared" ca="1" si="10"/>
        <v>0</v>
      </c>
      <c r="T63" s="488">
        <f t="shared" ca="1" si="10"/>
        <v>0</v>
      </c>
      <c r="U63" s="488">
        <f t="shared" ca="1" si="10"/>
        <v>0</v>
      </c>
      <c r="V63" s="488">
        <f t="shared" ca="1" si="10"/>
        <v>0</v>
      </c>
      <c r="W63" s="488">
        <f t="shared" ca="1" si="10"/>
        <v>0</v>
      </c>
      <c r="X63" s="488">
        <f t="shared" ca="1" si="10"/>
        <v>0</v>
      </c>
      <c r="Y63" s="488">
        <f t="shared" ca="1" si="10"/>
        <v>0</v>
      </c>
      <c r="Z63" s="488">
        <f t="shared" ca="1" si="10"/>
        <v>0</v>
      </c>
      <c r="AA63" s="488">
        <f t="shared" ca="1" si="10"/>
        <v>0</v>
      </c>
      <c r="AB63" s="488">
        <f t="shared" ca="1" si="10"/>
        <v>0</v>
      </c>
      <c r="AC63" s="488">
        <f t="shared" ca="1" si="10"/>
        <v>0</v>
      </c>
      <c r="AD63" s="488">
        <f t="shared" ca="1" si="10"/>
        <v>0</v>
      </c>
      <c r="AE63" s="488">
        <f t="shared" ca="1" si="10"/>
        <v>0</v>
      </c>
      <c r="AF63" s="488">
        <f t="shared" ca="1" si="10"/>
        <v>0</v>
      </c>
      <c r="AG63" s="488">
        <f t="shared" ca="1" si="10"/>
        <v>0</v>
      </c>
      <c r="AH63" s="488">
        <f t="shared" ca="1" si="10"/>
        <v>0</v>
      </c>
      <c r="AI63" s="488">
        <f t="shared" ca="1" si="10"/>
        <v>0</v>
      </c>
      <c r="AJ63" s="488">
        <f t="shared" ca="1" si="10"/>
        <v>0</v>
      </c>
      <c r="AK63" s="488">
        <f t="shared" ca="1" si="10"/>
        <v>0</v>
      </c>
      <c r="AL63" s="488">
        <f t="shared" ca="1" si="10"/>
        <v>0</v>
      </c>
      <c r="AM63" s="488">
        <f t="shared" ca="1" si="10"/>
        <v>0</v>
      </c>
      <c r="AN63" s="488">
        <f t="shared" ca="1" si="10"/>
        <v>0</v>
      </c>
      <c r="AO63" s="488">
        <f t="shared" ca="1" si="10"/>
        <v>0</v>
      </c>
      <c r="AP63" s="488">
        <f t="shared" ca="1" si="10"/>
        <v>0</v>
      </c>
      <c r="AQ63" s="488">
        <f t="shared" ca="1" si="10"/>
        <v>0</v>
      </c>
      <c r="AR63" s="488">
        <f t="shared" ca="1" si="10"/>
        <v>0</v>
      </c>
      <c r="AS63" s="488">
        <f t="shared" ca="1" si="10"/>
        <v>0</v>
      </c>
      <c r="AT63" s="488">
        <f t="shared" ca="1" si="10"/>
        <v>0</v>
      </c>
      <c r="AU63" s="488">
        <f t="shared" ca="1" si="10"/>
        <v>0</v>
      </c>
      <c r="AV63" s="488">
        <f t="shared" ca="1" si="10"/>
        <v>0</v>
      </c>
      <c r="AW63" s="488">
        <f t="shared" ca="1" si="10"/>
        <v>0</v>
      </c>
      <c r="AX63" s="488">
        <f t="shared" ca="1" si="10"/>
        <v>0</v>
      </c>
      <c r="AY63" s="488">
        <f t="shared" ca="1" si="10"/>
        <v>0</v>
      </c>
      <c r="AZ63" s="488">
        <f t="shared" ca="1" si="10"/>
        <v>0</v>
      </c>
      <c r="BA63" s="488">
        <f t="shared" ca="1" si="10"/>
        <v>0</v>
      </c>
      <c r="BB63" s="488">
        <f t="shared" ca="1" si="10"/>
        <v>0</v>
      </c>
      <c r="BC63" s="488">
        <f t="shared" ca="1" si="10"/>
        <v>0</v>
      </c>
      <c r="BD63" s="488">
        <f t="shared" ca="1" si="10"/>
        <v>0</v>
      </c>
      <c r="BE63" s="488">
        <f t="shared" ca="1" si="10"/>
        <v>0</v>
      </c>
      <c r="BF63" s="488">
        <f t="shared" ca="1" si="10"/>
        <v>0</v>
      </c>
      <c r="BG63" s="488">
        <f t="shared" ca="1" si="10"/>
        <v>0</v>
      </c>
      <c r="BH63" s="488">
        <f t="shared" ca="1" si="10"/>
        <v>0</v>
      </c>
      <c r="BI63" s="488">
        <f t="shared" ca="1" si="10"/>
        <v>0</v>
      </c>
    </row>
    <row r="64" spans="1:62" outlineLevel="1" x14ac:dyDescent="0.15">
      <c r="A64" s="498">
        <v>11</v>
      </c>
      <c r="B64" s="488" t="str">
        <f t="shared" ca="1" si="7"/>
        <v/>
      </c>
      <c r="C64" s="488" t="str">
        <f t="shared" ca="1" si="7"/>
        <v/>
      </c>
      <c r="D64" s="488" t="str">
        <f t="shared" ca="1" si="7"/>
        <v/>
      </c>
      <c r="E64" s="488" t="str">
        <f t="shared" ca="1" si="7"/>
        <v/>
      </c>
      <c r="F64" s="488" t="str">
        <f t="shared" ca="1" si="7"/>
        <v/>
      </c>
      <c r="G64" s="488" t="str">
        <f t="shared" ca="1" si="7"/>
        <v/>
      </c>
      <c r="H64" s="488" t="str">
        <f t="shared" ca="1" si="7"/>
        <v/>
      </c>
      <c r="I64" s="488" t="str">
        <f t="shared" ca="1" si="7"/>
        <v/>
      </c>
      <c r="J64" s="488" t="str">
        <f t="shared" ca="1" si="7"/>
        <v/>
      </c>
      <c r="K64" s="488" t="str">
        <f t="shared" ca="1" si="7"/>
        <v/>
      </c>
      <c r="L64" s="488">
        <f t="shared" ca="1" si="7"/>
        <v>0</v>
      </c>
      <c r="M64" s="488">
        <f t="shared" ca="1" si="7"/>
        <v>0</v>
      </c>
      <c r="N64" s="488">
        <f t="shared" ca="1" si="7"/>
        <v>0</v>
      </c>
      <c r="O64" s="488">
        <f t="shared" ca="1" si="7"/>
        <v>0</v>
      </c>
      <c r="P64" s="488">
        <f t="shared" ca="1" si="7"/>
        <v>0</v>
      </c>
      <c r="Q64" s="488">
        <f t="shared" ca="1" si="7"/>
        <v>0</v>
      </c>
      <c r="R64" s="488">
        <f t="shared" ca="1" si="10"/>
        <v>0</v>
      </c>
      <c r="S64" s="488">
        <f t="shared" ca="1" si="10"/>
        <v>0</v>
      </c>
      <c r="T64" s="488">
        <f t="shared" ca="1" si="10"/>
        <v>0</v>
      </c>
      <c r="U64" s="488">
        <f t="shared" ca="1" si="10"/>
        <v>0</v>
      </c>
      <c r="V64" s="488">
        <f t="shared" ca="1" si="10"/>
        <v>0</v>
      </c>
      <c r="W64" s="488">
        <f t="shared" ca="1" si="10"/>
        <v>0</v>
      </c>
      <c r="X64" s="488">
        <f t="shared" ca="1" si="10"/>
        <v>0</v>
      </c>
      <c r="Y64" s="488">
        <f t="shared" ca="1" si="10"/>
        <v>0</v>
      </c>
      <c r="Z64" s="488">
        <f t="shared" ca="1" si="10"/>
        <v>0</v>
      </c>
      <c r="AA64" s="488">
        <f t="shared" ca="1" si="10"/>
        <v>0</v>
      </c>
      <c r="AB64" s="488">
        <f t="shared" ca="1" si="10"/>
        <v>0</v>
      </c>
      <c r="AC64" s="488">
        <f t="shared" ca="1" si="10"/>
        <v>0</v>
      </c>
      <c r="AD64" s="488">
        <f t="shared" ca="1" si="10"/>
        <v>0</v>
      </c>
      <c r="AE64" s="488">
        <f t="shared" ca="1" si="10"/>
        <v>0</v>
      </c>
      <c r="AF64" s="488">
        <f t="shared" ca="1" si="10"/>
        <v>0</v>
      </c>
      <c r="AG64" s="488">
        <f t="shared" ca="1" si="10"/>
        <v>0</v>
      </c>
      <c r="AH64" s="488">
        <f t="shared" ca="1" si="10"/>
        <v>0</v>
      </c>
      <c r="AI64" s="488">
        <f t="shared" ca="1" si="10"/>
        <v>0</v>
      </c>
      <c r="AJ64" s="488">
        <f t="shared" ca="1" si="10"/>
        <v>0</v>
      </c>
      <c r="AK64" s="488">
        <f t="shared" ca="1" si="10"/>
        <v>0</v>
      </c>
      <c r="AL64" s="488">
        <f t="shared" ca="1" si="10"/>
        <v>0</v>
      </c>
      <c r="AM64" s="488">
        <f t="shared" ca="1" si="10"/>
        <v>0</v>
      </c>
      <c r="AN64" s="488">
        <f t="shared" ca="1" si="10"/>
        <v>0</v>
      </c>
      <c r="AO64" s="488">
        <f t="shared" ca="1" si="10"/>
        <v>0</v>
      </c>
      <c r="AP64" s="488">
        <f t="shared" ca="1" si="10"/>
        <v>0</v>
      </c>
      <c r="AQ64" s="488">
        <f t="shared" ca="1" si="10"/>
        <v>0</v>
      </c>
      <c r="AR64" s="488">
        <f t="shared" ca="1" si="10"/>
        <v>0</v>
      </c>
      <c r="AS64" s="488">
        <f t="shared" ca="1" si="10"/>
        <v>0</v>
      </c>
      <c r="AT64" s="488">
        <f t="shared" ca="1" si="10"/>
        <v>0</v>
      </c>
      <c r="AU64" s="488">
        <f t="shared" ca="1" si="10"/>
        <v>0</v>
      </c>
      <c r="AV64" s="488">
        <f t="shared" ca="1" si="10"/>
        <v>0</v>
      </c>
      <c r="AW64" s="488">
        <f t="shared" ca="1" si="10"/>
        <v>0</v>
      </c>
      <c r="AX64" s="488">
        <f t="shared" ca="1" si="10"/>
        <v>0</v>
      </c>
      <c r="AY64" s="488">
        <f t="shared" ca="1" si="10"/>
        <v>0</v>
      </c>
      <c r="AZ64" s="488">
        <f t="shared" ca="1" si="10"/>
        <v>0</v>
      </c>
      <c r="BA64" s="488">
        <f t="shared" ca="1" si="10"/>
        <v>0</v>
      </c>
      <c r="BB64" s="488">
        <f t="shared" ca="1" si="10"/>
        <v>0</v>
      </c>
      <c r="BC64" s="488">
        <f t="shared" ca="1" si="10"/>
        <v>0</v>
      </c>
      <c r="BD64" s="488">
        <f t="shared" ca="1" si="10"/>
        <v>0</v>
      </c>
      <c r="BE64" s="488">
        <f t="shared" ca="1" si="10"/>
        <v>0</v>
      </c>
      <c r="BF64" s="488">
        <f t="shared" ca="1" si="10"/>
        <v>0</v>
      </c>
      <c r="BG64" s="488">
        <f t="shared" ca="1" si="10"/>
        <v>0</v>
      </c>
      <c r="BH64" s="488">
        <f t="shared" ca="1" si="10"/>
        <v>0</v>
      </c>
      <c r="BI64" s="488">
        <f t="shared" ca="1" si="10"/>
        <v>0</v>
      </c>
    </row>
    <row r="65" spans="1:61" outlineLevel="1" x14ac:dyDescent="0.15">
      <c r="A65" s="498">
        <v>12</v>
      </c>
      <c r="B65" s="488" t="str">
        <f t="shared" ca="1" si="7"/>
        <v/>
      </c>
      <c r="C65" s="488" t="str">
        <f t="shared" ca="1" si="7"/>
        <v/>
      </c>
      <c r="D65" s="488" t="str">
        <f t="shared" ca="1" si="7"/>
        <v/>
      </c>
      <c r="E65" s="488" t="str">
        <f t="shared" ca="1" si="7"/>
        <v/>
      </c>
      <c r="F65" s="488" t="str">
        <f t="shared" ca="1" si="7"/>
        <v/>
      </c>
      <c r="G65" s="488" t="str">
        <f t="shared" ca="1" si="7"/>
        <v/>
      </c>
      <c r="H65" s="488" t="str">
        <f t="shared" ca="1" si="7"/>
        <v/>
      </c>
      <c r="I65" s="488" t="str">
        <f t="shared" ca="1" si="7"/>
        <v/>
      </c>
      <c r="J65" s="488" t="str">
        <f t="shared" ca="1" si="7"/>
        <v/>
      </c>
      <c r="K65" s="488" t="str">
        <f t="shared" ca="1" si="7"/>
        <v/>
      </c>
      <c r="L65" s="488" t="str">
        <f t="shared" ca="1" si="7"/>
        <v/>
      </c>
      <c r="M65" s="488">
        <f t="shared" ca="1" si="7"/>
        <v>0</v>
      </c>
      <c r="N65" s="488">
        <f t="shared" ca="1" si="7"/>
        <v>0</v>
      </c>
      <c r="O65" s="488">
        <f t="shared" ca="1" si="7"/>
        <v>0</v>
      </c>
      <c r="P65" s="488">
        <f t="shared" ca="1" si="7"/>
        <v>0</v>
      </c>
      <c r="Q65" s="488">
        <f t="shared" ca="1" si="7"/>
        <v>0</v>
      </c>
      <c r="R65" s="488">
        <f t="shared" ca="1" si="10"/>
        <v>0</v>
      </c>
      <c r="S65" s="488">
        <f t="shared" ca="1" si="10"/>
        <v>0</v>
      </c>
      <c r="T65" s="488">
        <f t="shared" ca="1" si="10"/>
        <v>0</v>
      </c>
      <c r="U65" s="488">
        <f t="shared" ca="1" si="10"/>
        <v>0</v>
      </c>
      <c r="V65" s="488">
        <f t="shared" ca="1" si="10"/>
        <v>0</v>
      </c>
      <c r="W65" s="488">
        <f t="shared" ca="1" si="10"/>
        <v>0</v>
      </c>
      <c r="X65" s="488">
        <f t="shared" ca="1" si="10"/>
        <v>0</v>
      </c>
      <c r="Y65" s="488">
        <f t="shared" ca="1" si="10"/>
        <v>0</v>
      </c>
      <c r="Z65" s="488">
        <f t="shared" ca="1" si="10"/>
        <v>0</v>
      </c>
      <c r="AA65" s="488">
        <f t="shared" ca="1" si="10"/>
        <v>0</v>
      </c>
      <c r="AB65" s="488">
        <f t="shared" ca="1" si="10"/>
        <v>0</v>
      </c>
      <c r="AC65" s="488">
        <f t="shared" ca="1" si="10"/>
        <v>0</v>
      </c>
      <c r="AD65" s="488">
        <f t="shared" ca="1" si="10"/>
        <v>0</v>
      </c>
      <c r="AE65" s="488">
        <f t="shared" ca="1" si="10"/>
        <v>0</v>
      </c>
      <c r="AF65" s="488">
        <f t="shared" ca="1" si="10"/>
        <v>0</v>
      </c>
      <c r="AG65" s="488">
        <f t="shared" ca="1" si="10"/>
        <v>0</v>
      </c>
      <c r="AH65" s="488">
        <f t="shared" ca="1" si="10"/>
        <v>0</v>
      </c>
      <c r="AI65" s="488">
        <f t="shared" ca="1" si="10"/>
        <v>0</v>
      </c>
      <c r="AJ65" s="488">
        <f t="shared" ca="1" si="10"/>
        <v>0</v>
      </c>
      <c r="AK65" s="488">
        <f t="shared" ca="1" si="10"/>
        <v>0</v>
      </c>
      <c r="AL65" s="488">
        <f t="shared" ca="1" si="10"/>
        <v>0</v>
      </c>
      <c r="AM65" s="488">
        <f t="shared" ca="1" si="10"/>
        <v>0</v>
      </c>
      <c r="AN65" s="488">
        <f t="shared" ca="1" si="10"/>
        <v>0</v>
      </c>
      <c r="AO65" s="488">
        <f t="shared" ca="1" si="10"/>
        <v>0</v>
      </c>
      <c r="AP65" s="488">
        <f t="shared" ca="1" si="10"/>
        <v>0</v>
      </c>
      <c r="AQ65" s="488">
        <f t="shared" ca="1" si="10"/>
        <v>0</v>
      </c>
      <c r="AR65" s="488">
        <f t="shared" ca="1" si="10"/>
        <v>0</v>
      </c>
      <c r="AS65" s="488">
        <f t="shared" ca="1" si="10"/>
        <v>0</v>
      </c>
      <c r="AT65" s="488">
        <f t="shared" ca="1" si="10"/>
        <v>0</v>
      </c>
      <c r="AU65" s="488">
        <f t="shared" ca="1" si="10"/>
        <v>0</v>
      </c>
      <c r="AV65" s="488">
        <f t="shared" ca="1" si="10"/>
        <v>0</v>
      </c>
      <c r="AW65" s="488">
        <f t="shared" ca="1" si="10"/>
        <v>0</v>
      </c>
      <c r="AX65" s="488">
        <f t="shared" ca="1" si="10"/>
        <v>0</v>
      </c>
      <c r="AY65" s="488">
        <f t="shared" ca="1" si="10"/>
        <v>0</v>
      </c>
      <c r="AZ65" s="488">
        <f t="shared" ca="1" si="10"/>
        <v>0</v>
      </c>
      <c r="BA65" s="488">
        <f t="shared" ref="BA65:BI68" ca="1" si="11">IF($A65&gt;BA$5,"",OFFSET(BA$53,0,-($A65-1)))</f>
        <v>0</v>
      </c>
      <c r="BB65" s="488">
        <f t="shared" ca="1" si="11"/>
        <v>0</v>
      </c>
      <c r="BC65" s="488">
        <f t="shared" ca="1" si="11"/>
        <v>0</v>
      </c>
      <c r="BD65" s="488">
        <f t="shared" ca="1" si="11"/>
        <v>0</v>
      </c>
      <c r="BE65" s="488">
        <f t="shared" ca="1" si="11"/>
        <v>0</v>
      </c>
      <c r="BF65" s="488">
        <f t="shared" ca="1" si="11"/>
        <v>0</v>
      </c>
      <c r="BG65" s="488">
        <f t="shared" ca="1" si="11"/>
        <v>0</v>
      </c>
      <c r="BH65" s="488">
        <f t="shared" ca="1" si="11"/>
        <v>0</v>
      </c>
      <c r="BI65" s="488">
        <f t="shared" ca="1" si="11"/>
        <v>0</v>
      </c>
    </row>
    <row r="66" spans="1:61" outlineLevel="1" x14ac:dyDescent="0.15">
      <c r="A66" s="498">
        <v>13</v>
      </c>
      <c r="B66" s="488" t="str">
        <f t="shared" ca="1" si="7"/>
        <v/>
      </c>
      <c r="C66" s="488" t="str">
        <f t="shared" ca="1" si="7"/>
        <v/>
      </c>
      <c r="D66" s="488" t="str">
        <f t="shared" ca="1" si="7"/>
        <v/>
      </c>
      <c r="E66" s="488" t="str">
        <f t="shared" ca="1" si="7"/>
        <v/>
      </c>
      <c r="F66" s="488" t="str">
        <f t="shared" ca="1" si="7"/>
        <v/>
      </c>
      <c r="G66" s="488" t="str">
        <f t="shared" ca="1" si="7"/>
        <v/>
      </c>
      <c r="H66" s="488" t="str">
        <f t="shared" ca="1" si="7"/>
        <v/>
      </c>
      <c r="I66" s="488" t="str">
        <f t="shared" ca="1" si="7"/>
        <v/>
      </c>
      <c r="J66" s="488" t="str">
        <f t="shared" ca="1" si="7"/>
        <v/>
      </c>
      <c r="K66" s="488" t="str">
        <f t="shared" ca="1" si="7"/>
        <v/>
      </c>
      <c r="L66" s="488" t="str">
        <f t="shared" ca="1" si="7"/>
        <v/>
      </c>
      <c r="M66" s="488" t="str">
        <f t="shared" ca="1" si="7"/>
        <v/>
      </c>
      <c r="N66" s="488">
        <f t="shared" ca="1" si="7"/>
        <v>0</v>
      </c>
      <c r="O66" s="488">
        <f t="shared" ca="1" si="7"/>
        <v>0</v>
      </c>
      <c r="P66" s="488">
        <f t="shared" ca="1" si="7"/>
        <v>0</v>
      </c>
      <c r="Q66" s="488">
        <f t="shared" ca="1" si="7"/>
        <v>0</v>
      </c>
      <c r="R66" s="488">
        <f t="shared" ref="R66:AG68" ca="1" si="12">IF($A66&gt;R$5,"",OFFSET(R$53,0,-($A66-1)))</f>
        <v>0</v>
      </c>
      <c r="S66" s="488">
        <f t="shared" ca="1" si="12"/>
        <v>0</v>
      </c>
      <c r="T66" s="488">
        <f t="shared" ca="1" si="12"/>
        <v>0</v>
      </c>
      <c r="U66" s="488">
        <f t="shared" ca="1" si="12"/>
        <v>0</v>
      </c>
      <c r="V66" s="488">
        <f t="shared" ca="1" si="12"/>
        <v>0</v>
      </c>
      <c r="W66" s="488">
        <f t="shared" ca="1" si="12"/>
        <v>0</v>
      </c>
      <c r="X66" s="488">
        <f t="shared" ca="1" si="12"/>
        <v>0</v>
      </c>
      <c r="Y66" s="488">
        <f t="shared" ca="1" si="12"/>
        <v>0</v>
      </c>
      <c r="Z66" s="488">
        <f t="shared" ca="1" si="12"/>
        <v>0</v>
      </c>
      <c r="AA66" s="488">
        <f t="shared" ca="1" si="12"/>
        <v>0</v>
      </c>
      <c r="AB66" s="488">
        <f t="shared" ca="1" si="12"/>
        <v>0</v>
      </c>
      <c r="AC66" s="488">
        <f t="shared" ca="1" si="12"/>
        <v>0</v>
      </c>
      <c r="AD66" s="488">
        <f t="shared" ca="1" si="12"/>
        <v>0</v>
      </c>
      <c r="AE66" s="488">
        <f t="shared" ca="1" si="12"/>
        <v>0</v>
      </c>
      <c r="AF66" s="488">
        <f t="shared" ca="1" si="12"/>
        <v>0</v>
      </c>
      <c r="AG66" s="488">
        <f t="shared" ca="1" si="12"/>
        <v>0</v>
      </c>
      <c r="AH66" s="488">
        <f t="shared" ref="AH66:AW68" ca="1" si="13">IF($A66&gt;AH$5,"",OFFSET(AH$53,0,-($A66-1)))</f>
        <v>0</v>
      </c>
      <c r="AI66" s="488">
        <f t="shared" ca="1" si="13"/>
        <v>0</v>
      </c>
      <c r="AJ66" s="488">
        <f t="shared" ca="1" si="13"/>
        <v>0</v>
      </c>
      <c r="AK66" s="488">
        <f t="shared" ca="1" si="13"/>
        <v>0</v>
      </c>
      <c r="AL66" s="488">
        <f t="shared" ca="1" si="13"/>
        <v>0</v>
      </c>
      <c r="AM66" s="488">
        <f t="shared" ca="1" si="13"/>
        <v>0</v>
      </c>
      <c r="AN66" s="488">
        <f t="shared" ca="1" si="13"/>
        <v>0</v>
      </c>
      <c r="AO66" s="488">
        <f t="shared" ca="1" si="13"/>
        <v>0</v>
      </c>
      <c r="AP66" s="488">
        <f t="shared" ca="1" si="13"/>
        <v>0</v>
      </c>
      <c r="AQ66" s="488">
        <f t="shared" ca="1" si="13"/>
        <v>0</v>
      </c>
      <c r="AR66" s="488">
        <f t="shared" ca="1" si="13"/>
        <v>0</v>
      </c>
      <c r="AS66" s="488">
        <f t="shared" ca="1" si="13"/>
        <v>0</v>
      </c>
      <c r="AT66" s="488">
        <f t="shared" ca="1" si="13"/>
        <v>0</v>
      </c>
      <c r="AU66" s="488">
        <f t="shared" ca="1" si="13"/>
        <v>0</v>
      </c>
      <c r="AV66" s="488">
        <f t="shared" ca="1" si="13"/>
        <v>0</v>
      </c>
      <c r="AW66" s="488">
        <f t="shared" ca="1" si="13"/>
        <v>0</v>
      </c>
      <c r="AX66" s="488">
        <f t="shared" ref="AX66:BL68" ca="1" si="14">IF($A66&gt;AX$5,"",OFFSET(AX$53,0,-($A66-1)))</f>
        <v>0</v>
      </c>
      <c r="AY66" s="488">
        <f t="shared" ca="1" si="14"/>
        <v>0</v>
      </c>
      <c r="AZ66" s="488">
        <f t="shared" ca="1" si="14"/>
        <v>0</v>
      </c>
      <c r="BA66" s="488">
        <f t="shared" ca="1" si="11"/>
        <v>0</v>
      </c>
      <c r="BB66" s="488">
        <f t="shared" ca="1" si="11"/>
        <v>0</v>
      </c>
      <c r="BC66" s="488">
        <f t="shared" ca="1" si="11"/>
        <v>0</v>
      </c>
      <c r="BD66" s="488">
        <f t="shared" ca="1" si="11"/>
        <v>0</v>
      </c>
      <c r="BE66" s="488">
        <f t="shared" ca="1" si="11"/>
        <v>0</v>
      </c>
      <c r="BF66" s="488">
        <f t="shared" ca="1" si="11"/>
        <v>0</v>
      </c>
      <c r="BG66" s="488">
        <f t="shared" ca="1" si="11"/>
        <v>0</v>
      </c>
      <c r="BH66" s="488">
        <f t="shared" ca="1" si="11"/>
        <v>0</v>
      </c>
      <c r="BI66" s="488">
        <f t="shared" ca="1" si="11"/>
        <v>0</v>
      </c>
    </row>
    <row r="67" spans="1:61" outlineLevel="1" x14ac:dyDescent="0.15">
      <c r="A67" s="498">
        <v>14</v>
      </c>
      <c r="B67" s="488" t="str">
        <f t="shared" ca="1" si="7"/>
        <v/>
      </c>
      <c r="C67" s="488" t="str">
        <f t="shared" ca="1" si="7"/>
        <v/>
      </c>
      <c r="D67" s="488" t="str">
        <f t="shared" ca="1" si="7"/>
        <v/>
      </c>
      <c r="E67" s="488" t="str">
        <f t="shared" ca="1" si="7"/>
        <v/>
      </c>
      <c r="F67" s="488" t="str">
        <f t="shared" ca="1" si="7"/>
        <v/>
      </c>
      <c r="G67" s="488" t="str">
        <f t="shared" ca="1" si="7"/>
        <v/>
      </c>
      <c r="H67" s="488" t="str">
        <f t="shared" ca="1" si="7"/>
        <v/>
      </c>
      <c r="I67" s="488" t="str">
        <f t="shared" ca="1" si="7"/>
        <v/>
      </c>
      <c r="J67" s="488" t="str">
        <f t="shared" ca="1" si="7"/>
        <v/>
      </c>
      <c r="K67" s="488" t="str">
        <f t="shared" ca="1" si="7"/>
        <v/>
      </c>
      <c r="L67" s="488" t="str">
        <f t="shared" ca="1" si="7"/>
        <v/>
      </c>
      <c r="M67" s="488" t="str">
        <f t="shared" ca="1" si="7"/>
        <v/>
      </c>
      <c r="N67" s="488" t="str">
        <f t="shared" ca="1" si="7"/>
        <v/>
      </c>
      <c r="O67" s="488">
        <f t="shared" ca="1" si="7"/>
        <v>0</v>
      </c>
      <c r="P67" s="488">
        <f t="shared" ca="1" si="7"/>
        <v>0</v>
      </c>
      <c r="Q67" s="488">
        <f t="shared" ca="1" si="7"/>
        <v>0</v>
      </c>
      <c r="R67" s="488">
        <f t="shared" ca="1" si="12"/>
        <v>0</v>
      </c>
      <c r="S67" s="488">
        <f t="shared" ca="1" si="12"/>
        <v>0</v>
      </c>
      <c r="T67" s="488">
        <f t="shared" ca="1" si="12"/>
        <v>0</v>
      </c>
      <c r="U67" s="488">
        <f t="shared" ca="1" si="12"/>
        <v>0</v>
      </c>
      <c r="V67" s="488">
        <f t="shared" ca="1" si="12"/>
        <v>0</v>
      </c>
      <c r="W67" s="488">
        <f t="shared" ca="1" si="12"/>
        <v>0</v>
      </c>
      <c r="X67" s="488">
        <f t="shared" ca="1" si="12"/>
        <v>0</v>
      </c>
      <c r="Y67" s="488">
        <f t="shared" ca="1" si="12"/>
        <v>0</v>
      </c>
      <c r="Z67" s="488">
        <f t="shared" ca="1" si="12"/>
        <v>0</v>
      </c>
      <c r="AA67" s="488">
        <f t="shared" ca="1" si="12"/>
        <v>0</v>
      </c>
      <c r="AB67" s="488">
        <f t="shared" ca="1" si="12"/>
        <v>0</v>
      </c>
      <c r="AC67" s="488">
        <f t="shared" ca="1" si="12"/>
        <v>0</v>
      </c>
      <c r="AD67" s="488">
        <f t="shared" ca="1" si="12"/>
        <v>0</v>
      </c>
      <c r="AE67" s="488">
        <f t="shared" ca="1" si="12"/>
        <v>0</v>
      </c>
      <c r="AF67" s="488">
        <f t="shared" ca="1" si="12"/>
        <v>0</v>
      </c>
      <c r="AG67" s="488">
        <f t="shared" ca="1" si="12"/>
        <v>0</v>
      </c>
      <c r="AH67" s="488">
        <f t="shared" ca="1" si="13"/>
        <v>0</v>
      </c>
      <c r="AI67" s="488">
        <f t="shared" ca="1" si="13"/>
        <v>0</v>
      </c>
      <c r="AJ67" s="488">
        <f t="shared" ca="1" si="13"/>
        <v>0</v>
      </c>
      <c r="AK67" s="488">
        <f t="shared" ca="1" si="13"/>
        <v>0</v>
      </c>
      <c r="AL67" s="488">
        <f t="shared" ca="1" si="13"/>
        <v>0</v>
      </c>
      <c r="AM67" s="488">
        <f t="shared" ca="1" si="13"/>
        <v>0</v>
      </c>
      <c r="AN67" s="488">
        <f t="shared" ca="1" si="13"/>
        <v>0</v>
      </c>
      <c r="AO67" s="488">
        <f t="shared" ca="1" si="13"/>
        <v>0</v>
      </c>
      <c r="AP67" s="488">
        <f t="shared" ca="1" si="13"/>
        <v>0</v>
      </c>
      <c r="AQ67" s="488">
        <f t="shared" ca="1" si="13"/>
        <v>0</v>
      </c>
      <c r="AR67" s="488">
        <f t="shared" ca="1" si="13"/>
        <v>0</v>
      </c>
      <c r="AS67" s="488">
        <f t="shared" ca="1" si="13"/>
        <v>0</v>
      </c>
      <c r="AT67" s="488">
        <f t="shared" ca="1" si="13"/>
        <v>0</v>
      </c>
      <c r="AU67" s="488">
        <f t="shared" ca="1" si="13"/>
        <v>0</v>
      </c>
      <c r="AV67" s="488">
        <f t="shared" ca="1" si="13"/>
        <v>0</v>
      </c>
      <c r="AW67" s="488">
        <f t="shared" ca="1" si="13"/>
        <v>0</v>
      </c>
      <c r="AX67" s="488">
        <f t="shared" ca="1" si="14"/>
        <v>0</v>
      </c>
      <c r="AY67" s="488">
        <f t="shared" ca="1" si="14"/>
        <v>0</v>
      </c>
      <c r="AZ67" s="488">
        <f t="shared" ca="1" si="14"/>
        <v>0</v>
      </c>
      <c r="BA67" s="488">
        <f t="shared" ca="1" si="11"/>
        <v>0</v>
      </c>
      <c r="BB67" s="488">
        <f t="shared" ca="1" si="11"/>
        <v>0</v>
      </c>
      <c r="BC67" s="488">
        <f t="shared" ca="1" si="11"/>
        <v>0</v>
      </c>
      <c r="BD67" s="488">
        <f t="shared" ca="1" si="11"/>
        <v>0</v>
      </c>
      <c r="BE67" s="488">
        <f t="shared" ca="1" si="11"/>
        <v>0</v>
      </c>
      <c r="BF67" s="488">
        <f t="shared" ca="1" si="11"/>
        <v>0</v>
      </c>
      <c r="BG67" s="488">
        <f t="shared" ca="1" si="11"/>
        <v>0</v>
      </c>
      <c r="BH67" s="488">
        <f t="shared" ca="1" si="11"/>
        <v>0</v>
      </c>
      <c r="BI67" s="488">
        <f t="shared" ca="1" si="11"/>
        <v>0</v>
      </c>
    </row>
    <row r="68" spans="1:61" outlineLevel="1" x14ac:dyDescent="0.15">
      <c r="A68" s="498">
        <v>15</v>
      </c>
      <c r="B68" s="488" t="str">
        <f t="shared" ca="1" si="7"/>
        <v/>
      </c>
      <c r="C68" s="488" t="str">
        <f t="shared" ca="1" si="7"/>
        <v/>
      </c>
      <c r="D68" s="488" t="str">
        <f t="shared" ca="1" si="7"/>
        <v/>
      </c>
      <c r="E68" s="488" t="str">
        <f t="shared" ca="1" si="7"/>
        <v/>
      </c>
      <c r="F68" s="488" t="str">
        <f t="shared" ca="1" si="7"/>
        <v/>
      </c>
      <c r="G68" s="488" t="str">
        <f t="shared" ca="1" si="7"/>
        <v/>
      </c>
      <c r="H68" s="488" t="str">
        <f t="shared" ca="1" si="7"/>
        <v/>
      </c>
      <c r="I68" s="488" t="str">
        <f t="shared" ca="1" si="7"/>
        <v/>
      </c>
      <c r="J68" s="488" t="str">
        <f t="shared" ca="1" si="7"/>
        <v/>
      </c>
      <c r="K68" s="488" t="str">
        <f t="shared" ca="1" si="7"/>
        <v/>
      </c>
      <c r="L68" s="488" t="str">
        <f t="shared" ca="1" si="7"/>
        <v/>
      </c>
      <c r="M68" s="488" t="str">
        <f t="shared" ca="1" si="7"/>
        <v/>
      </c>
      <c r="N68" s="488" t="str">
        <f t="shared" ca="1" si="7"/>
        <v/>
      </c>
      <c r="O68" s="488" t="str">
        <f t="shared" ca="1" si="7"/>
        <v/>
      </c>
      <c r="P68" s="488">
        <f t="shared" ca="1" si="7"/>
        <v>0</v>
      </c>
      <c r="Q68" s="488">
        <f t="shared" ca="1" si="7"/>
        <v>0</v>
      </c>
      <c r="R68" s="488">
        <f t="shared" ca="1" si="12"/>
        <v>0</v>
      </c>
      <c r="S68" s="488">
        <f t="shared" ca="1" si="12"/>
        <v>0</v>
      </c>
      <c r="T68" s="488">
        <f t="shared" ca="1" si="12"/>
        <v>0</v>
      </c>
      <c r="U68" s="488">
        <f t="shared" ca="1" si="12"/>
        <v>0</v>
      </c>
      <c r="V68" s="488">
        <f t="shared" ca="1" si="12"/>
        <v>0</v>
      </c>
      <c r="W68" s="488">
        <f t="shared" ca="1" si="12"/>
        <v>0</v>
      </c>
      <c r="X68" s="488">
        <f t="shared" ca="1" si="12"/>
        <v>0</v>
      </c>
      <c r="Y68" s="488">
        <f t="shared" ca="1" si="12"/>
        <v>0</v>
      </c>
      <c r="Z68" s="488">
        <f t="shared" ca="1" si="12"/>
        <v>0</v>
      </c>
      <c r="AA68" s="488">
        <f t="shared" ca="1" si="12"/>
        <v>0</v>
      </c>
      <c r="AB68" s="488">
        <f t="shared" ca="1" si="12"/>
        <v>0</v>
      </c>
      <c r="AC68" s="488">
        <f t="shared" ca="1" si="12"/>
        <v>0</v>
      </c>
      <c r="AD68" s="488">
        <f t="shared" ca="1" si="12"/>
        <v>0</v>
      </c>
      <c r="AE68" s="488">
        <f t="shared" ca="1" si="12"/>
        <v>0</v>
      </c>
      <c r="AF68" s="488">
        <f t="shared" ca="1" si="12"/>
        <v>0</v>
      </c>
      <c r="AG68" s="488">
        <f t="shared" ca="1" si="12"/>
        <v>0</v>
      </c>
      <c r="AH68" s="488">
        <f t="shared" ca="1" si="13"/>
        <v>0</v>
      </c>
      <c r="AI68" s="488">
        <f t="shared" ca="1" si="13"/>
        <v>0</v>
      </c>
      <c r="AJ68" s="488">
        <f t="shared" ca="1" si="13"/>
        <v>0</v>
      </c>
      <c r="AK68" s="488">
        <f t="shared" ca="1" si="13"/>
        <v>0</v>
      </c>
      <c r="AL68" s="488">
        <f t="shared" ca="1" si="13"/>
        <v>0</v>
      </c>
      <c r="AM68" s="488">
        <f t="shared" ca="1" si="13"/>
        <v>0</v>
      </c>
      <c r="AN68" s="488">
        <f t="shared" ca="1" si="13"/>
        <v>0</v>
      </c>
      <c r="AO68" s="488">
        <f t="shared" ca="1" si="13"/>
        <v>0</v>
      </c>
      <c r="AP68" s="488">
        <f t="shared" ca="1" si="13"/>
        <v>0</v>
      </c>
      <c r="AQ68" s="488">
        <f t="shared" ca="1" si="13"/>
        <v>0</v>
      </c>
      <c r="AR68" s="488">
        <f t="shared" ca="1" si="13"/>
        <v>0</v>
      </c>
      <c r="AS68" s="488">
        <f t="shared" ca="1" si="13"/>
        <v>0</v>
      </c>
      <c r="AT68" s="488">
        <f t="shared" ca="1" si="13"/>
        <v>0</v>
      </c>
      <c r="AU68" s="488">
        <f t="shared" ca="1" si="13"/>
        <v>0</v>
      </c>
      <c r="AV68" s="488">
        <f t="shared" ca="1" si="13"/>
        <v>0</v>
      </c>
      <c r="AW68" s="488">
        <f t="shared" ca="1" si="13"/>
        <v>0</v>
      </c>
      <c r="AX68" s="488">
        <f t="shared" ca="1" si="14"/>
        <v>0</v>
      </c>
      <c r="AY68" s="488">
        <f t="shared" ca="1" si="14"/>
        <v>0</v>
      </c>
      <c r="AZ68" s="488">
        <f t="shared" ca="1" si="14"/>
        <v>0</v>
      </c>
      <c r="BA68" s="488">
        <f t="shared" ca="1" si="11"/>
        <v>0</v>
      </c>
      <c r="BB68" s="488">
        <f t="shared" ca="1" si="11"/>
        <v>0</v>
      </c>
      <c r="BC68" s="488">
        <f t="shared" ca="1" si="11"/>
        <v>0</v>
      </c>
      <c r="BD68" s="488">
        <f t="shared" ca="1" si="11"/>
        <v>0</v>
      </c>
      <c r="BE68" s="488">
        <f t="shared" ca="1" si="11"/>
        <v>0</v>
      </c>
      <c r="BF68" s="488">
        <f t="shared" ca="1" si="11"/>
        <v>0</v>
      </c>
      <c r="BG68" s="488">
        <f t="shared" ca="1" si="11"/>
        <v>0</v>
      </c>
      <c r="BH68" s="488">
        <f t="shared" ca="1" si="11"/>
        <v>0</v>
      </c>
      <c r="BI68" s="488">
        <f t="shared" ca="1" si="11"/>
        <v>0</v>
      </c>
    </row>
    <row r="69" spans="1:61" outlineLevel="1" x14ac:dyDescent="0.15">
      <c r="A69" s="498">
        <v>16</v>
      </c>
      <c r="B69" s="488" t="str">
        <f t="shared" ca="1" si="7"/>
        <v/>
      </c>
      <c r="C69" s="488" t="str">
        <f t="shared" ca="1" si="7"/>
        <v/>
      </c>
      <c r="D69" s="488" t="str">
        <f t="shared" ca="1" si="7"/>
        <v/>
      </c>
      <c r="E69" s="488" t="str">
        <f t="shared" ca="1" si="7"/>
        <v/>
      </c>
      <c r="F69" s="488" t="str">
        <f t="shared" ca="1" si="7"/>
        <v/>
      </c>
      <c r="G69" s="488" t="str">
        <f t="shared" ca="1" si="7"/>
        <v/>
      </c>
      <c r="H69" s="488" t="str">
        <f t="shared" ca="1" si="7"/>
        <v/>
      </c>
      <c r="I69" s="488" t="str">
        <f t="shared" ca="1" si="7"/>
        <v/>
      </c>
      <c r="J69" s="488" t="str">
        <f t="shared" ca="1" si="7"/>
        <v/>
      </c>
      <c r="K69" s="488" t="str">
        <f t="shared" ca="1" si="7"/>
        <v/>
      </c>
      <c r="L69" s="488" t="str">
        <f t="shared" ca="1" si="7"/>
        <v/>
      </c>
      <c r="M69" s="488" t="str">
        <f t="shared" ca="1" si="7"/>
        <v/>
      </c>
      <c r="N69" s="488" t="str">
        <f t="shared" ca="1" si="7"/>
        <v/>
      </c>
      <c r="O69" s="488" t="str">
        <f t="shared" ca="1" si="7"/>
        <v/>
      </c>
      <c r="P69" s="488" t="str">
        <f t="shared" ca="1" si="7"/>
        <v/>
      </c>
      <c r="Q69" s="488">
        <f t="shared" ref="Q69:BI74" ca="1" si="15">IF($A69&gt;Q$5,"",OFFSET(Q$53,0,-($A69-1)))</f>
        <v>0</v>
      </c>
      <c r="R69" s="488">
        <f t="shared" ca="1" si="15"/>
        <v>0</v>
      </c>
      <c r="S69" s="488">
        <f t="shared" ca="1" si="15"/>
        <v>0</v>
      </c>
      <c r="T69" s="488">
        <f t="shared" ca="1" si="15"/>
        <v>0</v>
      </c>
      <c r="U69" s="488">
        <f t="shared" ca="1" si="15"/>
        <v>0</v>
      </c>
      <c r="V69" s="488">
        <f t="shared" ca="1" si="15"/>
        <v>0</v>
      </c>
      <c r="W69" s="488">
        <f t="shared" ca="1" si="15"/>
        <v>0</v>
      </c>
      <c r="X69" s="488">
        <f t="shared" ca="1" si="15"/>
        <v>0</v>
      </c>
      <c r="Y69" s="488">
        <f t="shared" ca="1" si="15"/>
        <v>0</v>
      </c>
      <c r="Z69" s="488">
        <f t="shared" ca="1" si="15"/>
        <v>0</v>
      </c>
      <c r="AA69" s="488">
        <f t="shared" ca="1" si="15"/>
        <v>0</v>
      </c>
      <c r="AB69" s="488">
        <f t="shared" ca="1" si="15"/>
        <v>0</v>
      </c>
      <c r="AC69" s="488">
        <f t="shared" ca="1" si="15"/>
        <v>0</v>
      </c>
      <c r="AD69" s="488">
        <f t="shared" ca="1" si="15"/>
        <v>0</v>
      </c>
      <c r="AE69" s="488">
        <f t="shared" ca="1" si="15"/>
        <v>0</v>
      </c>
      <c r="AF69" s="488">
        <f t="shared" ca="1" si="15"/>
        <v>0</v>
      </c>
      <c r="AG69" s="488">
        <f t="shared" ca="1" si="15"/>
        <v>0</v>
      </c>
      <c r="AH69" s="488">
        <f t="shared" ca="1" si="15"/>
        <v>0</v>
      </c>
      <c r="AI69" s="488">
        <f t="shared" ca="1" si="15"/>
        <v>0</v>
      </c>
      <c r="AJ69" s="488">
        <f t="shared" ca="1" si="15"/>
        <v>0</v>
      </c>
      <c r="AK69" s="488">
        <f t="shared" ca="1" si="15"/>
        <v>0</v>
      </c>
      <c r="AL69" s="488">
        <f t="shared" ca="1" si="15"/>
        <v>0</v>
      </c>
      <c r="AM69" s="488">
        <f t="shared" ca="1" si="15"/>
        <v>0</v>
      </c>
      <c r="AN69" s="488">
        <f t="shared" ca="1" si="15"/>
        <v>0</v>
      </c>
      <c r="AO69" s="488">
        <f t="shared" ca="1" si="15"/>
        <v>0</v>
      </c>
      <c r="AP69" s="488">
        <f t="shared" ca="1" si="15"/>
        <v>0</v>
      </c>
      <c r="AQ69" s="488">
        <f t="shared" ca="1" si="15"/>
        <v>0</v>
      </c>
      <c r="AR69" s="488">
        <f t="shared" ca="1" si="15"/>
        <v>0</v>
      </c>
      <c r="AS69" s="488">
        <f t="shared" ca="1" si="15"/>
        <v>0</v>
      </c>
      <c r="AT69" s="488">
        <f t="shared" ca="1" si="15"/>
        <v>0</v>
      </c>
      <c r="AU69" s="488">
        <f t="shared" ca="1" si="15"/>
        <v>0</v>
      </c>
      <c r="AV69" s="488">
        <f t="shared" ca="1" si="15"/>
        <v>0</v>
      </c>
      <c r="AW69" s="488">
        <f t="shared" ca="1" si="15"/>
        <v>0</v>
      </c>
      <c r="AX69" s="488">
        <f t="shared" ca="1" si="15"/>
        <v>0</v>
      </c>
      <c r="AY69" s="488">
        <f t="shared" ca="1" si="15"/>
        <v>0</v>
      </c>
      <c r="AZ69" s="488">
        <f t="shared" ca="1" si="15"/>
        <v>0</v>
      </c>
      <c r="BA69" s="488">
        <f t="shared" ca="1" si="15"/>
        <v>0</v>
      </c>
      <c r="BB69" s="488">
        <f t="shared" ca="1" si="15"/>
        <v>0</v>
      </c>
      <c r="BC69" s="488">
        <f t="shared" ca="1" si="15"/>
        <v>0</v>
      </c>
      <c r="BD69" s="488">
        <f t="shared" ca="1" si="15"/>
        <v>0</v>
      </c>
      <c r="BE69" s="488">
        <f t="shared" ca="1" si="15"/>
        <v>0</v>
      </c>
      <c r="BF69" s="488">
        <f t="shared" ca="1" si="15"/>
        <v>0</v>
      </c>
      <c r="BG69" s="488">
        <f t="shared" ca="1" si="15"/>
        <v>0</v>
      </c>
      <c r="BH69" s="488">
        <f t="shared" ca="1" si="15"/>
        <v>0</v>
      </c>
      <c r="BI69" s="488">
        <f t="shared" ca="1" si="15"/>
        <v>0</v>
      </c>
    </row>
    <row r="70" spans="1:61" outlineLevel="1" x14ac:dyDescent="0.15">
      <c r="A70" s="498">
        <v>17</v>
      </c>
      <c r="B70" s="488" t="str">
        <f t="shared" ref="B70:Q85" ca="1" si="16">IF($A70&gt;B$5,"",OFFSET(B$53,0,-($A70-1)))</f>
        <v/>
      </c>
      <c r="C70" s="488" t="str">
        <f t="shared" ca="1" si="16"/>
        <v/>
      </c>
      <c r="D70" s="488" t="str">
        <f t="shared" ca="1" si="16"/>
        <v/>
      </c>
      <c r="E70" s="488" t="str">
        <f t="shared" ca="1" si="16"/>
        <v/>
      </c>
      <c r="F70" s="488" t="str">
        <f t="shared" ca="1" si="16"/>
        <v/>
      </c>
      <c r="G70" s="488" t="str">
        <f t="shared" ca="1" si="16"/>
        <v/>
      </c>
      <c r="H70" s="488" t="str">
        <f t="shared" ca="1" si="16"/>
        <v/>
      </c>
      <c r="I70" s="488" t="str">
        <f t="shared" ca="1" si="16"/>
        <v/>
      </c>
      <c r="J70" s="488" t="str">
        <f t="shared" ca="1" si="16"/>
        <v/>
      </c>
      <c r="K70" s="488" t="str">
        <f t="shared" ca="1" si="16"/>
        <v/>
      </c>
      <c r="L70" s="488" t="str">
        <f t="shared" ca="1" si="16"/>
        <v/>
      </c>
      <c r="M70" s="488" t="str">
        <f t="shared" ca="1" si="16"/>
        <v/>
      </c>
      <c r="N70" s="488" t="str">
        <f t="shared" ca="1" si="16"/>
        <v/>
      </c>
      <c r="O70" s="488" t="str">
        <f t="shared" ca="1" si="16"/>
        <v/>
      </c>
      <c r="P70" s="488" t="str">
        <f t="shared" ca="1" si="16"/>
        <v/>
      </c>
      <c r="Q70" s="488" t="str">
        <f t="shared" ca="1" si="15"/>
        <v/>
      </c>
      <c r="R70" s="488">
        <f t="shared" ca="1" si="15"/>
        <v>0</v>
      </c>
      <c r="S70" s="488">
        <f t="shared" ca="1" si="15"/>
        <v>0</v>
      </c>
      <c r="T70" s="488">
        <f t="shared" ca="1" si="15"/>
        <v>0</v>
      </c>
      <c r="U70" s="488">
        <f t="shared" ca="1" si="15"/>
        <v>0</v>
      </c>
      <c r="V70" s="488">
        <f t="shared" ca="1" si="15"/>
        <v>0</v>
      </c>
      <c r="W70" s="488">
        <f t="shared" ca="1" si="15"/>
        <v>0</v>
      </c>
      <c r="X70" s="488">
        <f t="shared" ca="1" si="15"/>
        <v>0</v>
      </c>
      <c r="Y70" s="488">
        <f t="shared" ca="1" si="15"/>
        <v>0</v>
      </c>
      <c r="Z70" s="488">
        <f t="shared" ca="1" si="15"/>
        <v>0</v>
      </c>
      <c r="AA70" s="488">
        <f t="shared" ca="1" si="15"/>
        <v>0</v>
      </c>
      <c r="AB70" s="488">
        <f t="shared" ca="1" si="15"/>
        <v>0</v>
      </c>
      <c r="AC70" s="488">
        <f t="shared" ca="1" si="15"/>
        <v>0</v>
      </c>
      <c r="AD70" s="488">
        <f t="shared" ca="1" si="15"/>
        <v>0</v>
      </c>
      <c r="AE70" s="488">
        <f t="shared" ca="1" si="15"/>
        <v>0</v>
      </c>
      <c r="AF70" s="488">
        <f t="shared" ca="1" si="15"/>
        <v>0</v>
      </c>
      <c r="AG70" s="488">
        <f t="shared" ca="1" si="15"/>
        <v>0</v>
      </c>
      <c r="AH70" s="488">
        <f t="shared" ca="1" si="15"/>
        <v>0</v>
      </c>
      <c r="AI70" s="488">
        <f t="shared" ca="1" si="15"/>
        <v>0</v>
      </c>
      <c r="AJ70" s="488">
        <f t="shared" ca="1" si="15"/>
        <v>0</v>
      </c>
      <c r="AK70" s="488">
        <f t="shared" ca="1" si="15"/>
        <v>0</v>
      </c>
      <c r="AL70" s="488">
        <f t="shared" ca="1" si="15"/>
        <v>0</v>
      </c>
      <c r="AM70" s="488">
        <f t="shared" ca="1" si="15"/>
        <v>0</v>
      </c>
      <c r="AN70" s="488">
        <f t="shared" ca="1" si="15"/>
        <v>0</v>
      </c>
      <c r="AO70" s="488">
        <f t="shared" ca="1" si="15"/>
        <v>0</v>
      </c>
      <c r="AP70" s="488">
        <f t="shared" ca="1" si="15"/>
        <v>0</v>
      </c>
      <c r="AQ70" s="488">
        <f t="shared" ca="1" si="15"/>
        <v>0</v>
      </c>
      <c r="AR70" s="488">
        <f t="shared" ca="1" si="15"/>
        <v>0</v>
      </c>
      <c r="AS70" s="488">
        <f t="shared" ca="1" si="15"/>
        <v>0</v>
      </c>
      <c r="AT70" s="488">
        <f t="shared" ca="1" si="15"/>
        <v>0</v>
      </c>
      <c r="AU70" s="488">
        <f t="shared" ca="1" si="15"/>
        <v>0</v>
      </c>
      <c r="AV70" s="488">
        <f t="shared" ca="1" si="15"/>
        <v>0</v>
      </c>
      <c r="AW70" s="488">
        <f t="shared" ca="1" si="15"/>
        <v>0</v>
      </c>
      <c r="AX70" s="488">
        <f t="shared" ca="1" si="15"/>
        <v>0</v>
      </c>
      <c r="AY70" s="488">
        <f t="shared" ca="1" si="15"/>
        <v>0</v>
      </c>
      <c r="AZ70" s="488">
        <f t="shared" ca="1" si="15"/>
        <v>0</v>
      </c>
      <c r="BA70" s="488">
        <f t="shared" ca="1" si="15"/>
        <v>0</v>
      </c>
      <c r="BB70" s="488">
        <f t="shared" ca="1" si="15"/>
        <v>0</v>
      </c>
      <c r="BC70" s="488">
        <f t="shared" ca="1" si="15"/>
        <v>0</v>
      </c>
      <c r="BD70" s="488">
        <f t="shared" ca="1" si="15"/>
        <v>0</v>
      </c>
      <c r="BE70" s="488">
        <f t="shared" ca="1" si="15"/>
        <v>0</v>
      </c>
      <c r="BF70" s="488">
        <f t="shared" ca="1" si="15"/>
        <v>0</v>
      </c>
      <c r="BG70" s="488">
        <f t="shared" ca="1" si="15"/>
        <v>0</v>
      </c>
      <c r="BH70" s="488">
        <f t="shared" ca="1" si="15"/>
        <v>0</v>
      </c>
      <c r="BI70" s="488">
        <f t="shared" ca="1" si="15"/>
        <v>0</v>
      </c>
    </row>
    <row r="71" spans="1:61" outlineLevel="1" x14ac:dyDescent="0.15">
      <c r="A71" s="498">
        <v>18</v>
      </c>
      <c r="B71" s="488" t="str">
        <f t="shared" ca="1" si="16"/>
        <v/>
      </c>
      <c r="C71" s="488" t="str">
        <f t="shared" ca="1" si="16"/>
        <v/>
      </c>
      <c r="D71" s="488" t="str">
        <f t="shared" ca="1" si="16"/>
        <v/>
      </c>
      <c r="E71" s="488" t="str">
        <f t="shared" ca="1" si="16"/>
        <v/>
      </c>
      <c r="F71" s="488" t="str">
        <f t="shared" ca="1" si="16"/>
        <v/>
      </c>
      <c r="G71" s="488" t="str">
        <f t="shared" ca="1" si="16"/>
        <v/>
      </c>
      <c r="H71" s="488" t="str">
        <f t="shared" ca="1" si="16"/>
        <v/>
      </c>
      <c r="I71" s="488" t="str">
        <f t="shared" ca="1" si="16"/>
        <v/>
      </c>
      <c r="J71" s="488" t="str">
        <f t="shared" ca="1" si="16"/>
        <v/>
      </c>
      <c r="K71" s="488" t="str">
        <f t="shared" ca="1" si="16"/>
        <v/>
      </c>
      <c r="L71" s="488" t="str">
        <f t="shared" ca="1" si="16"/>
        <v/>
      </c>
      <c r="M71" s="488" t="str">
        <f t="shared" ca="1" si="16"/>
        <v/>
      </c>
      <c r="N71" s="488" t="str">
        <f t="shared" ca="1" si="16"/>
        <v/>
      </c>
      <c r="O71" s="488" t="str">
        <f t="shared" ca="1" si="16"/>
        <v/>
      </c>
      <c r="P71" s="488" t="str">
        <f t="shared" ca="1" si="16"/>
        <v/>
      </c>
      <c r="Q71" s="488" t="str">
        <f t="shared" ca="1" si="15"/>
        <v/>
      </c>
      <c r="R71" s="488" t="str">
        <f t="shared" ca="1" si="15"/>
        <v/>
      </c>
      <c r="S71" s="488">
        <f t="shared" ca="1" si="15"/>
        <v>0</v>
      </c>
      <c r="T71" s="488">
        <f t="shared" ca="1" si="15"/>
        <v>0</v>
      </c>
      <c r="U71" s="488">
        <f t="shared" ca="1" si="15"/>
        <v>0</v>
      </c>
      <c r="V71" s="488">
        <f t="shared" ca="1" si="15"/>
        <v>0</v>
      </c>
      <c r="W71" s="488">
        <f t="shared" ca="1" si="15"/>
        <v>0</v>
      </c>
      <c r="X71" s="488">
        <f t="shared" ca="1" si="15"/>
        <v>0</v>
      </c>
      <c r="Y71" s="488">
        <f t="shared" ca="1" si="15"/>
        <v>0</v>
      </c>
      <c r="Z71" s="488">
        <f t="shared" ca="1" si="15"/>
        <v>0</v>
      </c>
      <c r="AA71" s="488">
        <f t="shared" ca="1" si="15"/>
        <v>0</v>
      </c>
      <c r="AB71" s="488">
        <f t="shared" ca="1" si="15"/>
        <v>0</v>
      </c>
      <c r="AC71" s="488">
        <f t="shared" ca="1" si="15"/>
        <v>0</v>
      </c>
      <c r="AD71" s="488">
        <f t="shared" ca="1" si="15"/>
        <v>0</v>
      </c>
      <c r="AE71" s="488">
        <f t="shared" ca="1" si="15"/>
        <v>0</v>
      </c>
      <c r="AF71" s="488">
        <f t="shared" ca="1" si="15"/>
        <v>0</v>
      </c>
      <c r="AG71" s="488">
        <f t="shared" ca="1" si="15"/>
        <v>0</v>
      </c>
      <c r="AH71" s="488">
        <f t="shared" ca="1" si="15"/>
        <v>0</v>
      </c>
      <c r="AI71" s="488">
        <f t="shared" ca="1" si="15"/>
        <v>0</v>
      </c>
      <c r="AJ71" s="488">
        <f t="shared" ca="1" si="15"/>
        <v>0</v>
      </c>
      <c r="AK71" s="488">
        <f t="shared" ca="1" si="15"/>
        <v>0</v>
      </c>
      <c r="AL71" s="488">
        <f t="shared" ca="1" si="15"/>
        <v>0</v>
      </c>
      <c r="AM71" s="488">
        <f t="shared" ca="1" si="15"/>
        <v>0</v>
      </c>
      <c r="AN71" s="488">
        <f t="shared" ca="1" si="15"/>
        <v>0</v>
      </c>
      <c r="AO71" s="488">
        <f t="shared" ca="1" si="15"/>
        <v>0</v>
      </c>
      <c r="AP71" s="488">
        <f t="shared" ca="1" si="15"/>
        <v>0</v>
      </c>
      <c r="AQ71" s="488">
        <f t="shared" ca="1" si="15"/>
        <v>0</v>
      </c>
      <c r="AR71" s="488">
        <f t="shared" ca="1" si="15"/>
        <v>0</v>
      </c>
      <c r="AS71" s="488">
        <f t="shared" ca="1" si="15"/>
        <v>0</v>
      </c>
      <c r="AT71" s="488">
        <f t="shared" ca="1" si="15"/>
        <v>0</v>
      </c>
      <c r="AU71" s="488">
        <f t="shared" ca="1" si="15"/>
        <v>0</v>
      </c>
      <c r="AV71" s="488">
        <f t="shared" ca="1" si="15"/>
        <v>0</v>
      </c>
      <c r="AW71" s="488">
        <f t="shared" ca="1" si="15"/>
        <v>0</v>
      </c>
      <c r="AX71" s="488">
        <f t="shared" ca="1" si="15"/>
        <v>0</v>
      </c>
      <c r="AY71" s="488">
        <f t="shared" ca="1" si="15"/>
        <v>0</v>
      </c>
      <c r="AZ71" s="488">
        <f t="shared" ca="1" si="15"/>
        <v>0</v>
      </c>
      <c r="BA71" s="488">
        <f t="shared" ca="1" si="15"/>
        <v>0</v>
      </c>
      <c r="BB71" s="488">
        <f t="shared" ca="1" si="15"/>
        <v>0</v>
      </c>
      <c r="BC71" s="488">
        <f t="shared" ca="1" si="15"/>
        <v>0</v>
      </c>
      <c r="BD71" s="488">
        <f t="shared" ca="1" si="15"/>
        <v>0</v>
      </c>
      <c r="BE71" s="488">
        <f t="shared" ca="1" si="15"/>
        <v>0</v>
      </c>
      <c r="BF71" s="488">
        <f t="shared" ca="1" si="15"/>
        <v>0</v>
      </c>
      <c r="BG71" s="488">
        <f t="shared" ca="1" si="15"/>
        <v>0</v>
      </c>
      <c r="BH71" s="488">
        <f t="shared" ca="1" si="15"/>
        <v>0</v>
      </c>
      <c r="BI71" s="488">
        <f t="shared" ca="1" si="15"/>
        <v>0</v>
      </c>
    </row>
    <row r="72" spans="1:61" outlineLevel="1" x14ac:dyDescent="0.15">
      <c r="A72" s="498">
        <v>19</v>
      </c>
      <c r="B72" s="488" t="str">
        <f t="shared" ca="1" si="16"/>
        <v/>
      </c>
      <c r="C72" s="488" t="str">
        <f t="shared" ca="1" si="16"/>
        <v/>
      </c>
      <c r="D72" s="488" t="str">
        <f t="shared" ca="1" si="16"/>
        <v/>
      </c>
      <c r="E72" s="488" t="str">
        <f t="shared" ca="1" si="16"/>
        <v/>
      </c>
      <c r="F72" s="488" t="str">
        <f t="shared" ca="1" si="16"/>
        <v/>
      </c>
      <c r="G72" s="488" t="str">
        <f t="shared" ca="1" si="16"/>
        <v/>
      </c>
      <c r="H72" s="488" t="str">
        <f t="shared" ca="1" si="16"/>
        <v/>
      </c>
      <c r="I72" s="488" t="str">
        <f t="shared" ca="1" si="16"/>
        <v/>
      </c>
      <c r="J72" s="488" t="str">
        <f t="shared" ca="1" si="16"/>
        <v/>
      </c>
      <c r="K72" s="488" t="str">
        <f t="shared" ca="1" si="16"/>
        <v/>
      </c>
      <c r="L72" s="488" t="str">
        <f t="shared" ca="1" si="16"/>
        <v/>
      </c>
      <c r="M72" s="488" t="str">
        <f t="shared" ca="1" si="16"/>
        <v/>
      </c>
      <c r="N72" s="488" t="str">
        <f t="shared" ca="1" si="16"/>
        <v/>
      </c>
      <c r="O72" s="488" t="str">
        <f t="shared" ca="1" si="16"/>
        <v/>
      </c>
      <c r="P72" s="488" t="str">
        <f t="shared" ca="1" si="16"/>
        <v/>
      </c>
      <c r="Q72" s="488" t="str">
        <f t="shared" ca="1" si="15"/>
        <v/>
      </c>
      <c r="R72" s="488" t="str">
        <f t="shared" ca="1" si="15"/>
        <v/>
      </c>
      <c r="S72" s="488" t="str">
        <f t="shared" ca="1" si="15"/>
        <v/>
      </c>
      <c r="T72" s="488">
        <f t="shared" ca="1" si="15"/>
        <v>0</v>
      </c>
      <c r="U72" s="488">
        <f t="shared" ca="1" si="15"/>
        <v>0</v>
      </c>
      <c r="V72" s="488">
        <f t="shared" ca="1" si="15"/>
        <v>0</v>
      </c>
      <c r="W72" s="488">
        <f t="shared" ca="1" si="15"/>
        <v>0</v>
      </c>
      <c r="X72" s="488">
        <f t="shared" ca="1" si="15"/>
        <v>0</v>
      </c>
      <c r="Y72" s="488">
        <f t="shared" ca="1" si="15"/>
        <v>0</v>
      </c>
      <c r="Z72" s="488">
        <f t="shared" ca="1" si="15"/>
        <v>0</v>
      </c>
      <c r="AA72" s="488">
        <f t="shared" ca="1" si="15"/>
        <v>0</v>
      </c>
      <c r="AB72" s="488">
        <f t="shared" ca="1" si="15"/>
        <v>0</v>
      </c>
      <c r="AC72" s="488">
        <f t="shared" ca="1" si="15"/>
        <v>0</v>
      </c>
      <c r="AD72" s="488">
        <f t="shared" ca="1" si="15"/>
        <v>0</v>
      </c>
      <c r="AE72" s="488">
        <f t="shared" ca="1" si="15"/>
        <v>0</v>
      </c>
      <c r="AF72" s="488">
        <f t="shared" ca="1" si="15"/>
        <v>0</v>
      </c>
      <c r="AG72" s="488">
        <f t="shared" ca="1" si="15"/>
        <v>0</v>
      </c>
      <c r="AH72" s="488">
        <f t="shared" ca="1" si="15"/>
        <v>0</v>
      </c>
      <c r="AI72" s="488">
        <f t="shared" ca="1" si="15"/>
        <v>0</v>
      </c>
      <c r="AJ72" s="488">
        <f t="shared" ca="1" si="15"/>
        <v>0</v>
      </c>
      <c r="AK72" s="488">
        <f t="shared" ca="1" si="15"/>
        <v>0</v>
      </c>
      <c r="AL72" s="488">
        <f t="shared" ca="1" si="15"/>
        <v>0</v>
      </c>
      <c r="AM72" s="488">
        <f t="shared" ca="1" si="15"/>
        <v>0</v>
      </c>
      <c r="AN72" s="488">
        <f t="shared" ca="1" si="15"/>
        <v>0</v>
      </c>
      <c r="AO72" s="488">
        <f t="shared" ca="1" si="15"/>
        <v>0</v>
      </c>
      <c r="AP72" s="488">
        <f t="shared" ca="1" si="15"/>
        <v>0</v>
      </c>
      <c r="AQ72" s="488">
        <f t="shared" ca="1" si="15"/>
        <v>0</v>
      </c>
      <c r="AR72" s="488">
        <f t="shared" ca="1" si="15"/>
        <v>0</v>
      </c>
      <c r="AS72" s="488">
        <f t="shared" ca="1" si="15"/>
        <v>0</v>
      </c>
      <c r="AT72" s="488">
        <f t="shared" ca="1" si="15"/>
        <v>0</v>
      </c>
      <c r="AU72" s="488">
        <f t="shared" ca="1" si="15"/>
        <v>0</v>
      </c>
      <c r="AV72" s="488">
        <f t="shared" ca="1" si="15"/>
        <v>0</v>
      </c>
      <c r="AW72" s="488">
        <f t="shared" ca="1" si="15"/>
        <v>0</v>
      </c>
      <c r="AX72" s="488">
        <f t="shared" ca="1" si="15"/>
        <v>0</v>
      </c>
      <c r="AY72" s="488">
        <f t="shared" ca="1" si="15"/>
        <v>0</v>
      </c>
      <c r="AZ72" s="488">
        <f t="shared" ca="1" si="15"/>
        <v>0</v>
      </c>
      <c r="BA72" s="488">
        <f t="shared" ca="1" si="15"/>
        <v>0</v>
      </c>
      <c r="BB72" s="488">
        <f t="shared" ca="1" si="15"/>
        <v>0</v>
      </c>
      <c r="BC72" s="488">
        <f t="shared" ca="1" si="15"/>
        <v>0</v>
      </c>
      <c r="BD72" s="488">
        <f t="shared" ca="1" si="15"/>
        <v>0</v>
      </c>
      <c r="BE72" s="488">
        <f t="shared" ca="1" si="15"/>
        <v>0</v>
      </c>
      <c r="BF72" s="488">
        <f t="shared" ca="1" si="15"/>
        <v>0</v>
      </c>
      <c r="BG72" s="488">
        <f t="shared" ca="1" si="15"/>
        <v>0</v>
      </c>
      <c r="BH72" s="488">
        <f t="shared" ca="1" si="15"/>
        <v>0</v>
      </c>
      <c r="BI72" s="488">
        <f t="shared" ca="1" si="15"/>
        <v>0</v>
      </c>
    </row>
    <row r="73" spans="1:61" outlineLevel="1" x14ac:dyDescent="0.15">
      <c r="A73" s="498">
        <v>20</v>
      </c>
      <c r="B73" s="488" t="str">
        <f t="shared" ca="1" si="16"/>
        <v/>
      </c>
      <c r="C73" s="488" t="str">
        <f t="shared" ca="1" si="16"/>
        <v/>
      </c>
      <c r="D73" s="488" t="str">
        <f t="shared" ca="1" si="16"/>
        <v/>
      </c>
      <c r="E73" s="488" t="str">
        <f t="shared" ca="1" si="16"/>
        <v/>
      </c>
      <c r="F73" s="488" t="str">
        <f t="shared" ca="1" si="16"/>
        <v/>
      </c>
      <c r="G73" s="488" t="str">
        <f t="shared" ca="1" si="16"/>
        <v/>
      </c>
      <c r="H73" s="488" t="str">
        <f t="shared" ca="1" si="16"/>
        <v/>
      </c>
      <c r="I73" s="488" t="str">
        <f t="shared" ca="1" si="16"/>
        <v/>
      </c>
      <c r="J73" s="488" t="str">
        <f t="shared" ca="1" si="16"/>
        <v/>
      </c>
      <c r="K73" s="488" t="str">
        <f t="shared" ca="1" si="16"/>
        <v/>
      </c>
      <c r="L73" s="488" t="str">
        <f t="shared" ca="1" si="16"/>
        <v/>
      </c>
      <c r="M73" s="488" t="str">
        <f t="shared" ca="1" si="16"/>
        <v/>
      </c>
      <c r="N73" s="488" t="str">
        <f t="shared" ca="1" si="16"/>
        <v/>
      </c>
      <c r="O73" s="488" t="str">
        <f t="shared" ca="1" si="16"/>
        <v/>
      </c>
      <c r="P73" s="488" t="str">
        <f t="shared" ca="1" si="16"/>
        <v/>
      </c>
      <c r="Q73" s="488" t="str">
        <f t="shared" ca="1" si="15"/>
        <v/>
      </c>
      <c r="R73" s="488" t="str">
        <f t="shared" ca="1" si="15"/>
        <v/>
      </c>
      <c r="S73" s="488" t="str">
        <f t="shared" ca="1" si="15"/>
        <v/>
      </c>
      <c r="T73" s="488" t="str">
        <f t="shared" ca="1" si="15"/>
        <v/>
      </c>
      <c r="U73" s="488">
        <f t="shared" ca="1" si="15"/>
        <v>0</v>
      </c>
      <c r="V73" s="488">
        <f t="shared" ca="1" si="15"/>
        <v>0</v>
      </c>
      <c r="W73" s="488">
        <f t="shared" ca="1" si="15"/>
        <v>0</v>
      </c>
      <c r="X73" s="488">
        <f t="shared" ca="1" si="15"/>
        <v>0</v>
      </c>
      <c r="Y73" s="488">
        <f t="shared" ca="1" si="15"/>
        <v>0</v>
      </c>
      <c r="Z73" s="488">
        <f t="shared" ca="1" si="15"/>
        <v>0</v>
      </c>
      <c r="AA73" s="488">
        <f t="shared" ca="1" si="15"/>
        <v>0</v>
      </c>
      <c r="AB73" s="488">
        <f t="shared" ca="1" si="15"/>
        <v>0</v>
      </c>
      <c r="AC73" s="488">
        <f t="shared" ca="1" si="15"/>
        <v>0</v>
      </c>
      <c r="AD73" s="488">
        <f t="shared" ca="1" si="15"/>
        <v>0</v>
      </c>
      <c r="AE73" s="488">
        <f t="shared" ca="1" si="15"/>
        <v>0</v>
      </c>
      <c r="AF73" s="488">
        <f t="shared" ca="1" si="15"/>
        <v>0</v>
      </c>
      <c r="AG73" s="488">
        <f t="shared" ca="1" si="15"/>
        <v>0</v>
      </c>
      <c r="AH73" s="488">
        <f t="shared" ca="1" si="15"/>
        <v>0</v>
      </c>
      <c r="AI73" s="488">
        <f t="shared" ca="1" si="15"/>
        <v>0</v>
      </c>
      <c r="AJ73" s="488">
        <f t="shared" ca="1" si="15"/>
        <v>0</v>
      </c>
      <c r="AK73" s="488">
        <f t="shared" ca="1" si="15"/>
        <v>0</v>
      </c>
      <c r="AL73" s="488">
        <f t="shared" ca="1" si="15"/>
        <v>0</v>
      </c>
      <c r="AM73" s="488">
        <f t="shared" ca="1" si="15"/>
        <v>0</v>
      </c>
      <c r="AN73" s="488">
        <f t="shared" ca="1" si="15"/>
        <v>0</v>
      </c>
      <c r="AO73" s="488">
        <f t="shared" ca="1" si="15"/>
        <v>0</v>
      </c>
      <c r="AP73" s="488">
        <f t="shared" ca="1" si="15"/>
        <v>0</v>
      </c>
      <c r="AQ73" s="488">
        <f t="shared" ca="1" si="15"/>
        <v>0</v>
      </c>
      <c r="AR73" s="488">
        <f t="shared" ca="1" si="15"/>
        <v>0</v>
      </c>
      <c r="AS73" s="488">
        <f t="shared" ca="1" si="15"/>
        <v>0</v>
      </c>
      <c r="AT73" s="488">
        <f t="shared" ca="1" si="15"/>
        <v>0</v>
      </c>
      <c r="AU73" s="488">
        <f t="shared" ca="1" si="15"/>
        <v>0</v>
      </c>
      <c r="AV73" s="488">
        <f t="shared" ca="1" si="15"/>
        <v>0</v>
      </c>
      <c r="AW73" s="488">
        <f t="shared" ca="1" si="15"/>
        <v>0</v>
      </c>
      <c r="AX73" s="488">
        <f t="shared" ca="1" si="15"/>
        <v>0</v>
      </c>
      <c r="AY73" s="488">
        <f t="shared" ca="1" si="15"/>
        <v>0</v>
      </c>
      <c r="AZ73" s="488">
        <f t="shared" ca="1" si="15"/>
        <v>0</v>
      </c>
      <c r="BA73" s="488">
        <f t="shared" ca="1" si="15"/>
        <v>0</v>
      </c>
      <c r="BB73" s="488">
        <f t="shared" ca="1" si="15"/>
        <v>0</v>
      </c>
      <c r="BC73" s="488">
        <f t="shared" ca="1" si="15"/>
        <v>0</v>
      </c>
      <c r="BD73" s="488">
        <f t="shared" ca="1" si="15"/>
        <v>0</v>
      </c>
      <c r="BE73" s="488">
        <f t="shared" ca="1" si="15"/>
        <v>0</v>
      </c>
      <c r="BF73" s="488">
        <f t="shared" ca="1" si="15"/>
        <v>0</v>
      </c>
      <c r="BG73" s="488">
        <f t="shared" ca="1" si="15"/>
        <v>0</v>
      </c>
      <c r="BH73" s="488">
        <f t="shared" ca="1" si="15"/>
        <v>0</v>
      </c>
      <c r="BI73" s="488">
        <f t="shared" ca="1" si="15"/>
        <v>0</v>
      </c>
    </row>
    <row r="74" spans="1:61" outlineLevel="1" x14ac:dyDescent="0.15">
      <c r="A74" s="498">
        <v>21</v>
      </c>
      <c r="B74" s="488" t="str">
        <f t="shared" ca="1" si="16"/>
        <v/>
      </c>
      <c r="C74" s="488" t="str">
        <f t="shared" ca="1" si="16"/>
        <v/>
      </c>
      <c r="D74" s="488" t="str">
        <f t="shared" ca="1" si="16"/>
        <v/>
      </c>
      <c r="E74" s="488" t="str">
        <f t="shared" ca="1" si="16"/>
        <v/>
      </c>
      <c r="F74" s="488" t="str">
        <f t="shared" ca="1" si="16"/>
        <v/>
      </c>
      <c r="G74" s="488" t="str">
        <f t="shared" ca="1" si="16"/>
        <v/>
      </c>
      <c r="H74" s="488" t="str">
        <f t="shared" ca="1" si="16"/>
        <v/>
      </c>
      <c r="I74" s="488" t="str">
        <f t="shared" ca="1" si="16"/>
        <v/>
      </c>
      <c r="J74" s="488" t="str">
        <f t="shared" ca="1" si="16"/>
        <v/>
      </c>
      <c r="K74" s="488" t="str">
        <f t="shared" ca="1" si="16"/>
        <v/>
      </c>
      <c r="L74" s="488" t="str">
        <f t="shared" ca="1" si="16"/>
        <v/>
      </c>
      <c r="M74" s="488" t="str">
        <f t="shared" ca="1" si="16"/>
        <v/>
      </c>
      <c r="N74" s="488" t="str">
        <f t="shared" ca="1" si="16"/>
        <v/>
      </c>
      <c r="O74" s="488" t="str">
        <f t="shared" ca="1" si="16"/>
        <v/>
      </c>
      <c r="P74" s="488" t="str">
        <f t="shared" ca="1" si="16"/>
        <v/>
      </c>
      <c r="Q74" s="488" t="str">
        <f t="shared" ca="1" si="15"/>
        <v/>
      </c>
      <c r="R74" s="488" t="str">
        <f t="shared" ca="1" si="15"/>
        <v/>
      </c>
      <c r="S74" s="488" t="str">
        <f t="shared" ca="1" si="15"/>
        <v/>
      </c>
      <c r="T74" s="488" t="str">
        <f t="shared" ca="1" si="15"/>
        <v/>
      </c>
      <c r="U74" s="488" t="str">
        <f t="shared" ca="1" si="15"/>
        <v/>
      </c>
      <c r="V74" s="488">
        <f t="shared" ca="1" si="15"/>
        <v>0</v>
      </c>
      <c r="W74" s="488">
        <f t="shared" ca="1" si="15"/>
        <v>0</v>
      </c>
      <c r="X74" s="488">
        <f t="shared" ca="1" si="15"/>
        <v>0</v>
      </c>
      <c r="Y74" s="488">
        <f t="shared" ca="1" si="15"/>
        <v>0</v>
      </c>
      <c r="Z74" s="488">
        <f t="shared" ca="1" si="15"/>
        <v>0</v>
      </c>
      <c r="AA74" s="488">
        <f t="shared" ca="1" si="15"/>
        <v>0</v>
      </c>
      <c r="AB74" s="488">
        <f t="shared" ca="1" si="15"/>
        <v>0</v>
      </c>
      <c r="AC74" s="488">
        <f t="shared" ca="1" si="15"/>
        <v>0</v>
      </c>
      <c r="AD74" s="488">
        <f t="shared" ca="1" si="15"/>
        <v>0</v>
      </c>
      <c r="AE74" s="488">
        <f t="shared" ca="1" si="15"/>
        <v>0</v>
      </c>
      <c r="AF74" s="488">
        <f t="shared" ca="1" si="15"/>
        <v>0</v>
      </c>
      <c r="AG74" s="488">
        <f t="shared" ca="1" si="15"/>
        <v>0</v>
      </c>
      <c r="AH74" s="488">
        <f t="shared" ca="1" si="15"/>
        <v>0</v>
      </c>
      <c r="AI74" s="488">
        <f t="shared" ca="1" si="15"/>
        <v>0</v>
      </c>
      <c r="AJ74" s="488">
        <f t="shared" ca="1" si="15"/>
        <v>0</v>
      </c>
      <c r="AK74" s="488">
        <f t="shared" ca="1" si="15"/>
        <v>0</v>
      </c>
      <c r="AL74" s="488">
        <f t="shared" ca="1" si="15"/>
        <v>0</v>
      </c>
      <c r="AM74" s="488">
        <f t="shared" ca="1" si="15"/>
        <v>0</v>
      </c>
      <c r="AN74" s="488">
        <f t="shared" ca="1" si="15"/>
        <v>0</v>
      </c>
      <c r="AO74" s="488">
        <f t="shared" ca="1" si="15"/>
        <v>0</v>
      </c>
      <c r="AP74" s="488">
        <f t="shared" ca="1" si="15"/>
        <v>0</v>
      </c>
      <c r="AQ74" s="488">
        <f t="shared" ca="1" si="15"/>
        <v>0</v>
      </c>
      <c r="AR74" s="488">
        <f t="shared" ca="1" si="15"/>
        <v>0</v>
      </c>
      <c r="AS74" s="488">
        <f t="shared" ca="1" si="15"/>
        <v>0</v>
      </c>
      <c r="AT74" s="488">
        <f t="shared" ca="1" si="15"/>
        <v>0</v>
      </c>
      <c r="AU74" s="488">
        <f t="shared" ref="AU74:CM79" ca="1" si="17">IF($A74&gt;AU$5,"",OFFSET(AU$53,0,-($A74-1)))</f>
        <v>0</v>
      </c>
      <c r="AV74" s="488">
        <f t="shared" ca="1" si="17"/>
        <v>0</v>
      </c>
      <c r="AW74" s="488">
        <f t="shared" ca="1" si="17"/>
        <v>0</v>
      </c>
      <c r="AX74" s="488">
        <f t="shared" ca="1" si="17"/>
        <v>0</v>
      </c>
      <c r="AY74" s="488">
        <f t="shared" ca="1" si="17"/>
        <v>0</v>
      </c>
      <c r="AZ74" s="488">
        <f t="shared" ca="1" si="17"/>
        <v>0</v>
      </c>
      <c r="BA74" s="488">
        <f t="shared" ca="1" si="17"/>
        <v>0</v>
      </c>
      <c r="BB74" s="488">
        <f t="shared" ca="1" si="17"/>
        <v>0</v>
      </c>
      <c r="BC74" s="488">
        <f t="shared" ca="1" si="17"/>
        <v>0</v>
      </c>
      <c r="BD74" s="488">
        <f t="shared" ca="1" si="17"/>
        <v>0</v>
      </c>
      <c r="BE74" s="488">
        <f t="shared" ca="1" si="17"/>
        <v>0</v>
      </c>
      <c r="BF74" s="488">
        <f t="shared" ca="1" si="17"/>
        <v>0</v>
      </c>
      <c r="BG74" s="488">
        <f t="shared" ca="1" si="17"/>
        <v>0</v>
      </c>
      <c r="BH74" s="488">
        <f t="shared" ca="1" si="17"/>
        <v>0</v>
      </c>
      <c r="BI74" s="488">
        <f t="shared" ca="1" si="17"/>
        <v>0</v>
      </c>
    </row>
    <row r="75" spans="1:61" outlineLevel="1" x14ac:dyDescent="0.15">
      <c r="A75" s="498">
        <v>22</v>
      </c>
      <c r="B75" s="488" t="str">
        <f t="shared" ca="1" si="16"/>
        <v/>
      </c>
      <c r="C75" s="488" t="str">
        <f t="shared" ca="1" si="16"/>
        <v/>
      </c>
      <c r="D75" s="488" t="str">
        <f t="shared" ca="1" si="16"/>
        <v/>
      </c>
      <c r="E75" s="488" t="str">
        <f t="shared" ca="1" si="16"/>
        <v/>
      </c>
      <c r="F75" s="488" t="str">
        <f t="shared" ca="1" si="16"/>
        <v/>
      </c>
      <c r="G75" s="488" t="str">
        <f t="shared" ca="1" si="16"/>
        <v/>
      </c>
      <c r="H75" s="488" t="str">
        <f t="shared" ca="1" si="16"/>
        <v/>
      </c>
      <c r="I75" s="488" t="str">
        <f t="shared" ca="1" si="16"/>
        <v/>
      </c>
      <c r="J75" s="488" t="str">
        <f t="shared" ca="1" si="16"/>
        <v/>
      </c>
      <c r="K75" s="488" t="str">
        <f t="shared" ca="1" si="16"/>
        <v/>
      </c>
      <c r="L75" s="488" t="str">
        <f t="shared" ca="1" si="16"/>
        <v/>
      </c>
      <c r="M75" s="488" t="str">
        <f t="shared" ca="1" si="16"/>
        <v/>
      </c>
      <c r="N75" s="488" t="str">
        <f t="shared" ca="1" si="16"/>
        <v/>
      </c>
      <c r="O75" s="488" t="str">
        <f t="shared" ca="1" si="16"/>
        <v/>
      </c>
      <c r="P75" s="488" t="str">
        <f t="shared" ca="1" si="16"/>
        <v/>
      </c>
      <c r="Q75" s="488" t="str">
        <f t="shared" ca="1" si="16"/>
        <v/>
      </c>
      <c r="R75" s="488" t="str">
        <f t="shared" ref="R75:BI80" ca="1" si="18">IF($A75&gt;R$5,"",OFFSET(R$53,0,-($A75-1)))</f>
        <v/>
      </c>
      <c r="S75" s="488" t="str">
        <f t="shared" ca="1" si="18"/>
        <v/>
      </c>
      <c r="T75" s="488" t="str">
        <f t="shared" ca="1" si="18"/>
        <v/>
      </c>
      <c r="U75" s="488" t="str">
        <f t="shared" ca="1" si="18"/>
        <v/>
      </c>
      <c r="V75" s="488" t="str">
        <f t="shared" ca="1" si="18"/>
        <v/>
      </c>
      <c r="W75" s="488">
        <f t="shared" ca="1" si="18"/>
        <v>0</v>
      </c>
      <c r="X75" s="488">
        <f t="shared" ca="1" si="18"/>
        <v>0</v>
      </c>
      <c r="Y75" s="488">
        <f t="shared" ca="1" si="18"/>
        <v>0</v>
      </c>
      <c r="Z75" s="488">
        <f t="shared" ca="1" si="18"/>
        <v>0</v>
      </c>
      <c r="AA75" s="488">
        <f t="shared" ca="1" si="18"/>
        <v>0</v>
      </c>
      <c r="AB75" s="488">
        <f t="shared" ca="1" si="18"/>
        <v>0</v>
      </c>
      <c r="AC75" s="488">
        <f t="shared" ca="1" si="18"/>
        <v>0</v>
      </c>
      <c r="AD75" s="488">
        <f t="shared" ca="1" si="18"/>
        <v>0</v>
      </c>
      <c r="AE75" s="488">
        <f t="shared" ca="1" si="18"/>
        <v>0</v>
      </c>
      <c r="AF75" s="488">
        <f t="shared" ca="1" si="18"/>
        <v>0</v>
      </c>
      <c r="AG75" s="488">
        <f t="shared" ca="1" si="18"/>
        <v>0</v>
      </c>
      <c r="AH75" s="488">
        <f t="shared" ca="1" si="18"/>
        <v>0</v>
      </c>
      <c r="AI75" s="488">
        <f t="shared" ca="1" si="18"/>
        <v>0</v>
      </c>
      <c r="AJ75" s="488">
        <f t="shared" ca="1" si="18"/>
        <v>0</v>
      </c>
      <c r="AK75" s="488">
        <f t="shared" ca="1" si="18"/>
        <v>0</v>
      </c>
      <c r="AL75" s="488">
        <f t="shared" ca="1" si="18"/>
        <v>0</v>
      </c>
      <c r="AM75" s="488">
        <f t="shared" ca="1" si="18"/>
        <v>0</v>
      </c>
      <c r="AN75" s="488">
        <f t="shared" ca="1" si="18"/>
        <v>0</v>
      </c>
      <c r="AO75" s="488">
        <f t="shared" ca="1" si="18"/>
        <v>0</v>
      </c>
      <c r="AP75" s="488">
        <f t="shared" ca="1" si="18"/>
        <v>0</v>
      </c>
      <c r="AQ75" s="488">
        <f t="shared" ca="1" si="18"/>
        <v>0</v>
      </c>
      <c r="AR75" s="488">
        <f t="shared" ca="1" si="18"/>
        <v>0</v>
      </c>
      <c r="AS75" s="488">
        <f t="shared" ca="1" si="18"/>
        <v>0</v>
      </c>
      <c r="AT75" s="488">
        <f t="shared" ca="1" si="18"/>
        <v>0</v>
      </c>
      <c r="AU75" s="488">
        <f t="shared" ca="1" si="18"/>
        <v>0</v>
      </c>
      <c r="AV75" s="488">
        <f t="shared" ca="1" si="18"/>
        <v>0</v>
      </c>
      <c r="AW75" s="488">
        <f t="shared" ca="1" si="18"/>
        <v>0</v>
      </c>
      <c r="AX75" s="488">
        <f t="shared" ca="1" si="18"/>
        <v>0</v>
      </c>
      <c r="AY75" s="488">
        <f t="shared" ca="1" si="18"/>
        <v>0</v>
      </c>
      <c r="AZ75" s="488">
        <f t="shared" ca="1" si="18"/>
        <v>0</v>
      </c>
      <c r="BA75" s="488">
        <f t="shared" ca="1" si="18"/>
        <v>0</v>
      </c>
      <c r="BB75" s="488">
        <f t="shared" ca="1" si="17"/>
        <v>0</v>
      </c>
      <c r="BC75" s="488">
        <f t="shared" ca="1" si="17"/>
        <v>0</v>
      </c>
      <c r="BD75" s="488">
        <f t="shared" ca="1" si="17"/>
        <v>0</v>
      </c>
      <c r="BE75" s="488">
        <f t="shared" ca="1" si="17"/>
        <v>0</v>
      </c>
      <c r="BF75" s="488">
        <f t="shared" ca="1" si="17"/>
        <v>0</v>
      </c>
      <c r="BG75" s="488">
        <f t="shared" ca="1" si="17"/>
        <v>0</v>
      </c>
      <c r="BH75" s="488">
        <f t="shared" ca="1" si="17"/>
        <v>0</v>
      </c>
      <c r="BI75" s="488">
        <f t="shared" ca="1" si="17"/>
        <v>0</v>
      </c>
    </row>
    <row r="76" spans="1:61" outlineLevel="1" x14ac:dyDescent="0.15">
      <c r="A76" s="498">
        <v>23</v>
      </c>
      <c r="B76" s="488" t="str">
        <f t="shared" ca="1" si="16"/>
        <v/>
      </c>
      <c r="C76" s="488" t="str">
        <f t="shared" ca="1" si="16"/>
        <v/>
      </c>
      <c r="D76" s="488" t="str">
        <f t="shared" ca="1" si="16"/>
        <v/>
      </c>
      <c r="E76" s="488" t="str">
        <f t="shared" ca="1" si="16"/>
        <v/>
      </c>
      <c r="F76" s="488" t="str">
        <f t="shared" ca="1" si="16"/>
        <v/>
      </c>
      <c r="G76" s="488" t="str">
        <f t="shared" ca="1" si="16"/>
        <v/>
      </c>
      <c r="H76" s="488" t="str">
        <f t="shared" ca="1" si="16"/>
        <v/>
      </c>
      <c r="I76" s="488" t="str">
        <f t="shared" ca="1" si="16"/>
        <v/>
      </c>
      <c r="J76" s="488" t="str">
        <f t="shared" ca="1" si="16"/>
        <v/>
      </c>
      <c r="K76" s="488" t="str">
        <f t="shared" ca="1" si="16"/>
        <v/>
      </c>
      <c r="L76" s="488" t="str">
        <f t="shared" ca="1" si="16"/>
        <v/>
      </c>
      <c r="M76" s="488" t="str">
        <f t="shared" ca="1" si="16"/>
        <v/>
      </c>
      <c r="N76" s="488" t="str">
        <f t="shared" ca="1" si="16"/>
        <v/>
      </c>
      <c r="O76" s="488" t="str">
        <f t="shared" ca="1" si="16"/>
        <v/>
      </c>
      <c r="P76" s="488" t="str">
        <f t="shared" ca="1" si="16"/>
        <v/>
      </c>
      <c r="Q76" s="488" t="str">
        <f t="shared" ca="1" si="16"/>
        <v/>
      </c>
      <c r="R76" s="488" t="str">
        <f t="shared" ca="1" si="18"/>
        <v/>
      </c>
      <c r="S76" s="488" t="str">
        <f t="shared" ca="1" si="18"/>
        <v/>
      </c>
      <c r="T76" s="488" t="str">
        <f t="shared" ca="1" si="18"/>
        <v/>
      </c>
      <c r="U76" s="488" t="str">
        <f t="shared" ca="1" si="18"/>
        <v/>
      </c>
      <c r="V76" s="488" t="str">
        <f t="shared" ca="1" si="18"/>
        <v/>
      </c>
      <c r="W76" s="488" t="str">
        <f t="shared" ca="1" si="18"/>
        <v/>
      </c>
      <c r="X76" s="488">
        <f t="shared" ca="1" si="18"/>
        <v>0</v>
      </c>
      <c r="Y76" s="488">
        <f t="shared" ca="1" si="18"/>
        <v>0</v>
      </c>
      <c r="Z76" s="488">
        <f t="shared" ca="1" si="18"/>
        <v>0</v>
      </c>
      <c r="AA76" s="488">
        <f t="shared" ca="1" si="18"/>
        <v>0</v>
      </c>
      <c r="AB76" s="488">
        <f t="shared" ca="1" si="18"/>
        <v>0</v>
      </c>
      <c r="AC76" s="488">
        <f t="shared" ca="1" si="18"/>
        <v>0</v>
      </c>
      <c r="AD76" s="488">
        <f t="shared" ca="1" si="18"/>
        <v>0</v>
      </c>
      <c r="AE76" s="488">
        <f t="shared" ca="1" si="18"/>
        <v>0</v>
      </c>
      <c r="AF76" s="488">
        <f t="shared" ca="1" si="18"/>
        <v>0</v>
      </c>
      <c r="AG76" s="488">
        <f t="shared" ca="1" si="18"/>
        <v>0</v>
      </c>
      <c r="AH76" s="488">
        <f t="shared" ca="1" si="18"/>
        <v>0</v>
      </c>
      <c r="AI76" s="488">
        <f t="shared" ca="1" si="18"/>
        <v>0</v>
      </c>
      <c r="AJ76" s="488">
        <f t="shared" ca="1" si="18"/>
        <v>0</v>
      </c>
      <c r="AK76" s="488">
        <f t="shared" ca="1" si="18"/>
        <v>0</v>
      </c>
      <c r="AL76" s="488">
        <f t="shared" ca="1" si="18"/>
        <v>0</v>
      </c>
      <c r="AM76" s="488">
        <f t="shared" ca="1" si="18"/>
        <v>0</v>
      </c>
      <c r="AN76" s="488">
        <f t="shared" ca="1" si="18"/>
        <v>0</v>
      </c>
      <c r="AO76" s="488">
        <f t="shared" ca="1" si="18"/>
        <v>0</v>
      </c>
      <c r="AP76" s="488">
        <f t="shared" ca="1" si="18"/>
        <v>0</v>
      </c>
      <c r="AQ76" s="488">
        <f t="shared" ca="1" si="18"/>
        <v>0</v>
      </c>
      <c r="AR76" s="488">
        <f t="shared" ca="1" si="18"/>
        <v>0</v>
      </c>
      <c r="AS76" s="488">
        <f t="shared" ca="1" si="18"/>
        <v>0</v>
      </c>
      <c r="AT76" s="488">
        <f t="shared" ca="1" si="18"/>
        <v>0</v>
      </c>
      <c r="AU76" s="488">
        <f t="shared" ca="1" si="18"/>
        <v>0</v>
      </c>
      <c r="AV76" s="488">
        <f t="shared" ca="1" si="18"/>
        <v>0</v>
      </c>
      <c r="AW76" s="488">
        <f t="shared" ca="1" si="18"/>
        <v>0</v>
      </c>
      <c r="AX76" s="488">
        <f t="shared" ca="1" si="18"/>
        <v>0</v>
      </c>
      <c r="AY76" s="488">
        <f t="shared" ca="1" si="18"/>
        <v>0</v>
      </c>
      <c r="AZ76" s="488">
        <f t="shared" ca="1" si="18"/>
        <v>0</v>
      </c>
      <c r="BA76" s="488">
        <f t="shared" ca="1" si="18"/>
        <v>0</v>
      </c>
      <c r="BB76" s="488">
        <f t="shared" ca="1" si="18"/>
        <v>0</v>
      </c>
      <c r="BC76" s="488">
        <f t="shared" ca="1" si="18"/>
        <v>0</v>
      </c>
      <c r="BD76" s="488">
        <f t="shared" ca="1" si="18"/>
        <v>0</v>
      </c>
      <c r="BE76" s="488">
        <f t="shared" ca="1" si="18"/>
        <v>0</v>
      </c>
      <c r="BF76" s="488">
        <f t="shared" ca="1" si="18"/>
        <v>0</v>
      </c>
      <c r="BG76" s="488">
        <f t="shared" ca="1" si="18"/>
        <v>0</v>
      </c>
      <c r="BH76" s="488">
        <f t="shared" ca="1" si="18"/>
        <v>0</v>
      </c>
      <c r="BI76" s="488">
        <f t="shared" ca="1" si="18"/>
        <v>0</v>
      </c>
    </row>
    <row r="77" spans="1:61" outlineLevel="1" x14ac:dyDescent="0.15">
      <c r="A77" s="498">
        <v>24</v>
      </c>
      <c r="B77" s="488" t="str">
        <f t="shared" ca="1" si="16"/>
        <v/>
      </c>
      <c r="C77" s="488" t="str">
        <f t="shared" ca="1" si="16"/>
        <v/>
      </c>
      <c r="D77" s="488" t="str">
        <f t="shared" ca="1" si="16"/>
        <v/>
      </c>
      <c r="E77" s="488" t="str">
        <f t="shared" ca="1" si="16"/>
        <v/>
      </c>
      <c r="F77" s="488" t="str">
        <f t="shared" ca="1" si="16"/>
        <v/>
      </c>
      <c r="G77" s="488" t="str">
        <f t="shared" ca="1" si="16"/>
        <v/>
      </c>
      <c r="H77" s="488" t="str">
        <f t="shared" ca="1" si="16"/>
        <v/>
      </c>
      <c r="I77" s="488" t="str">
        <f t="shared" ca="1" si="16"/>
        <v/>
      </c>
      <c r="J77" s="488" t="str">
        <f t="shared" ca="1" si="16"/>
        <v/>
      </c>
      <c r="K77" s="488" t="str">
        <f t="shared" ca="1" si="16"/>
        <v/>
      </c>
      <c r="L77" s="488" t="str">
        <f t="shared" ca="1" si="16"/>
        <v/>
      </c>
      <c r="M77" s="488" t="str">
        <f t="shared" ca="1" si="16"/>
        <v/>
      </c>
      <c r="N77" s="488" t="str">
        <f t="shared" ca="1" si="16"/>
        <v/>
      </c>
      <c r="O77" s="488" t="str">
        <f t="shared" ca="1" si="16"/>
        <v/>
      </c>
      <c r="P77" s="488" t="str">
        <f t="shared" ca="1" si="16"/>
        <v/>
      </c>
      <c r="Q77" s="488" t="str">
        <f t="shared" ca="1" si="16"/>
        <v/>
      </c>
      <c r="R77" s="488" t="str">
        <f t="shared" ca="1" si="18"/>
        <v/>
      </c>
      <c r="S77" s="488" t="str">
        <f t="shared" ca="1" si="18"/>
        <v/>
      </c>
      <c r="T77" s="488" t="str">
        <f t="shared" ca="1" si="18"/>
        <v/>
      </c>
      <c r="U77" s="488" t="str">
        <f t="shared" ca="1" si="18"/>
        <v/>
      </c>
      <c r="V77" s="488" t="str">
        <f t="shared" ca="1" si="18"/>
        <v/>
      </c>
      <c r="W77" s="488" t="str">
        <f t="shared" ca="1" si="18"/>
        <v/>
      </c>
      <c r="X77" s="488" t="str">
        <f t="shared" ca="1" si="18"/>
        <v/>
      </c>
      <c r="Y77" s="488">
        <f t="shared" ca="1" si="18"/>
        <v>0</v>
      </c>
      <c r="Z77" s="488">
        <f t="shared" ca="1" si="18"/>
        <v>0</v>
      </c>
      <c r="AA77" s="488">
        <f t="shared" ca="1" si="18"/>
        <v>0</v>
      </c>
      <c r="AB77" s="488">
        <f t="shared" ca="1" si="18"/>
        <v>0</v>
      </c>
      <c r="AC77" s="488">
        <f t="shared" ca="1" si="18"/>
        <v>0</v>
      </c>
      <c r="AD77" s="488">
        <f t="shared" ca="1" si="18"/>
        <v>0</v>
      </c>
      <c r="AE77" s="488">
        <f t="shared" ca="1" si="18"/>
        <v>0</v>
      </c>
      <c r="AF77" s="488">
        <f t="shared" ca="1" si="18"/>
        <v>0</v>
      </c>
      <c r="AG77" s="488">
        <f t="shared" ca="1" si="18"/>
        <v>0</v>
      </c>
      <c r="AH77" s="488">
        <f t="shared" ca="1" si="18"/>
        <v>0</v>
      </c>
      <c r="AI77" s="488">
        <f t="shared" ca="1" si="18"/>
        <v>0</v>
      </c>
      <c r="AJ77" s="488">
        <f t="shared" ca="1" si="18"/>
        <v>0</v>
      </c>
      <c r="AK77" s="488">
        <f t="shared" ca="1" si="18"/>
        <v>0</v>
      </c>
      <c r="AL77" s="488">
        <f t="shared" ca="1" si="18"/>
        <v>0</v>
      </c>
      <c r="AM77" s="488">
        <f t="shared" ca="1" si="18"/>
        <v>0</v>
      </c>
      <c r="AN77" s="488">
        <f t="shared" ca="1" si="18"/>
        <v>0</v>
      </c>
      <c r="AO77" s="488">
        <f t="shared" ca="1" si="18"/>
        <v>0</v>
      </c>
      <c r="AP77" s="488">
        <f t="shared" ca="1" si="18"/>
        <v>0</v>
      </c>
      <c r="AQ77" s="488">
        <f t="shared" ca="1" si="18"/>
        <v>0</v>
      </c>
      <c r="AR77" s="488">
        <f t="shared" ca="1" si="18"/>
        <v>0</v>
      </c>
      <c r="AS77" s="488">
        <f t="shared" ca="1" si="18"/>
        <v>0</v>
      </c>
      <c r="AT77" s="488">
        <f t="shared" ca="1" si="18"/>
        <v>0</v>
      </c>
      <c r="AU77" s="488">
        <f t="shared" ca="1" si="18"/>
        <v>0</v>
      </c>
      <c r="AV77" s="488">
        <f t="shared" ca="1" si="18"/>
        <v>0</v>
      </c>
      <c r="AW77" s="488">
        <f t="shared" ca="1" si="18"/>
        <v>0</v>
      </c>
      <c r="AX77" s="488">
        <f t="shared" ca="1" si="18"/>
        <v>0</v>
      </c>
      <c r="AY77" s="488">
        <f t="shared" ca="1" si="18"/>
        <v>0</v>
      </c>
      <c r="AZ77" s="488">
        <f t="shared" ca="1" si="18"/>
        <v>0</v>
      </c>
      <c r="BA77" s="488">
        <f t="shared" ca="1" si="18"/>
        <v>0</v>
      </c>
      <c r="BB77" s="488">
        <f t="shared" ca="1" si="18"/>
        <v>0</v>
      </c>
      <c r="BC77" s="488">
        <f t="shared" ca="1" si="18"/>
        <v>0</v>
      </c>
      <c r="BD77" s="488">
        <f t="shared" ca="1" si="18"/>
        <v>0</v>
      </c>
      <c r="BE77" s="488">
        <f t="shared" ca="1" si="18"/>
        <v>0</v>
      </c>
      <c r="BF77" s="488">
        <f t="shared" ca="1" si="18"/>
        <v>0</v>
      </c>
      <c r="BG77" s="488">
        <f t="shared" ca="1" si="18"/>
        <v>0</v>
      </c>
      <c r="BH77" s="488">
        <f t="shared" ca="1" si="18"/>
        <v>0</v>
      </c>
      <c r="BI77" s="488">
        <f t="shared" ca="1" si="18"/>
        <v>0</v>
      </c>
    </row>
    <row r="78" spans="1:61" outlineLevel="1" x14ac:dyDescent="0.15">
      <c r="A78" s="498">
        <v>25</v>
      </c>
      <c r="B78" s="488" t="str">
        <f t="shared" ca="1" si="16"/>
        <v/>
      </c>
      <c r="C78" s="488" t="str">
        <f t="shared" ca="1" si="16"/>
        <v/>
      </c>
      <c r="D78" s="488" t="str">
        <f t="shared" ca="1" si="16"/>
        <v/>
      </c>
      <c r="E78" s="488" t="str">
        <f t="shared" ca="1" si="16"/>
        <v/>
      </c>
      <c r="F78" s="488" t="str">
        <f t="shared" ca="1" si="16"/>
        <v/>
      </c>
      <c r="G78" s="488" t="str">
        <f t="shared" ca="1" si="16"/>
        <v/>
      </c>
      <c r="H78" s="488" t="str">
        <f t="shared" ca="1" si="16"/>
        <v/>
      </c>
      <c r="I78" s="488" t="str">
        <f t="shared" ca="1" si="16"/>
        <v/>
      </c>
      <c r="J78" s="488" t="str">
        <f t="shared" ca="1" si="16"/>
        <v/>
      </c>
      <c r="K78" s="488" t="str">
        <f t="shared" ca="1" si="16"/>
        <v/>
      </c>
      <c r="L78" s="488" t="str">
        <f t="shared" ca="1" si="16"/>
        <v/>
      </c>
      <c r="M78" s="488" t="str">
        <f t="shared" ca="1" si="16"/>
        <v/>
      </c>
      <c r="N78" s="488" t="str">
        <f t="shared" ca="1" si="16"/>
        <v/>
      </c>
      <c r="O78" s="488" t="str">
        <f t="shared" ca="1" si="16"/>
        <v/>
      </c>
      <c r="P78" s="488" t="str">
        <f t="shared" ca="1" si="16"/>
        <v/>
      </c>
      <c r="Q78" s="488" t="str">
        <f t="shared" ca="1" si="16"/>
        <v/>
      </c>
      <c r="R78" s="488" t="str">
        <f t="shared" ca="1" si="18"/>
        <v/>
      </c>
      <c r="S78" s="488" t="str">
        <f t="shared" ca="1" si="18"/>
        <v/>
      </c>
      <c r="T78" s="488" t="str">
        <f t="shared" ca="1" si="18"/>
        <v/>
      </c>
      <c r="U78" s="488" t="str">
        <f t="shared" ca="1" si="18"/>
        <v/>
      </c>
      <c r="V78" s="488" t="str">
        <f t="shared" ca="1" si="18"/>
        <v/>
      </c>
      <c r="W78" s="488" t="str">
        <f t="shared" ca="1" si="18"/>
        <v/>
      </c>
      <c r="X78" s="488" t="str">
        <f t="shared" ca="1" si="18"/>
        <v/>
      </c>
      <c r="Y78" s="488" t="str">
        <f t="shared" ca="1" si="18"/>
        <v/>
      </c>
      <c r="Z78" s="488">
        <f t="shared" ca="1" si="18"/>
        <v>0</v>
      </c>
      <c r="AA78" s="488">
        <f t="shared" ca="1" si="18"/>
        <v>0</v>
      </c>
      <c r="AB78" s="488">
        <f t="shared" ca="1" si="18"/>
        <v>0</v>
      </c>
      <c r="AC78" s="488">
        <f t="shared" ca="1" si="18"/>
        <v>0</v>
      </c>
      <c r="AD78" s="488">
        <f t="shared" ca="1" si="18"/>
        <v>0</v>
      </c>
      <c r="AE78" s="488">
        <f t="shared" ca="1" si="18"/>
        <v>0</v>
      </c>
      <c r="AF78" s="488">
        <f t="shared" ca="1" si="18"/>
        <v>0</v>
      </c>
      <c r="AG78" s="488">
        <f t="shared" ca="1" si="18"/>
        <v>0</v>
      </c>
      <c r="AH78" s="488">
        <f t="shared" ca="1" si="18"/>
        <v>0</v>
      </c>
      <c r="AI78" s="488">
        <f t="shared" ca="1" si="18"/>
        <v>0</v>
      </c>
      <c r="AJ78" s="488">
        <f t="shared" ca="1" si="18"/>
        <v>0</v>
      </c>
      <c r="AK78" s="488">
        <f t="shared" ca="1" si="18"/>
        <v>0</v>
      </c>
      <c r="AL78" s="488">
        <f t="shared" ca="1" si="18"/>
        <v>0</v>
      </c>
      <c r="AM78" s="488">
        <f t="shared" ca="1" si="18"/>
        <v>0</v>
      </c>
      <c r="AN78" s="488">
        <f t="shared" ca="1" si="18"/>
        <v>0</v>
      </c>
      <c r="AO78" s="488">
        <f t="shared" ca="1" si="18"/>
        <v>0</v>
      </c>
      <c r="AP78" s="488">
        <f t="shared" ca="1" si="18"/>
        <v>0</v>
      </c>
      <c r="AQ78" s="488">
        <f t="shared" ca="1" si="18"/>
        <v>0</v>
      </c>
      <c r="AR78" s="488">
        <f t="shared" ca="1" si="18"/>
        <v>0</v>
      </c>
      <c r="AS78" s="488">
        <f t="shared" ca="1" si="18"/>
        <v>0</v>
      </c>
      <c r="AT78" s="488">
        <f t="shared" ca="1" si="18"/>
        <v>0</v>
      </c>
      <c r="AU78" s="488">
        <f t="shared" ca="1" si="18"/>
        <v>0</v>
      </c>
      <c r="AV78" s="488">
        <f t="shared" ca="1" si="18"/>
        <v>0</v>
      </c>
      <c r="AW78" s="488">
        <f t="shared" ca="1" si="18"/>
        <v>0</v>
      </c>
      <c r="AX78" s="488">
        <f t="shared" ca="1" si="18"/>
        <v>0</v>
      </c>
      <c r="AY78" s="488">
        <f t="shared" ca="1" si="18"/>
        <v>0</v>
      </c>
      <c r="AZ78" s="488">
        <f t="shared" ca="1" si="18"/>
        <v>0</v>
      </c>
      <c r="BA78" s="488">
        <f t="shared" ca="1" si="18"/>
        <v>0</v>
      </c>
      <c r="BB78" s="488">
        <f t="shared" ca="1" si="18"/>
        <v>0</v>
      </c>
      <c r="BC78" s="488">
        <f t="shared" ca="1" si="18"/>
        <v>0</v>
      </c>
      <c r="BD78" s="488">
        <f t="shared" ca="1" si="18"/>
        <v>0</v>
      </c>
      <c r="BE78" s="488">
        <f t="shared" ca="1" si="18"/>
        <v>0</v>
      </c>
      <c r="BF78" s="488">
        <f t="shared" ca="1" si="18"/>
        <v>0</v>
      </c>
      <c r="BG78" s="488">
        <f t="shared" ca="1" si="18"/>
        <v>0</v>
      </c>
      <c r="BH78" s="488">
        <f t="shared" ca="1" si="18"/>
        <v>0</v>
      </c>
      <c r="BI78" s="488">
        <f t="shared" ca="1" si="18"/>
        <v>0</v>
      </c>
    </row>
    <row r="79" spans="1:61" outlineLevel="1" x14ac:dyDescent="0.15">
      <c r="A79" s="498">
        <v>26</v>
      </c>
      <c r="B79" s="488" t="str">
        <f t="shared" ca="1" si="16"/>
        <v/>
      </c>
      <c r="C79" s="488" t="str">
        <f t="shared" ca="1" si="16"/>
        <v/>
      </c>
      <c r="D79" s="488" t="str">
        <f t="shared" ca="1" si="16"/>
        <v/>
      </c>
      <c r="E79" s="488" t="str">
        <f t="shared" ca="1" si="16"/>
        <v/>
      </c>
      <c r="F79" s="488" t="str">
        <f t="shared" ca="1" si="16"/>
        <v/>
      </c>
      <c r="G79" s="488" t="str">
        <f t="shared" ca="1" si="16"/>
        <v/>
      </c>
      <c r="H79" s="488" t="str">
        <f t="shared" ca="1" si="16"/>
        <v/>
      </c>
      <c r="I79" s="488" t="str">
        <f t="shared" ca="1" si="16"/>
        <v/>
      </c>
      <c r="J79" s="488" t="str">
        <f t="shared" ca="1" si="16"/>
        <v/>
      </c>
      <c r="K79" s="488" t="str">
        <f t="shared" ca="1" si="16"/>
        <v/>
      </c>
      <c r="L79" s="488" t="str">
        <f t="shared" ca="1" si="16"/>
        <v/>
      </c>
      <c r="M79" s="488" t="str">
        <f t="shared" ca="1" si="16"/>
        <v/>
      </c>
      <c r="N79" s="488" t="str">
        <f t="shared" ca="1" si="16"/>
        <v/>
      </c>
      <c r="O79" s="488" t="str">
        <f t="shared" ca="1" si="16"/>
        <v/>
      </c>
      <c r="P79" s="488" t="str">
        <f t="shared" ca="1" si="16"/>
        <v/>
      </c>
      <c r="Q79" s="488" t="str">
        <f t="shared" ca="1" si="16"/>
        <v/>
      </c>
      <c r="R79" s="488" t="str">
        <f t="shared" ca="1" si="18"/>
        <v/>
      </c>
      <c r="S79" s="488" t="str">
        <f t="shared" ca="1" si="18"/>
        <v/>
      </c>
      <c r="T79" s="488" t="str">
        <f t="shared" ca="1" si="18"/>
        <v/>
      </c>
      <c r="U79" s="488" t="str">
        <f t="shared" ca="1" si="18"/>
        <v/>
      </c>
      <c r="V79" s="488" t="str">
        <f t="shared" ca="1" si="18"/>
        <v/>
      </c>
      <c r="W79" s="488" t="str">
        <f t="shared" ca="1" si="18"/>
        <v/>
      </c>
      <c r="X79" s="488" t="str">
        <f t="shared" ca="1" si="18"/>
        <v/>
      </c>
      <c r="Y79" s="488" t="str">
        <f t="shared" ca="1" si="18"/>
        <v/>
      </c>
      <c r="Z79" s="488" t="str">
        <f t="shared" ca="1" si="18"/>
        <v/>
      </c>
      <c r="AA79" s="488">
        <f t="shared" ca="1" si="18"/>
        <v>0</v>
      </c>
      <c r="AB79" s="488">
        <f t="shared" ca="1" si="18"/>
        <v>0</v>
      </c>
      <c r="AC79" s="488">
        <f t="shared" ca="1" si="18"/>
        <v>0</v>
      </c>
      <c r="AD79" s="488">
        <f t="shared" ca="1" si="18"/>
        <v>0</v>
      </c>
      <c r="AE79" s="488">
        <f t="shared" ca="1" si="18"/>
        <v>0</v>
      </c>
      <c r="AF79" s="488">
        <f t="shared" ca="1" si="18"/>
        <v>0</v>
      </c>
      <c r="AG79" s="488">
        <f t="shared" ca="1" si="18"/>
        <v>0</v>
      </c>
      <c r="AH79" s="488">
        <f t="shared" ca="1" si="18"/>
        <v>0</v>
      </c>
      <c r="AI79" s="488">
        <f t="shared" ca="1" si="18"/>
        <v>0</v>
      </c>
      <c r="AJ79" s="488">
        <f t="shared" ca="1" si="18"/>
        <v>0</v>
      </c>
      <c r="AK79" s="488">
        <f t="shared" ca="1" si="18"/>
        <v>0</v>
      </c>
      <c r="AL79" s="488">
        <f t="shared" ca="1" si="18"/>
        <v>0</v>
      </c>
      <c r="AM79" s="488">
        <f t="shared" ca="1" si="18"/>
        <v>0</v>
      </c>
      <c r="AN79" s="488">
        <f t="shared" ca="1" si="18"/>
        <v>0</v>
      </c>
      <c r="AO79" s="488">
        <f t="shared" ca="1" si="18"/>
        <v>0</v>
      </c>
      <c r="AP79" s="488">
        <f t="shared" ca="1" si="18"/>
        <v>0</v>
      </c>
      <c r="AQ79" s="488">
        <f t="shared" ca="1" si="18"/>
        <v>0</v>
      </c>
      <c r="AR79" s="488">
        <f t="shared" ca="1" si="18"/>
        <v>0</v>
      </c>
      <c r="AS79" s="488">
        <f t="shared" ca="1" si="18"/>
        <v>0</v>
      </c>
      <c r="AT79" s="488">
        <f t="shared" ca="1" si="18"/>
        <v>0</v>
      </c>
      <c r="AU79" s="488">
        <f t="shared" ca="1" si="18"/>
        <v>0</v>
      </c>
      <c r="AV79" s="488">
        <f t="shared" ca="1" si="18"/>
        <v>0</v>
      </c>
      <c r="AW79" s="488">
        <f t="shared" ca="1" si="18"/>
        <v>0</v>
      </c>
      <c r="AX79" s="488">
        <f t="shared" ca="1" si="18"/>
        <v>0</v>
      </c>
      <c r="AY79" s="488">
        <f t="shared" ca="1" si="18"/>
        <v>0</v>
      </c>
      <c r="AZ79" s="488">
        <f t="shared" ca="1" si="18"/>
        <v>0</v>
      </c>
      <c r="BA79" s="488">
        <f t="shared" ca="1" si="18"/>
        <v>0</v>
      </c>
      <c r="BB79" s="488">
        <f t="shared" ca="1" si="18"/>
        <v>0</v>
      </c>
      <c r="BC79" s="488">
        <f t="shared" ca="1" si="18"/>
        <v>0</v>
      </c>
      <c r="BD79" s="488">
        <f t="shared" ca="1" si="18"/>
        <v>0</v>
      </c>
      <c r="BE79" s="488">
        <f t="shared" ca="1" si="18"/>
        <v>0</v>
      </c>
      <c r="BF79" s="488">
        <f t="shared" ca="1" si="18"/>
        <v>0</v>
      </c>
      <c r="BG79" s="488">
        <f t="shared" ca="1" si="18"/>
        <v>0</v>
      </c>
      <c r="BH79" s="488">
        <f t="shared" ca="1" si="18"/>
        <v>0</v>
      </c>
      <c r="BI79" s="488">
        <f t="shared" ca="1" si="18"/>
        <v>0</v>
      </c>
    </row>
    <row r="80" spans="1:61" outlineLevel="1" x14ac:dyDescent="0.15">
      <c r="A80" s="498">
        <v>27</v>
      </c>
      <c r="B80" s="488" t="str">
        <f t="shared" ca="1" si="16"/>
        <v/>
      </c>
      <c r="C80" s="488" t="str">
        <f t="shared" ca="1" si="16"/>
        <v/>
      </c>
      <c r="D80" s="488" t="str">
        <f t="shared" ca="1" si="16"/>
        <v/>
      </c>
      <c r="E80" s="488" t="str">
        <f t="shared" ca="1" si="16"/>
        <v/>
      </c>
      <c r="F80" s="488" t="str">
        <f t="shared" ca="1" si="16"/>
        <v/>
      </c>
      <c r="G80" s="488" t="str">
        <f t="shared" ca="1" si="16"/>
        <v/>
      </c>
      <c r="H80" s="488" t="str">
        <f t="shared" ca="1" si="16"/>
        <v/>
      </c>
      <c r="I80" s="488" t="str">
        <f t="shared" ca="1" si="16"/>
        <v/>
      </c>
      <c r="J80" s="488" t="str">
        <f t="shared" ca="1" si="16"/>
        <v/>
      </c>
      <c r="K80" s="488" t="str">
        <f t="shared" ca="1" si="16"/>
        <v/>
      </c>
      <c r="L80" s="488" t="str">
        <f t="shared" ca="1" si="16"/>
        <v/>
      </c>
      <c r="M80" s="488" t="str">
        <f t="shared" ca="1" si="16"/>
        <v/>
      </c>
      <c r="N80" s="488" t="str">
        <f t="shared" ca="1" si="16"/>
        <v/>
      </c>
      <c r="O80" s="488" t="str">
        <f t="shared" ca="1" si="16"/>
        <v/>
      </c>
      <c r="P80" s="488" t="str">
        <f t="shared" ca="1" si="16"/>
        <v/>
      </c>
      <c r="Q80" s="488" t="str">
        <f t="shared" ca="1" si="16"/>
        <v/>
      </c>
      <c r="R80" s="488" t="str">
        <f t="shared" ca="1" si="18"/>
        <v/>
      </c>
      <c r="S80" s="488" t="str">
        <f t="shared" ca="1" si="18"/>
        <v/>
      </c>
      <c r="T80" s="488" t="str">
        <f t="shared" ca="1" si="18"/>
        <v/>
      </c>
      <c r="U80" s="488" t="str">
        <f t="shared" ca="1" si="18"/>
        <v/>
      </c>
      <c r="V80" s="488" t="str">
        <f t="shared" ca="1" si="18"/>
        <v/>
      </c>
      <c r="W80" s="488" t="str">
        <f t="shared" ca="1" si="18"/>
        <v/>
      </c>
      <c r="X80" s="488" t="str">
        <f t="shared" ca="1" si="18"/>
        <v/>
      </c>
      <c r="Y80" s="488" t="str">
        <f t="shared" ca="1" si="18"/>
        <v/>
      </c>
      <c r="Z80" s="488" t="str">
        <f t="shared" ca="1" si="18"/>
        <v/>
      </c>
      <c r="AA80" s="488" t="str">
        <f t="shared" ca="1" si="18"/>
        <v/>
      </c>
      <c r="AB80" s="488">
        <f t="shared" ca="1" si="18"/>
        <v>0</v>
      </c>
      <c r="AC80" s="488">
        <f t="shared" ca="1" si="18"/>
        <v>0</v>
      </c>
      <c r="AD80" s="488">
        <f t="shared" ca="1" si="18"/>
        <v>0</v>
      </c>
      <c r="AE80" s="488">
        <f t="shared" ca="1" si="18"/>
        <v>0</v>
      </c>
      <c r="AF80" s="488">
        <f t="shared" ca="1" si="18"/>
        <v>0</v>
      </c>
      <c r="AG80" s="488">
        <f t="shared" ca="1" si="18"/>
        <v>0</v>
      </c>
      <c r="AH80" s="488">
        <f t="shared" ca="1" si="18"/>
        <v>0</v>
      </c>
      <c r="AI80" s="488">
        <f t="shared" ca="1" si="18"/>
        <v>0</v>
      </c>
      <c r="AJ80" s="488">
        <f t="shared" ca="1" si="18"/>
        <v>0</v>
      </c>
      <c r="AK80" s="488">
        <f t="shared" ca="1" si="18"/>
        <v>0</v>
      </c>
      <c r="AL80" s="488">
        <f t="shared" ca="1" si="18"/>
        <v>0</v>
      </c>
      <c r="AM80" s="488">
        <f t="shared" ca="1" si="18"/>
        <v>0</v>
      </c>
      <c r="AN80" s="488">
        <f t="shared" ca="1" si="18"/>
        <v>0</v>
      </c>
      <c r="AO80" s="488">
        <f t="shared" ca="1" si="18"/>
        <v>0</v>
      </c>
      <c r="AP80" s="488">
        <f t="shared" ca="1" si="18"/>
        <v>0</v>
      </c>
      <c r="AQ80" s="488">
        <f t="shared" ca="1" si="18"/>
        <v>0</v>
      </c>
      <c r="AR80" s="488">
        <f t="shared" ca="1" si="18"/>
        <v>0</v>
      </c>
      <c r="AS80" s="488">
        <f t="shared" ca="1" si="18"/>
        <v>0</v>
      </c>
      <c r="AT80" s="488">
        <f t="shared" ca="1" si="18"/>
        <v>0</v>
      </c>
      <c r="AU80" s="488">
        <f t="shared" ca="1" si="18"/>
        <v>0</v>
      </c>
      <c r="AV80" s="488">
        <f t="shared" ca="1" si="18"/>
        <v>0</v>
      </c>
      <c r="AW80" s="488">
        <f t="shared" ca="1" si="18"/>
        <v>0</v>
      </c>
      <c r="AX80" s="488">
        <f t="shared" ca="1" si="18"/>
        <v>0</v>
      </c>
      <c r="AY80" s="488">
        <f t="shared" ca="1" si="18"/>
        <v>0</v>
      </c>
      <c r="AZ80" s="488">
        <f t="shared" ca="1" si="18"/>
        <v>0</v>
      </c>
      <c r="BA80" s="488">
        <f t="shared" ca="1" si="18"/>
        <v>0</v>
      </c>
      <c r="BB80" s="488">
        <f t="shared" ca="1" si="18"/>
        <v>0</v>
      </c>
      <c r="BC80" s="488">
        <f t="shared" ca="1" si="18"/>
        <v>0</v>
      </c>
      <c r="BD80" s="488">
        <f t="shared" ca="1" si="18"/>
        <v>0</v>
      </c>
      <c r="BE80" s="488">
        <f t="shared" ca="1" si="18"/>
        <v>0</v>
      </c>
      <c r="BF80" s="488">
        <f t="shared" ca="1" si="18"/>
        <v>0</v>
      </c>
      <c r="BG80" s="488">
        <f t="shared" ca="1" si="18"/>
        <v>0</v>
      </c>
      <c r="BH80" s="488">
        <f t="shared" ca="1" si="18"/>
        <v>0</v>
      </c>
      <c r="BI80" s="488">
        <f ca="1">IF($A80&gt;BI$5,"",OFFSET(BI$53,0,-($A80-1)))</f>
        <v>0</v>
      </c>
    </row>
    <row r="81" spans="1:61" outlineLevel="1" x14ac:dyDescent="0.15">
      <c r="A81" s="498">
        <v>28</v>
      </c>
      <c r="B81" s="488" t="str">
        <f t="shared" ca="1" si="16"/>
        <v/>
      </c>
      <c r="C81" s="488" t="str">
        <f t="shared" ca="1" si="16"/>
        <v/>
      </c>
      <c r="D81" s="488" t="str">
        <f t="shared" ca="1" si="16"/>
        <v/>
      </c>
      <c r="E81" s="488" t="str">
        <f t="shared" ca="1" si="16"/>
        <v/>
      </c>
      <c r="F81" s="488" t="str">
        <f t="shared" ca="1" si="16"/>
        <v/>
      </c>
      <c r="G81" s="488" t="str">
        <f t="shared" ca="1" si="16"/>
        <v/>
      </c>
      <c r="H81" s="488" t="str">
        <f t="shared" ca="1" si="16"/>
        <v/>
      </c>
      <c r="I81" s="488" t="str">
        <f t="shared" ca="1" si="16"/>
        <v/>
      </c>
      <c r="J81" s="488" t="str">
        <f t="shared" ca="1" si="16"/>
        <v/>
      </c>
      <c r="K81" s="488" t="str">
        <f t="shared" ca="1" si="16"/>
        <v/>
      </c>
      <c r="L81" s="488" t="str">
        <f t="shared" ca="1" si="16"/>
        <v/>
      </c>
      <c r="M81" s="488" t="str">
        <f t="shared" ca="1" si="16"/>
        <v/>
      </c>
      <c r="N81" s="488" t="str">
        <f t="shared" ca="1" si="16"/>
        <v/>
      </c>
      <c r="O81" s="488" t="str">
        <f t="shared" ca="1" si="16"/>
        <v/>
      </c>
      <c r="P81" s="488" t="str">
        <f t="shared" ca="1" si="16"/>
        <v/>
      </c>
      <c r="Q81" s="488" t="str">
        <f t="shared" ca="1" si="16"/>
        <v/>
      </c>
      <c r="R81" s="488" t="str">
        <f t="shared" ref="R81:BI86" ca="1" si="19">IF($A81&gt;R$5,"",OFFSET(R$53,0,-($A81-1)))</f>
        <v/>
      </c>
      <c r="S81" s="488" t="str">
        <f t="shared" ca="1" si="19"/>
        <v/>
      </c>
      <c r="T81" s="488" t="str">
        <f t="shared" ca="1" si="19"/>
        <v/>
      </c>
      <c r="U81" s="488" t="str">
        <f t="shared" ca="1" si="19"/>
        <v/>
      </c>
      <c r="V81" s="488" t="str">
        <f t="shared" ca="1" si="19"/>
        <v/>
      </c>
      <c r="W81" s="488" t="str">
        <f t="shared" ca="1" si="19"/>
        <v/>
      </c>
      <c r="X81" s="488" t="str">
        <f t="shared" ca="1" si="19"/>
        <v/>
      </c>
      <c r="Y81" s="488" t="str">
        <f t="shared" ca="1" si="19"/>
        <v/>
      </c>
      <c r="Z81" s="488" t="str">
        <f t="shared" ca="1" si="19"/>
        <v/>
      </c>
      <c r="AA81" s="488" t="str">
        <f t="shared" ca="1" si="19"/>
        <v/>
      </c>
      <c r="AB81" s="488" t="str">
        <f t="shared" ca="1" si="19"/>
        <v/>
      </c>
      <c r="AC81" s="488">
        <f t="shared" ca="1" si="19"/>
        <v>0</v>
      </c>
      <c r="AD81" s="488">
        <f t="shared" ca="1" si="19"/>
        <v>0</v>
      </c>
      <c r="AE81" s="488">
        <f t="shared" ca="1" si="19"/>
        <v>0</v>
      </c>
      <c r="AF81" s="488">
        <f t="shared" ca="1" si="19"/>
        <v>0</v>
      </c>
      <c r="AG81" s="488">
        <f t="shared" ca="1" si="19"/>
        <v>0</v>
      </c>
      <c r="AH81" s="488">
        <f t="shared" ca="1" si="19"/>
        <v>0</v>
      </c>
      <c r="AI81" s="488">
        <f t="shared" ca="1" si="19"/>
        <v>0</v>
      </c>
      <c r="AJ81" s="488">
        <f t="shared" ca="1" si="19"/>
        <v>0</v>
      </c>
      <c r="AK81" s="488">
        <f t="shared" ca="1" si="19"/>
        <v>0</v>
      </c>
      <c r="AL81" s="488">
        <f t="shared" ca="1" si="19"/>
        <v>0</v>
      </c>
      <c r="AM81" s="488">
        <f t="shared" ca="1" si="19"/>
        <v>0</v>
      </c>
      <c r="AN81" s="488">
        <f t="shared" ca="1" si="19"/>
        <v>0</v>
      </c>
      <c r="AO81" s="488">
        <f t="shared" ca="1" si="19"/>
        <v>0</v>
      </c>
      <c r="AP81" s="488">
        <f t="shared" ca="1" si="19"/>
        <v>0</v>
      </c>
      <c r="AQ81" s="488">
        <f t="shared" ca="1" si="19"/>
        <v>0</v>
      </c>
      <c r="AR81" s="488">
        <f t="shared" ca="1" si="19"/>
        <v>0</v>
      </c>
      <c r="AS81" s="488">
        <f t="shared" ca="1" si="19"/>
        <v>0</v>
      </c>
      <c r="AT81" s="488">
        <f t="shared" ca="1" si="19"/>
        <v>0</v>
      </c>
      <c r="AU81" s="488">
        <f t="shared" ca="1" si="19"/>
        <v>0</v>
      </c>
      <c r="AV81" s="488">
        <f t="shared" ca="1" si="19"/>
        <v>0</v>
      </c>
      <c r="AW81" s="488">
        <f t="shared" ca="1" si="19"/>
        <v>0</v>
      </c>
      <c r="AX81" s="488">
        <f t="shared" ca="1" si="19"/>
        <v>0</v>
      </c>
      <c r="AY81" s="488">
        <f t="shared" ca="1" si="19"/>
        <v>0</v>
      </c>
      <c r="AZ81" s="488">
        <f t="shared" ca="1" si="19"/>
        <v>0</v>
      </c>
      <c r="BA81" s="488">
        <f t="shared" ca="1" si="19"/>
        <v>0</v>
      </c>
      <c r="BB81" s="488">
        <f t="shared" ca="1" si="19"/>
        <v>0</v>
      </c>
      <c r="BC81" s="488">
        <f t="shared" ca="1" si="19"/>
        <v>0</v>
      </c>
      <c r="BD81" s="488">
        <f t="shared" ca="1" si="19"/>
        <v>0</v>
      </c>
      <c r="BE81" s="488">
        <f t="shared" ca="1" si="19"/>
        <v>0</v>
      </c>
      <c r="BF81" s="488">
        <f t="shared" ca="1" si="19"/>
        <v>0</v>
      </c>
      <c r="BG81" s="488">
        <f t="shared" ca="1" si="19"/>
        <v>0</v>
      </c>
      <c r="BH81" s="488">
        <f t="shared" ca="1" si="19"/>
        <v>0</v>
      </c>
      <c r="BI81" s="488">
        <f t="shared" ca="1" si="19"/>
        <v>0</v>
      </c>
    </row>
    <row r="82" spans="1:61" outlineLevel="1" x14ac:dyDescent="0.15">
      <c r="A82" s="498">
        <v>29</v>
      </c>
      <c r="B82" s="488" t="str">
        <f t="shared" ca="1" si="16"/>
        <v/>
      </c>
      <c r="C82" s="488" t="str">
        <f t="shared" ca="1" si="16"/>
        <v/>
      </c>
      <c r="D82" s="488" t="str">
        <f t="shared" ca="1" si="16"/>
        <v/>
      </c>
      <c r="E82" s="488" t="str">
        <f t="shared" ca="1" si="16"/>
        <v/>
      </c>
      <c r="F82" s="488" t="str">
        <f t="shared" ca="1" si="16"/>
        <v/>
      </c>
      <c r="G82" s="488" t="str">
        <f t="shared" ca="1" si="16"/>
        <v/>
      </c>
      <c r="H82" s="488" t="str">
        <f t="shared" ca="1" si="16"/>
        <v/>
      </c>
      <c r="I82" s="488" t="str">
        <f t="shared" ca="1" si="16"/>
        <v/>
      </c>
      <c r="J82" s="488" t="str">
        <f t="shared" ca="1" si="16"/>
        <v/>
      </c>
      <c r="K82" s="488" t="str">
        <f t="shared" ca="1" si="16"/>
        <v/>
      </c>
      <c r="L82" s="488" t="str">
        <f t="shared" ca="1" si="16"/>
        <v/>
      </c>
      <c r="M82" s="488" t="str">
        <f t="shared" ca="1" si="16"/>
        <v/>
      </c>
      <c r="N82" s="488" t="str">
        <f t="shared" ca="1" si="16"/>
        <v/>
      </c>
      <c r="O82" s="488" t="str">
        <f t="shared" ca="1" si="16"/>
        <v/>
      </c>
      <c r="P82" s="488" t="str">
        <f t="shared" ca="1" si="16"/>
        <v/>
      </c>
      <c r="Q82" s="488" t="str">
        <f t="shared" ca="1" si="16"/>
        <v/>
      </c>
      <c r="R82" s="488" t="str">
        <f t="shared" ca="1" si="19"/>
        <v/>
      </c>
      <c r="S82" s="488" t="str">
        <f t="shared" ca="1" si="19"/>
        <v/>
      </c>
      <c r="T82" s="488" t="str">
        <f t="shared" ca="1" si="19"/>
        <v/>
      </c>
      <c r="U82" s="488" t="str">
        <f t="shared" ca="1" si="19"/>
        <v/>
      </c>
      <c r="V82" s="488" t="str">
        <f t="shared" ca="1" si="19"/>
        <v/>
      </c>
      <c r="W82" s="488" t="str">
        <f t="shared" ca="1" si="19"/>
        <v/>
      </c>
      <c r="X82" s="488" t="str">
        <f t="shared" ca="1" si="19"/>
        <v/>
      </c>
      <c r="Y82" s="488" t="str">
        <f t="shared" ca="1" si="19"/>
        <v/>
      </c>
      <c r="Z82" s="488" t="str">
        <f t="shared" ca="1" si="19"/>
        <v/>
      </c>
      <c r="AA82" s="488" t="str">
        <f t="shared" ca="1" si="19"/>
        <v/>
      </c>
      <c r="AB82" s="488" t="str">
        <f t="shared" ca="1" si="19"/>
        <v/>
      </c>
      <c r="AC82" s="488" t="str">
        <f t="shared" ca="1" si="19"/>
        <v/>
      </c>
      <c r="AD82" s="488">
        <f t="shared" ca="1" si="19"/>
        <v>0</v>
      </c>
      <c r="AE82" s="488">
        <f t="shared" ca="1" si="19"/>
        <v>0</v>
      </c>
      <c r="AF82" s="488">
        <f t="shared" ca="1" si="19"/>
        <v>0</v>
      </c>
      <c r="AG82" s="488">
        <f t="shared" ca="1" si="19"/>
        <v>0</v>
      </c>
      <c r="AH82" s="488">
        <f t="shared" ca="1" si="19"/>
        <v>0</v>
      </c>
      <c r="AI82" s="488">
        <f t="shared" ca="1" si="19"/>
        <v>0</v>
      </c>
      <c r="AJ82" s="488">
        <f t="shared" ca="1" si="19"/>
        <v>0</v>
      </c>
      <c r="AK82" s="488">
        <f t="shared" ca="1" si="19"/>
        <v>0</v>
      </c>
      <c r="AL82" s="488">
        <f t="shared" ca="1" si="19"/>
        <v>0</v>
      </c>
      <c r="AM82" s="488">
        <f t="shared" ca="1" si="19"/>
        <v>0</v>
      </c>
      <c r="AN82" s="488">
        <f t="shared" ca="1" si="19"/>
        <v>0</v>
      </c>
      <c r="AO82" s="488">
        <f t="shared" ca="1" si="19"/>
        <v>0</v>
      </c>
      <c r="AP82" s="488">
        <f t="shared" ca="1" si="19"/>
        <v>0</v>
      </c>
      <c r="AQ82" s="488">
        <f t="shared" ca="1" si="19"/>
        <v>0</v>
      </c>
      <c r="AR82" s="488">
        <f t="shared" ca="1" si="19"/>
        <v>0</v>
      </c>
      <c r="AS82" s="488">
        <f t="shared" ca="1" si="19"/>
        <v>0</v>
      </c>
      <c r="AT82" s="488">
        <f t="shared" ca="1" si="19"/>
        <v>0</v>
      </c>
      <c r="AU82" s="488">
        <f t="shared" ca="1" si="19"/>
        <v>0</v>
      </c>
      <c r="AV82" s="488">
        <f t="shared" ca="1" si="19"/>
        <v>0</v>
      </c>
      <c r="AW82" s="488">
        <f t="shared" ca="1" si="19"/>
        <v>0</v>
      </c>
      <c r="AX82" s="488">
        <f t="shared" ca="1" si="19"/>
        <v>0</v>
      </c>
      <c r="AY82" s="488">
        <f t="shared" ca="1" si="19"/>
        <v>0</v>
      </c>
      <c r="AZ82" s="488">
        <f t="shared" ca="1" si="19"/>
        <v>0</v>
      </c>
      <c r="BA82" s="488">
        <f t="shared" ca="1" si="19"/>
        <v>0</v>
      </c>
      <c r="BB82" s="488">
        <f t="shared" ca="1" si="19"/>
        <v>0</v>
      </c>
      <c r="BC82" s="488">
        <f t="shared" ca="1" si="19"/>
        <v>0</v>
      </c>
      <c r="BD82" s="488">
        <f t="shared" ca="1" si="19"/>
        <v>0</v>
      </c>
      <c r="BE82" s="488">
        <f t="shared" ca="1" si="19"/>
        <v>0</v>
      </c>
      <c r="BF82" s="488">
        <f t="shared" ca="1" si="19"/>
        <v>0</v>
      </c>
      <c r="BG82" s="488">
        <f t="shared" ca="1" si="19"/>
        <v>0</v>
      </c>
      <c r="BH82" s="488">
        <f t="shared" ca="1" si="19"/>
        <v>0</v>
      </c>
      <c r="BI82" s="488">
        <f t="shared" ca="1" si="19"/>
        <v>0</v>
      </c>
    </row>
    <row r="83" spans="1:61" outlineLevel="1" x14ac:dyDescent="0.15">
      <c r="A83" s="498">
        <v>30</v>
      </c>
      <c r="B83" s="488" t="str">
        <f t="shared" ca="1" si="16"/>
        <v/>
      </c>
      <c r="C83" s="488" t="str">
        <f t="shared" ca="1" si="16"/>
        <v/>
      </c>
      <c r="D83" s="488" t="str">
        <f t="shared" ca="1" si="16"/>
        <v/>
      </c>
      <c r="E83" s="488" t="str">
        <f t="shared" ca="1" si="16"/>
        <v/>
      </c>
      <c r="F83" s="488" t="str">
        <f t="shared" ca="1" si="16"/>
        <v/>
      </c>
      <c r="G83" s="488" t="str">
        <f t="shared" ca="1" si="16"/>
        <v/>
      </c>
      <c r="H83" s="488" t="str">
        <f t="shared" ca="1" si="16"/>
        <v/>
      </c>
      <c r="I83" s="488" t="str">
        <f t="shared" ca="1" si="16"/>
        <v/>
      </c>
      <c r="J83" s="488" t="str">
        <f t="shared" ca="1" si="16"/>
        <v/>
      </c>
      <c r="K83" s="488" t="str">
        <f t="shared" ca="1" si="16"/>
        <v/>
      </c>
      <c r="L83" s="488" t="str">
        <f t="shared" ca="1" si="16"/>
        <v/>
      </c>
      <c r="M83" s="488" t="str">
        <f t="shared" ca="1" si="16"/>
        <v/>
      </c>
      <c r="N83" s="488" t="str">
        <f t="shared" ca="1" si="16"/>
        <v/>
      </c>
      <c r="O83" s="488" t="str">
        <f t="shared" ca="1" si="16"/>
        <v/>
      </c>
      <c r="P83" s="488" t="str">
        <f t="shared" ca="1" si="16"/>
        <v/>
      </c>
      <c r="Q83" s="488" t="str">
        <f t="shared" ca="1" si="16"/>
        <v/>
      </c>
      <c r="R83" s="488" t="str">
        <f t="shared" ca="1" si="19"/>
        <v/>
      </c>
      <c r="S83" s="488" t="str">
        <f t="shared" ca="1" si="19"/>
        <v/>
      </c>
      <c r="T83" s="488" t="str">
        <f t="shared" ca="1" si="19"/>
        <v/>
      </c>
      <c r="U83" s="488" t="str">
        <f t="shared" ca="1" si="19"/>
        <v/>
      </c>
      <c r="V83" s="488" t="str">
        <f t="shared" ca="1" si="19"/>
        <v/>
      </c>
      <c r="W83" s="488" t="str">
        <f t="shared" ca="1" si="19"/>
        <v/>
      </c>
      <c r="X83" s="488" t="str">
        <f t="shared" ca="1" si="19"/>
        <v/>
      </c>
      <c r="Y83" s="488" t="str">
        <f t="shared" ca="1" si="19"/>
        <v/>
      </c>
      <c r="Z83" s="488" t="str">
        <f t="shared" ca="1" si="19"/>
        <v/>
      </c>
      <c r="AA83" s="488" t="str">
        <f t="shared" ca="1" si="19"/>
        <v/>
      </c>
      <c r="AB83" s="488" t="str">
        <f t="shared" ca="1" si="19"/>
        <v/>
      </c>
      <c r="AC83" s="488" t="str">
        <f t="shared" ca="1" si="19"/>
        <v/>
      </c>
      <c r="AD83" s="488" t="str">
        <f t="shared" ca="1" si="19"/>
        <v/>
      </c>
      <c r="AE83" s="488">
        <f t="shared" ca="1" si="19"/>
        <v>0</v>
      </c>
      <c r="AF83" s="488">
        <f t="shared" ca="1" si="19"/>
        <v>0</v>
      </c>
      <c r="AG83" s="488">
        <f t="shared" ca="1" si="19"/>
        <v>0</v>
      </c>
      <c r="AH83" s="488">
        <f t="shared" ca="1" si="19"/>
        <v>0</v>
      </c>
      <c r="AI83" s="488">
        <f t="shared" ca="1" si="19"/>
        <v>0</v>
      </c>
      <c r="AJ83" s="488">
        <f t="shared" ca="1" si="19"/>
        <v>0</v>
      </c>
      <c r="AK83" s="488">
        <f t="shared" ca="1" si="19"/>
        <v>0</v>
      </c>
      <c r="AL83" s="488">
        <f t="shared" ca="1" si="19"/>
        <v>0</v>
      </c>
      <c r="AM83" s="488">
        <f t="shared" ca="1" si="19"/>
        <v>0</v>
      </c>
      <c r="AN83" s="488">
        <f t="shared" ca="1" si="19"/>
        <v>0</v>
      </c>
      <c r="AO83" s="488">
        <f t="shared" ca="1" si="19"/>
        <v>0</v>
      </c>
      <c r="AP83" s="488">
        <f t="shared" ca="1" si="19"/>
        <v>0</v>
      </c>
      <c r="AQ83" s="488">
        <f t="shared" ca="1" si="19"/>
        <v>0</v>
      </c>
      <c r="AR83" s="488">
        <f t="shared" ca="1" si="19"/>
        <v>0</v>
      </c>
      <c r="AS83" s="488">
        <f t="shared" ca="1" si="19"/>
        <v>0</v>
      </c>
      <c r="AT83" s="488">
        <f t="shared" ca="1" si="19"/>
        <v>0</v>
      </c>
      <c r="AU83" s="488">
        <f t="shared" ca="1" si="19"/>
        <v>0</v>
      </c>
      <c r="AV83" s="488">
        <f t="shared" ca="1" si="19"/>
        <v>0</v>
      </c>
      <c r="AW83" s="488">
        <f t="shared" ca="1" si="19"/>
        <v>0</v>
      </c>
      <c r="AX83" s="488">
        <f t="shared" ca="1" si="19"/>
        <v>0</v>
      </c>
      <c r="AY83" s="488">
        <f t="shared" ca="1" si="19"/>
        <v>0</v>
      </c>
      <c r="AZ83" s="488">
        <f t="shared" ca="1" si="19"/>
        <v>0</v>
      </c>
      <c r="BA83" s="488">
        <f t="shared" ca="1" si="19"/>
        <v>0</v>
      </c>
      <c r="BB83" s="488">
        <f t="shared" ca="1" si="19"/>
        <v>0</v>
      </c>
      <c r="BC83" s="488">
        <f t="shared" ca="1" si="19"/>
        <v>0</v>
      </c>
      <c r="BD83" s="488">
        <f t="shared" ca="1" si="19"/>
        <v>0</v>
      </c>
      <c r="BE83" s="488">
        <f t="shared" ca="1" si="19"/>
        <v>0</v>
      </c>
      <c r="BF83" s="488">
        <f t="shared" ca="1" si="19"/>
        <v>0</v>
      </c>
      <c r="BG83" s="488">
        <f t="shared" ca="1" si="19"/>
        <v>0</v>
      </c>
      <c r="BH83" s="488">
        <f t="shared" ca="1" si="19"/>
        <v>0</v>
      </c>
      <c r="BI83" s="488">
        <f t="shared" ca="1" si="19"/>
        <v>0</v>
      </c>
    </row>
    <row r="84" spans="1:61" outlineLevel="1" x14ac:dyDescent="0.15">
      <c r="A84" s="498">
        <v>31</v>
      </c>
      <c r="B84" s="488" t="str">
        <f t="shared" ca="1" si="16"/>
        <v/>
      </c>
      <c r="C84" s="488" t="str">
        <f t="shared" ca="1" si="16"/>
        <v/>
      </c>
      <c r="D84" s="488" t="str">
        <f t="shared" ca="1" si="16"/>
        <v/>
      </c>
      <c r="E84" s="488" t="str">
        <f t="shared" ca="1" si="16"/>
        <v/>
      </c>
      <c r="F84" s="488" t="str">
        <f t="shared" ca="1" si="16"/>
        <v/>
      </c>
      <c r="G84" s="488" t="str">
        <f t="shared" ca="1" si="16"/>
        <v/>
      </c>
      <c r="H84" s="488" t="str">
        <f t="shared" ca="1" si="16"/>
        <v/>
      </c>
      <c r="I84" s="488" t="str">
        <f t="shared" ca="1" si="16"/>
        <v/>
      </c>
      <c r="J84" s="488" t="str">
        <f t="shared" ca="1" si="16"/>
        <v/>
      </c>
      <c r="K84" s="488" t="str">
        <f t="shared" ca="1" si="16"/>
        <v/>
      </c>
      <c r="L84" s="488" t="str">
        <f t="shared" ca="1" si="16"/>
        <v/>
      </c>
      <c r="M84" s="488" t="str">
        <f t="shared" ca="1" si="16"/>
        <v/>
      </c>
      <c r="N84" s="488" t="str">
        <f t="shared" ca="1" si="16"/>
        <v/>
      </c>
      <c r="O84" s="488" t="str">
        <f t="shared" ca="1" si="16"/>
        <v/>
      </c>
      <c r="P84" s="488" t="str">
        <f t="shared" ca="1" si="16"/>
        <v/>
      </c>
      <c r="Q84" s="488" t="str">
        <f t="shared" ca="1" si="16"/>
        <v/>
      </c>
      <c r="R84" s="488" t="str">
        <f t="shared" ca="1" si="19"/>
        <v/>
      </c>
      <c r="S84" s="488" t="str">
        <f t="shared" ca="1" si="19"/>
        <v/>
      </c>
      <c r="T84" s="488" t="str">
        <f t="shared" ca="1" si="19"/>
        <v/>
      </c>
      <c r="U84" s="488" t="str">
        <f t="shared" ca="1" si="19"/>
        <v/>
      </c>
      <c r="V84" s="488" t="str">
        <f t="shared" ca="1" si="19"/>
        <v/>
      </c>
      <c r="W84" s="488" t="str">
        <f t="shared" ca="1" si="19"/>
        <v/>
      </c>
      <c r="X84" s="488" t="str">
        <f t="shared" ca="1" si="19"/>
        <v/>
      </c>
      <c r="Y84" s="488" t="str">
        <f t="shared" ca="1" si="19"/>
        <v/>
      </c>
      <c r="Z84" s="488" t="str">
        <f t="shared" ca="1" si="19"/>
        <v/>
      </c>
      <c r="AA84" s="488" t="str">
        <f t="shared" ca="1" si="19"/>
        <v/>
      </c>
      <c r="AB84" s="488" t="str">
        <f t="shared" ca="1" si="19"/>
        <v/>
      </c>
      <c r="AC84" s="488" t="str">
        <f t="shared" ca="1" si="19"/>
        <v/>
      </c>
      <c r="AD84" s="488" t="str">
        <f t="shared" ca="1" si="19"/>
        <v/>
      </c>
      <c r="AE84" s="488" t="str">
        <f t="shared" ca="1" si="19"/>
        <v/>
      </c>
      <c r="AF84" s="488">
        <f t="shared" ca="1" si="19"/>
        <v>0</v>
      </c>
      <c r="AG84" s="488">
        <f t="shared" ca="1" si="19"/>
        <v>0</v>
      </c>
      <c r="AH84" s="488">
        <f t="shared" ca="1" si="19"/>
        <v>0</v>
      </c>
      <c r="AI84" s="488">
        <f t="shared" ca="1" si="19"/>
        <v>0</v>
      </c>
      <c r="AJ84" s="488">
        <f t="shared" ca="1" si="19"/>
        <v>0</v>
      </c>
      <c r="AK84" s="488">
        <f t="shared" ca="1" si="19"/>
        <v>0</v>
      </c>
      <c r="AL84" s="488">
        <f t="shared" ca="1" si="19"/>
        <v>0</v>
      </c>
      <c r="AM84" s="488">
        <f t="shared" ca="1" si="19"/>
        <v>0</v>
      </c>
      <c r="AN84" s="488">
        <f t="shared" ca="1" si="19"/>
        <v>0</v>
      </c>
      <c r="AO84" s="488">
        <f t="shared" ca="1" si="19"/>
        <v>0</v>
      </c>
      <c r="AP84" s="488">
        <f t="shared" ca="1" si="19"/>
        <v>0</v>
      </c>
      <c r="AQ84" s="488">
        <f t="shared" ca="1" si="19"/>
        <v>0</v>
      </c>
      <c r="AR84" s="488">
        <f t="shared" ca="1" si="19"/>
        <v>0</v>
      </c>
      <c r="AS84" s="488">
        <f t="shared" ca="1" si="19"/>
        <v>0</v>
      </c>
      <c r="AT84" s="488">
        <f t="shared" ca="1" si="19"/>
        <v>0</v>
      </c>
      <c r="AU84" s="488">
        <f t="shared" ca="1" si="19"/>
        <v>0</v>
      </c>
      <c r="AV84" s="488">
        <f t="shared" ca="1" si="19"/>
        <v>0</v>
      </c>
      <c r="AW84" s="488">
        <f t="shared" ca="1" si="19"/>
        <v>0</v>
      </c>
      <c r="AX84" s="488">
        <f t="shared" ca="1" si="19"/>
        <v>0</v>
      </c>
      <c r="AY84" s="488">
        <f t="shared" ca="1" si="19"/>
        <v>0</v>
      </c>
      <c r="AZ84" s="488">
        <f t="shared" ca="1" si="19"/>
        <v>0</v>
      </c>
      <c r="BA84" s="488">
        <f t="shared" ca="1" si="19"/>
        <v>0</v>
      </c>
      <c r="BB84" s="488">
        <f t="shared" ca="1" si="19"/>
        <v>0</v>
      </c>
      <c r="BC84" s="488">
        <f t="shared" ca="1" si="19"/>
        <v>0</v>
      </c>
      <c r="BD84" s="488">
        <f t="shared" ca="1" si="19"/>
        <v>0</v>
      </c>
      <c r="BE84" s="488">
        <f t="shared" ca="1" si="19"/>
        <v>0</v>
      </c>
      <c r="BF84" s="488">
        <f t="shared" ca="1" si="19"/>
        <v>0</v>
      </c>
      <c r="BG84" s="488">
        <f t="shared" ca="1" si="19"/>
        <v>0</v>
      </c>
      <c r="BH84" s="488">
        <f t="shared" ca="1" si="19"/>
        <v>0</v>
      </c>
      <c r="BI84" s="488">
        <f t="shared" ca="1" si="19"/>
        <v>0</v>
      </c>
    </row>
    <row r="85" spans="1:61" outlineLevel="1" x14ac:dyDescent="0.15">
      <c r="A85" s="498">
        <v>32</v>
      </c>
      <c r="B85" s="488" t="str">
        <f t="shared" ca="1" si="16"/>
        <v/>
      </c>
      <c r="C85" s="488" t="str">
        <f t="shared" ca="1" si="16"/>
        <v/>
      </c>
      <c r="D85" s="488" t="str">
        <f t="shared" ca="1" si="16"/>
        <v/>
      </c>
      <c r="E85" s="488" t="str">
        <f t="shared" ca="1" si="16"/>
        <v/>
      </c>
      <c r="F85" s="488" t="str">
        <f t="shared" ca="1" si="16"/>
        <v/>
      </c>
      <c r="G85" s="488" t="str">
        <f t="shared" ca="1" si="16"/>
        <v/>
      </c>
      <c r="H85" s="488" t="str">
        <f t="shared" ca="1" si="16"/>
        <v/>
      </c>
      <c r="I85" s="488" t="str">
        <f t="shared" ca="1" si="16"/>
        <v/>
      </c>
      <c r="J85" s="488" t="str">
        <f t="shared" ca="1" si="16"/>
        <v/>
      </c>
      <c r="K85" s="488" t="str">
        <f t="shared" ca="1" si="16"/>
        <v/>
      </c>
      <c r="L85" s="488" t="str">
        <f t="shared" ca="1" si="16"/>
        <v/>
      </c>
      <c r="M85" s="488" t="str">
        <f t="shared" ca="1" si="16"/>
        <v/>
      </c>
      <c r="N85" s="488" t="str">
        <f t="shared" ca="1" si="16"/>
        <v/>
      </c>
      <c r="O85" s="488" t="str">
        <f t="shared" ca="1" si="16"/>
        <v/>
      </c>
      <c r="P85" s="488" t="str">
        <f t="shared" ca="1" si="16"/>
        <v/>
      </c>
      <c r="Q85" s="488" t="str">
        <f t="shared" ca="1" si="16"/>
        <v/>
      </c>
      <c r="R85" s="488" t="str">
        <f t="shared" ca="1" si="19"/>
        <v/>
      </c>
      <c r="S85" s="488" t="str">
        <f t="shared" ca="1" si="19"/>
        <v/>
      </c>
      <c r="T85" s="488" t="str">
        <f t="shared" ca="1" si="19"/>
        <v/>
      </c>
      <c r="U85" s="488" t="str">
        <f t="shared" ca="1" si="19"/>
        <v/>
      </c>
      <c r="V85" s="488" t="str">
        <f t="shared" ca="1" si="19"/>
        <v/>
      </c>
      <c r="W85" s="488" t="str">
        <f t="shared" ca="1" si="19"/>
        <v/>
      </c>
      <c r="X85" s="488" t="str">
        <f t="shared" ca="1" si="19"/>
        <v/>
      </c>
      <c r="Y85" s="488" t="str">
        <f t="shared" ca="1" si="19"/>
        <v/>
      </c>
      <c r="Z85" s="488" t="str">
        <f t="shared" ca="1" si="19"/>
        <v/>
      </c>
      <c r="AA85" s="488" t="str">
        <f t="shared" ca="1" si="19"/>
        <v/>
      </c>
      <c r="AB85" s="488" t="str">
        <f t="shared" ca="1" si="19"/>
        <v/>
      </c>
      <c r="AC85" s="488" t="str">
        <f t="shared" ca="1" si="19"/>
        <v/>
      </c>
      <c r="AD85" s="488" t="str">
        <f t="shared" ca="1" si="19"/>
        <v/>
      </c>
      <c r="AE85" s="488" t="str">
        <f t="shared" ca="1" si="19"/>
        <v/>
      </c>
      <c r="AF85" s="488" t="str">
        <f t="shared" ca="1" si="19"/>
        <v/>
      </c>
      <c r="AG85" s="488">
        <f t="shared" ca="1" si="19"/>
        <v>0</v>
      </c>
      <c r="AH85" s="488">
        <f t="shared" ca="1" si="19"/>
        <v>0</v>
      </c>
      <c r="AI85" s="488">
        <f t="shared" ca="1" si="19"/>
        <v>0</v>
      </c>
      <c r="AJ85" s="488">
        <f t="shared" ca="1" si="19"/>
        <v>0</v>
      </c>
      <c r="AK85" s="488">
        <f t="shared" ca="1" si="19"/>
        <v>0</v>
      </c>
      <c r="AL85" s="488">
        <f t="shared" ca="1" si="19"/>
        <v>0</v>
      </c>
      <c r="AM85" s="488">
        <f t="shared" ca="1" si="19"/>
        <v>0</v>
      </c>
      <c r="AN85" s="488">
        <f t="shared" ca="1" si="19"/>
        <v>0</v>
      </c>
      <c r="AO85" s="488">
        <f t="shared" ca="1" si="19"/>
        <v>0</v>
      </c>
      <c r="AP85" s="488">
        <f t="shared" ca="1" si="19"/>
        <v>0</v>
      </c>
      <c r="AQ85" s="488">
        <f t="shared" ca="1" si="19"/>
        <v>0</v>
      </c>
      <c r="AR85" s="488">
        <f t="shared" ca="1" si="19"/>
        <v>0</v>
      </c>
      <c r="AS85" s="488">
        <f t="shared" ca="1" si="19"/>
        <v>0</v>
      </c>
      <c r="AT85" s="488">
        <f t="shared" ca="1" si="19"/>
        <v>0</v>
      </c>
      <c r="AU85" s="488">
        <f t="shared" ca="1" si="19"/>
        <v>0</v>
      </c>
      <c r="AV85" s="488">
        <f t="shared" ca="1" si="19"/>
        <v>0</v>
      </c>
      <c r="AW85" s="488">
        <f t="shared" ca="1" si="19"/>
        <v>0</v>
      </c>
      <c r="AX85" s="488">
        <f t="shared" ca="1" si="19"/>
        <v>0</v>
      </c>
      <c r="AY85" s="488">
        <f t="shared" ca="1" si="19"/>
        <v>0</v>
      </c>
      <c r="AZ85" s="488">
        <f t="shared" ca="1" si="19"/>
        <v>0</v>
      </c>
      <c r="BA85" s="488">
        <f t="shared" ca="1" si="19"/>
        <v>0</v>
      </c>
      <c r="BB85" s="488">
        <f t="shared" ca="1" si="19"/>
        <v>0</v>
      </c>
      <c r="BC85" s="488">
        <f t="shared" ca="1" si="19"/>
        <v>0</v>
      </c>
      <c r="BD85" s="488">
        <f t="shared" ca="1" si="19"/>
        <v>0</v>
      </c>
      <c r="BE85" s="488">
        <f t="shared" ca="1" si="19"/>
        <v>0</v>
      </c>
      <c r="BF85" s="488">
        <f t="shared" ca="1" si="19"/>
        <v>0</v>
      </c>
      <c r="BG85" s="488">
        <f t="shared" ca="1" si="19"/>
        <v>0</v>
      </c>
      <c r="BH85" s="488">
        <f t="shared" ca="1" si="19"/>
        <v>0</v>
      </c>
      <c r="BI85" s="488">
        <f t="shared" ca="1" si="19"/>
        <v>0</v>
      </c>
    </row>
    <row r="86" spans="1:61" outlineLevel="1" x14ac:dyDescent="0.15">
      <c r="A86" s="498">
        <v>33</v>
      </c>
      <c r="B86" s="488" t="str">
        <f t="shared" ref="B86:Q101" ca="1" si="20">IF($A86&gt;B$5,"",OFFSET(B$53,0,-($A86-1)))</f>
        <v/>
      </c>
      <c r="C86" s="488" t="str">
        <f t="shared" ca="1" si="20"/>
        <v/>
      </c>
      <c r="D86" s="488" t="str">
        <f t="shared" ca="1" si="20"/>
        <v/>
      </c>
      <c r="E86" s="488" t="str">
        <f t="shared" ca="1" si="20"/>
        <v/>
      </c>
      <c r="F86" s="488" t="str">
        <f t="shared" ca="1" si="20"/>
        <v/>
      </c>
      <c r="G86" s="488" t="str">
        <f t="shared" ca="1" si="20"/>
        <v/>
      </c>
      <c r="H86" s="488" t="str">
        <f t="shared" ca="1" si="20"/>
        <v/>
      </c>
      <c r="I86" s="488" t="str">
        <f t="shared" ca="1" si="20"/>
        <v/>
      </c>
      <c r="J86" s="488" t="str">
        <f t="shared" ca="1" si="20"/>
        <v/>
      </c>
      <c r="K86" s="488" t="str">
        <f t="shared" ca="1" si="20"/>
        <v/>
      </c>
      <c r="L86" s="488" t="str">
        <f t="shared" ca="1" si="20"/>
        <v/>
      </c>
      <c r="M86" s="488" t="str">
        <f t="shared" ca="1" si="20"/>
        <v/>
      </c>
      <c r="N86" s="488" t="str">
        <f t="shared" ca="1" si="20"/>
        <v/>
      </c>
      <c r="O86" s="488" t="str">
        <f t="shared" ca="1" si="20"/>
        <v/>
      </c>
      <c r="P86" s="488" t="str">
        <f t="shared" ca="1" si="20"/>
        <v/>
      </c>
      <c r="Q86" s="488" t="str">
        <f t="shared" ca="1" si="20"/>
        <v/>
      </c>
      <c r="R86" s="488" t="str">
        <f t="shared" ca="1" si="19"/>
        <v/>
      </c>
      <c r="S86" s="488" t="str">
        <f t="shared" ca="1" si="19"/>
        <v/>
      </c>
      <c r="T86" s="488" t="str">
        <f t="shared" ca="1" si="19"/>
        <v/>
      </c>
      <c r="U86" s="488" t="str">
        <f t="shared" ca="1" si="19"/>
        <v/>
      </c>
      <c r="V86" s="488" t="str">
        <f t="shared" ca="1" si="19"/>
        <v/>
      </c>
      <c r="W86" s="488" t="str">
        <f t="shared" ca="1" si="19"/>
        <v/>
      </c>
      <c r="X86" s="488" t="str">
        <f t="shared" ca="1" si="19"/>
        <v/>
      </c>
      <c r="Y86" s="488" t="str">
        <f t="shared" ca="1" si="19"/>
        <v/>
      </c>
      <c r="Z86" s="488" t="str">
        <f t="shared" ca="1" si="19"/>
        <v/>
      </c>
      <c r="AA86" s="488" t="str">
        <f t="shared" ca="1" si="19"/>
        <v/>
      </c>
      <c r="AB86" s="488" t="str">
        <f t="shared" ca="1" si="19"/>
        <v/>
      </c>
      <c r="AC86" s="488" t="str">
        <f t="shared" ca="1" si="19"/>
        <v/>
      </c>
      <c r="AD86" s="488" t="str">
        <f t="shared" ca="1" si="19"/>
        <v/>
      </c>
      <c r="AE86" s="488" t="str">
        <f t="shared" ca="1" si="19"/>
        <v/>
      </c>
      <c r="AF86" s="488" t="str">
        <f t="shared" ca="1" si="19"/>
        <v/>
      </c>
      <c r="AG86" s="488" t="str">
        <f t="shared" ca="1" si="19"/>
        <v/>
      </c>
      <c r="AH86" s="488">
        <f t="shared" ca="1" si="19"/>
        <v>0</v>
      </c>
      <c r="AI86" s="488">
        <f t="shared" ca="1" si="19"/>
        <v>0</v>
      </c>
      <c r="AJ86" s="488">
        <f t="shared" ca="1" si="19"/>
        <v>0</v>
      </c>
      <c r="AK86" s="488">
        <f t="shared" ca="1" si="19"/>
        <v>0</v>
      </c>
      <c r="AL86" s="488">
        <f t="shared" ca="1" si="19"/>
        <v>0</v>
      </c>
      <c r="AM86" s="488">
        <f t="shared" ca="1" si="19"/>
        <v>0</v>
      </c>
      <c r="AN86" s="488">
        <f t="shared" ca="1" si="19"/>
        <v>0</v>
      </c>
      <c r="AO86" s="488">
        <f t="shared" ca="1" si="19"/>
        <v>0</v>
      </c>
      <c r="AP86" s="488">
        <f t="shared" ca="1" si="19"/>
        <v>0</v>
      </c>
      <c r="AQ86" s="488">
        <f t="shared" ca="1" si="19"/>
        <v>0</v>
      </c>
      <c r="AR86" s="488">
        <f t="shared" ca="1" si="19"/>
        <v>0</v>
      </c>
      <c r="AS86" s="488">
        <f t="shared" ca="1" si="19"/>
        <v>0</v>
      </c>
      <c r="AT86" s="488">
        <f t="shared" ca="1" si="19"/>
        <v>0</v>
      </c>
      <c r="AU86" s="488">
        <f t="shared" ca="1" si="19"/>
        <v>0</v>
      </c>
      <c r="AV86" s="488">
        <f t="shared" ca="1" si="19"/>
        <v>0</v>
      </c>
      <c r="AW86" s="488">
        <f t="shared" ca="1" si="19"/>
        <v>0</v>
      </c>
      <c r="AX86" s="488">
        <f t="shared" ca="1" si="19"/>
        <v>0</v>
      </c>
      <c r="AY86" s="488">
        <f t="shared" ca="1" si="19"/>
        <v>0</v>
      </c>
      <c r="AZ86" s="488">
        <f t="shared" ca="1" si="19"/>
        <v>0</v>
      </c>
      <c r="BA86" s="488">
        <f t="shared" ref="BA86:CS91" ca="1" si="21">IF($A86&gt;BA$5,"",OFFSET(BA$53,0,-($A86-1)))</f>
        <v>0</v>
      </c>
      <c r="BB86" s="488">
        <f t="shared" ca="1" si="21"/>
        <v>0</v>
      </c>
      <c r="BC86" s="488">
        <f t="shared" ca="1" si="21"/>
        <v>0</v>
      </c>
      <c r="BD86" s="488">
        <f t="shared" ca="1" si="21"/>
        <v>0</v>
      </c>
      <c r="BE86" s="488">
        <f t="shared" ca="1" si="21"/>
        <v>0</v>
      </c>
      <c r="BF86" s="488">
        <f t="shared" ca="1" si="21"/>
        <v>0</v>
      </c>
      <c r="BG86" s="488">
        <f t="shared" ca="1" si="21"/>
        <v>0</v>
      </c>
      <c r="BH86" s="488">
        <f t="shared" ca="1" si="21"/>
        <v>0</v>
      </c>
      <c r="BI86" s="488">
        <f t="shared" ca="1" si="21"/>
        <v>0</v>
      </c>
    </row>
    <row r="87" spans="1:61" outlineLevel="1" x14ac:dyDescent="0.15">
      <c r="A87" s="498">
        <v>34</v>
      </c>
      <c r="B87" s="488" t="str">
        <f t="shared" ca="1" si="20"/>
        <v/>
      </c>
      <c r="C87" s="488" t="str">
        <f t="shared" ca="1" si="20"/>
        <v/>
      </c>
      <c r="D87" s="488" t="str">
        <f t="shared" ca="1" si="20"/>
        <v/>
      </c>
      <c r="E87" s="488" t="str">
        <f t="shared" ca="1" si="20"/>
        <v/>
      </c>
      <c r="F87" s="488" t="str">
        <f t="shared" ca="1" si="20"/>
        <v/>
      </c>
      <c r="G87" s="488" t="str">
        <f t="shared" ca="1" si="20"/>
        <v/>
      </c>
      <c r="H87" s="488" t="str">
        <f t="shared" ca="1" si="20"/>
        <v/>
      </c>
      <c r="I87" s="488" t="str">
        <f t="shared" ca="1" si="20"/>
        <v/>
      </c>
      <c r="J87" s="488" t="str">
        <f t="shared" ca="1" si="20"/>
        <v/>
      </c>
      <c r="K87" s="488" t="str">
        <f t="shared" ca="1" si="20"/>
        <v/>
      </c>
      <c r="L87" s="488" t="str">
        <f t="shared" ca="1" si="20"/>
        <v/>
      </c>
      <c r="M87" s="488" t="str">
        <f t="shared" ca="1" si="20"/>
        <v/>
      </c>
      <c r="N87" s="488" t="str">
        <f t="shared" ca="1" si="20"/>
        <v/>
      </c>
      <c r="O87" s="488" t="str">
        <f t="shared" ca="1" si="20"/>
        <v/>
      </c>
      <c r="P87" s="488" t="str">
        <f t="shared" ca="1" si="20"/>
        <v/>
      </c>
      <c r="Q87" s="488" t="str">
        <f t="shared" ca="1" si="20"/>
        <v/>
      </c>
      <c r="R87" s="488" t="str">
        <f t="shared" ref="R87:BJ92" ca="1" si="22">IF($A87&gt;R$5,"",OFFSET(R$53,0,-($A87-1)))</f>
        <v/>
      </c>
      <c r="S87" s="488" t="str">
        <f t="shared" ca="1" si="22"/>
        <v/>
      </c>
      <c r="T87" s="488" t="str">
        <f t="shared" ca="1" si="22"/>
        <v/>
      </c>
      <c r="U87" s="488" t="str">
        <f t="shared" ca="1" si="22"/>
        <v/>
      </c>
      <c r="V87" s="488" t="str">
        <f t="shared" ca="1" si="22"/>
        <v/>
      </c>
      <c r="W87" s="488" t="str">
        <f t="shared" ca="1" si="22"/>
        <v/>
      </c>
      <c r="X87" s="488" t="str">
        <f t="shared" ca="1" si="22"/>
        <v/>
      </c>
      <c r="Y87" s="488" t="str">
        <f t="shared" ca="1" si="22"/>
        <v/>
      </c>
      <c r="Z87" s="488" t="str">
        <f t="shared" ca="1" si="22"/>
        <v/>
      </c>
      <c r="AA87" s="488" t="str">
        <f t="shared" ca="1" si="22"/>
        <v/>
      </c>
      <c r="AB87" s="488" t="str">
        <f t="shared" ca="1" si="22"/>
        <v/>
      </c>
      <c r="AC87" s="488" t="str">
        <f t="shared" ca="1" si="22"/>
        <v/>
      </c>
      <c r="AD87" s="488" t="str">
        <f t="shared" ca="1" si="22"/>
        <v/>
      </c>
      <c r="AE87" s="488" t="str">
        <f t="shared" ca="1" si="22"/>
        <v/>
      </c>
      <c r="AF87" s="488" t="str">
        <f t="shared" ca="1" si="22"/>
        <v/>
      </c>
      <c r="AG87" s="488" t="str">
        <f t="shared" ca="1" si="22"/>
        <v/>
      </c>
      <c r="AH87" s="488" t="str">
        <f t="shared" ca="1" si="22"/>
        <v/>
      </c>
      <c r="AI87" s="488">
        <f t="shared" ca="1" si="22"/>
        <v>0</v>
      </c>
      <c r="AJ87" s="488">
        <f t="shared" ca="1" si="22"/>
        <v>0</v>
      </c>
      <c r="AK87" s="488">
        <f t="shared" ca="1" si="22"/>
        <v>0</v>
      </c>
      <c r="AL87" s="488">
        <f t="shared" ca="1" si="22"/>
        <v>0</v>
      </c>
      <c r="AM87" s="488">
        <f t="shared" ca="1" si="22"/>
        <v>0</v>
      </c>
      <c r="AN87" s="488">
        <f t="shared" ca="1" si="22"/>
        <v>0</v>
      </c>
      <c r="AO87" s="488">
        <f t="shared" ca="1" si="22"/>
        <v>0</v>
      </c>
      <c r="AP87" s="488">
        <f t="shared" ca="1" si="22"/>
        <v>0</v>
      </c>
      <c r="AQ87" s="488">
        <f t="shared" ca="1" si="22"/>
        <v>0</v>
      </c>
      <c r="AR87" s="488">
        <f t="shared" ca="1" si="22"/>
        <v>0</v>
      </c>
      <c r="AS87" s="488">
        <f t="shared" ca="1" si="22"/>
        <v>0</v>
      </c>
      <c r="AT87" s="488">
        <f t="shared" ca="1" si="22"/>
        <v>0</v>
      </c>
      <c r="AU87" s="488">
        <f t="shared" ca="1" si="22"/>
        <v>0</v>
      </c>
      <c r="AV87" s="488">
        <f t="shared" ca="1" si="22"/>
        <v>0</v>
      </c>
      <c r="AW87" s="488">
        <f t="shared" ca="1" si="22"/>
        <v>0</v>
      </c>
      <c r="AX87" s="488">
        <f t="shared" ca="1" si="22"/>
        <v>0</v>
      </c>
      <c r="AY87" s="488">
        <f t="shared" ca="1" si="22"/>
        <v>0</v>
      </c>
      <c r="AZ87" s="488">
        <f t="shared" ca="1" si="22"/>
        <v>0</v>
      </c>
      <c r="BA87" s="488">
        <f t="shared" ca="1" si="22"/>
        <v>0</v>
      </c>
      <c r="BB87" s="488">
        <f t="shared" ca="1" si="22"/>
        <v>0</v>
      </c>
      <c r="BC87" s="488">
        <f t="shared" ca="1" si="22"/>
        <v>0</v>
      </c>
      <c r="BD87" s="488">
        <f t="shared" ca="1" si="22"/>
        <v>0</v>
      </c>
      <c r="BE87" s="488">
        <f t="shared" ca="1" si="22"/>
        <v>0</v>
      </c>
      <c r="BF87" s="488">
        <f t="shared" ca="1" si="22"/>
        <v>0</v>
      </c>
      <c r="BG87" s="488">
        <f t="shared" ca="1" si="22"/>
        <v>0</v>
      </c>
      <c r="BH87" s="488">
        <f t="shared" ca="1" si="22"/>
        <v>0</v>
      </c>
      <c r="BI87" s="488">
        <f t="shared" ca="1" si="22"/>
        <v>0</v>
      </c>
    </row>
    <row r="88" spans="1:61" outlineLevel="1" x14ac:dyDescent="0.15">
      <c r="A88" s="498">
        <v>35</v>
      </c>
      <c r="B88" s="488" t="str">
        <f t="shared" ca="1" si="20"/>
        <v/>
      </c>
      <c r="C88" s="488" t="str">
        <f t="shared" ca="1" si="20"/>
        <v/>
      </c>
      <c r="D88" s="488" t="str">
        <f t="shared" ca="1" si="20"/>
        <v/>
      </c>
      <c r="E88" s="488" t="str">
        <f t="shared" ca="1" si="20"/>
        <v/>
      </c>
      <c r="F88" s="488" t="str">
        <f t="shared" ca="1" si="20"/>
        <v/>
      </c>
      <c r="G88" s="488" t="str">
        <f t="shared" ca="1" si="20"/>
        <v/>
      </c>
      <c r="H88" s="488" t="str">
        <f t="shared" ca="1" si="20"/>
        <v/>
      </c>
      <c r="I88" s="488" t="str">
        <f t="shared" ca="1" si="20"/>
        <v/>
      </c>
      <c r="J88" s="488" t="str">
        <f t="shared" ca="1" si="20"/>
        <v/>
      </c>
      <c r="K88" s="488" t="str">
        <f t="shared" ca="1" si="20"/>
        <v/>
      </c>
      <c r="L88" s="488" t="str">
        <f t="shared" ca="1" si="20"/>
        <v/>
      </c>
      <c r="M88" s="488" t="str">
        <f t="shared" ca="1" si="20"/>
        <v/>
      </c>
      <c r="N88" s="488" t="str">
        <f t="shared" ca="1" si="20"/>
        <v/>
      </c>
      <c r="O88" s="488" t="str">
        <f t="shared" ca="1" si="20"/>
        <v/>
      </c>
      <c r="P88" s="488" t="str">
        <f t="shared" ca="1" si="20"/>
        <v/>
      </c>
      <c r="Q88" s="488" t="str">
        <f t="shared" ca="1" si="20"/>
        <v/>
      </c>
      <c r="R88" s="488" t="str">
        <f t="shared" ca="1" si="22"/>
        <v/>
      </c>
      <c r="S88" s="488" t="str">
        <f t="shared" ca="1" si="22"/>
        <v/>
      </c>
      <c r="T88" s="488" t="str">
        <f t="shared" ca="1" si="22"/>
        <v/>
      </c>
      <c r="U88" s="488" t="str">
        <f t="shared" ca="1" si="22"/>
        <v/>
      </c>
      <c r="V88" s="488" t="str">
        <f t="shared" ca="1" si="22"/>
        <v/>
      </c>
      <c r="W88" s="488" t="str">
        <f t="shared" ca="1" si="22"/>
        <v/>
      </c>
      <c r="X88" s="488" t="str">
        <f t="shared" ca="1" si="22"/>
        <v/>
      </c>
      <c r="Y88" s="488" t="str">
        <f t="shared" ca="1" si="22"/>
        <v/>
      </c>
      <c r="Z88" s="488" t="str">
        <f t="shared" ca="1" si="22"/>
        <v/>
      </c>
      <c r="AA88" s="488" t="str">
        <f t="shared" ca="1" si="22"/>
        <v/>
      </c>
      <c r="AB88" s="488" t="str">
        <f t="shared" ca="1" si="22"/>
        <v/>
      </c>
      <c r="AC88" s="488" t="str">
        <f t="shared" ca="1" si="22"/>
        <v/>
      </c>
      <c r="AD88" s="488" t="str">
        <f t="shared" ca="1" si="22"/>
        <v/>
      </c>
      <c r="AE88" s="488" t="str">
        <f t="shared" ca="1" si="22"/>
        <v/>
      </c>
      <c r="AF88" s="488" t="str">
        <f t="shared" ca="1" si="22"/>
        <v/>
      </c>
      <c r="AG88" s="488" t="str">
        <f t="shared" ca="1" si="22"/>
        <v/>
      </c>
      <c r="AH88" s="488" t="str">
        <f t="shared" ca="1" si="22"/>
        <v/>
      </c>
      <c r="AI88" s="488" t="str">
        <f t="shared" ca="1" si="22"/>
        <v/>
      </c>
      <c r="AJ88" s="488">
        <f t="shared" ca="1" si="22"/>
        <v>0</v>
      </c>
      <c r="AK88" s="488">
        <f t="shared" ca="1" si="22"/>
        <v>0</v>
      </c>
      <c r="AL88" s="488">
        <f t="shared" ca="1" si="22"/>
        <v>0</v>
      </c>
      <c r="AM88" s="488">
        <f t="shared" ca="1" si="22"/>
        <v>0</v>
      </c>
      <c r="AN88" s="488">
        <f t="shared" ca="1" si="22"/>
        <v>0</v>
      </c>
      <c r="AO88" s="488">
        <f t="shared" ca="1" si="22"/>
        <v>0</v>
      </c>
      <c r="AP88" s="488">
        <f t="shared" ca="1" si="22"/>
        <v>0</v>
      </c>
      <c r="AQ88" s="488">
        <f t="shared" ca="1" si="22"/>
        <v>0</v>
      </c>
      <c r="AR88" s="488">
        <f t="shared" ca="1" si="22"/>
        <v>0</v>
      </c>
      <c r="AS88" s="488">
        <f t="shared" ca="1" si="22"/>
        <v>0</v>
      </c>
      <c r="AT88" s="488">
        <f t="shared" ca="1" si="22"/>
        <v>0</v>
      </c>
      <c r="AU88" s="488">
        <f t="shared" ca="1" si="22"/>
        <v>0</v>
      </c>
      <c r="AV88" s="488">
        <f t="shared" ca="1" si="22"/>
        <v>0</v>
      </c>
      <c r="AW88" s="488">
        <f t="shared" ca="1" si="22"/>
        <v>0</v>
      </c>
      <c r="AX88" s="488">
        <f t="shared" ca="1" si="22"/>
        <v>0</v>
      </c>
      <c r="AY88" s="488">
        <f t="shared" ca="1" si="22"/>
        <v>0</v>
      </c>
      <c r="AZ88" s="488">
        <f t="shared" ca="1" si="22"/>
        <v>0</v>
      </c>
      <c r="BA88" s="488">
        <f t="shared" ca="1" si="22"/>
        <v>0</v>
      </c>
      <c r="BB88" s="488">
        <f t="shared" ca="1" si="22"/>
        <v>0</v>
      </c>
      <c r="BC88" s="488">
        <f t="shared" ca="1" si="22"/>
        <v>0</v>
      </c>
      <c r="BD88" s="488">
        <f t="shared" ca="1" si="22"/>
        <v>0</v>
      </c>
      <c r="BE88" s="488">
        <f t="shared" ca="1" si="22"/>
        <v>0</v>
      </c>
      <c r="BF88" s="488">
        <f t="shared" ca="1" si="22"/>
        <v>0</v>
      </c>
      <c r="BG88" s="488">
        <f t="shared" ca="1" si="22"/>
        <v>0</v>
      </c>
      <c r="BH88" s="488">
        <f t="shared" ca="1" si="22"/>
        <v>0</v>
      </c>
      <c r="BI88" s="488">
        <f t="shared" ca="1" si="22"/>
        <v>0</v>
      </c>
    </row>
    <row r="89" spans="1:61" outlineLevel="1" x14ac:dyDescent="0.15">
      <c r="A89" s="498">
        <v>36</v>
      </c>
      <c r="B89" s="488" t="str">
        <f t="shared" ca="1" si="20"/>
        <v/>
      </c>
      <c r="C89" s="488" t="str">
        <f t="shared" ca="1" si="20"/>
        <v/>
      </c>
      <c r="D89" s="488" t="str">
        <f t="shared" ca="1" si="20"/>
        <v/>
      </c>
      <c r="E89" s="488" t="str">
        <f t="shared" ca="1" si="20"/>
        <v/>
      </c>
      <c r="F89" s="488" t="str">
        <f t="shared" ca="1" si="20"/>
        <v/>
      </c>
      <c r="G89" s="488" t="str">
        <f t="shared" ca="1" si="20"/>
        <v/>
      </c>
      <c r="H89" s="488" t="str">
        <f t="shared" ca="1" si="20"/>
        <v/>
      </c>
      <c r="I89" s="488" t="str">
        <f t="shared" ca="1" si="20"/>
        <v/>
      </c>
      <c r="J89" s="488" t="str">
        <f t="shared" ca="1" si="20"/>
        <v/>
      </c>
      <c r="K89" s="488" t="str">
        <f t="shared" ca="1" si="20"/>
        <v/>
      </c>
      <c r="L89" s="488" t="str">
        <f t="shared" ca="1" si="20"/>
        <v/>
      </c>
      <c r="M89" s="488" t="str">
        <f t="shared" ca="1" si="20"/>
        <v/>
      </c>
      <c r="N89" s="488" t="str">
        <f t="shared" ca="1" si="20"/>
        <v/>
      </c>
      <c r="O89" s="488" t="str">
        <f t="shared" ca="1" si="20"/>
        <v/>
      </c>
      <c r="P89" s="488" t="str">
        <f t="shared" ca="1" si="20"/>
        <v/>
      </c>
      <c r="Q89" s="488" t="str">
        <f t="shared" ca="1" si="20"/>
        <v/>
      </c>
      <c r="R89" s="488" t="str">
        <f t="shared" ca="1" si="22"/>
        <v/>
      </c>
      <c r="S89" s="488" t="str">
        <f t="shared" ca="1" si="22"/>
        <v/>
      </c>
      <c r="T89" s="488" t="str">
        <f t="shared" ca="1" si="22"/>
        <v/>
      </c>
      <c r="U89" s="488" t="str">
        <f t="shared" ca="1" si="22"/>
        <v/>
      </c>
      <c r="V89" s="488" t="str">
        <f t="shared" ca="1" si="22"/>
        <v/>
      </c>
      <c r="W89" s="488" t="str">
        <f t="shared" ca="1" si="22"/>
        <v/>
      </c>
      <c r="X89" s="488" t="str">
        <f t="shared" ca="1" si="22"/>
        <v/>
      </c>
      <c r="Y89" s="488" t="str">
        <f t="shared" ca="1" si="22"/>
        <v/>
      </c>
      <c r="Z89" s="488" t="str">
        <f t="shared" ca="1" si="22"/>
        <v/>
      </c>
      <c r="AA89" s="488" t="str">
        <f t="shared" ca="1" si="22"/>
        <v/>
      </c>
      <c r="AB89" s="488" t="str">
        <f t="shared" ca="1" si="22"/>
        <v/>
      </c>
      <c r="AC89" s="488" t="str">
        <f t="shared" ca="1" si="22"/>
        <v/>
      </c>
      <c r="AD89" s="488" t="str">
        <f t="shared" ca="1" si="22"/>
        <v/>
      </c>
      <c r="AE89" s="488" t="str">
        <f t="shared" ca="1" si="22"/>
        <v/>
      </c>
      <c r="AF89" s="488" t="str">
        <f t="shared" ca="1" si="22"/>
        <v/>
      </c>
      <c r="AG89" s="488" t="str">
        <f t="shared" ca="1" si="22"/>
        <v/>
      </c>
      <c r="AH89" s="488" t="str">
        <f t="shared" ca="1" si="22"/>
        <v/>
      </c>
      <c r="AI89" s="488" t="str">
        <f t="shared" ca="1" si="22"/>
        <v/>
      </c>
      <c r="AJ89" s="488" t="str">
        <f t="shared" ca="1" si="22"/>
        <v/>
      </c>
      <c r="AK89" s="488">
        <f t="shared" ca="1" si="22"/>
        <v>0</v>
      </c>
      <c r="AL89" s="488">
        <f t="shared" ca="1" si="22"/>
        <v>0</v>
      </c>
      <c r="AM89" s="488">
        <f t="shared" ca="1" si="22"/>
        <v>0</v>
      </c>
      <c r="AN89" s="488">
        <f t="shared" ca="1" si="22"/>
        <v>0</v>
      </c>
      <c r="AO89" s="488">
        <f t="shared" ca="1" si="22"/>
        <v>0</v>
      </c>
      <c r="AP89" s="488">
        <f t="shared" ca="1" si="22"/>
        <v>0</v>
      </c>
      <c r="AQ89" s="488">
        <f t="shared" ca="1" si="22"/>
        <v>0</v>
      </c>
      <c r="AR89" s="488">
        <f t="shared" ca="1" si="22"/>
        <v>0</v>
      </c>
      <c r="AS89" s="488">
        <f t="shared" ca="1" si="22"/>
        <v>0</v>
      </c>
      <c r="AT89" s="488">
        <f t="shared" ca="1" si="22"/>
        <v>0</v>
      </c>
      <c r="AU89" s="488">
        <f t="shared" ca="1" si="22"/>
        <v>0</v>
      </c>
      <c r="AV89" s="488">
        <f t="shared" ca="1" si="22"/>
        <v>0</v>
      </c>
      <c r="AW89" s="488">
        <f t="shared" ca="1" si="22"/>
        <v>0</v>
      </c>
      <c r="AX89" s="488">
        <f t="shared" ca="1" si="22"/>
        <v>0</v>
      </c>
      <c r="AY89" s="488">
        <f t="shared" ca="1" si="22"/>
        <v>0</v>
      </c>
      <c r="AZ89" s="488">
        <f t="shared" ca="1" si="22"/>
        <v>0</v>
      </c>
      <c r="BA89" s="488">
        <f t="shared" ca="1" si="22"/>
        <v>0</v>
      </c>
      <c r="BB89" s="488">
        <f t="shared" ca="1" si="22"/>
        <v>0</v>
      </c>
      <c r="BC89" s="488">
        <f t="shared" ca="1" si="22"/>
        <v>0</v>
      </c>
      <c r="BD89" s="488">
        <f t="shared" ca="1" si="22"/>
        <v>0</v>
      </c>
      <c r="BE89" s="488">
        <f t="shared" ca="1" si="22"/>
        <v>0</v>
      </c>
      <c r="BF89" s="488">
        <f t="shared" ca="1" si="22"/>
        <v>0</v>
      </c>
      <c r="BG89" s="488">
        <f t="shared" ca="1" si="22"/>
        <v>0</v>
      </c>
      <c r="BH89" s="488">
        <f t="shared" ca="1" si="22"/>
        <v>0</v>
      </c>
      <c r="BI89" s="488">
        <f t="shared" ca="1" si="22"/>
        <v>0</v>
      </c>
    </row>
    <row r="90" spans="1:61" outlineLevel="1" x14ac:dyDescent="0.15">
      <c r="A90" s="498">
        <v>37</v>
      </c>
      <c r="B90" s="488" t="str">
        <f t="shared" ca="1" si="20"/>
        <v/>
      </c>
      <c r="C90" s="488" t="str">
        <f t="shared" ca="1" si="20"/>
        <v/>
      </c>
      <c r="D90" s="488" t="str">
        <f t="shared" ca="1" si="20"/>
        <v/>
      </c>
      <c r="E90" s="488" t="str">
        <f t="shared" ca="1" si="20"/>
        <v/>
      </c>
      <c r="F90" s="488" t="str">
        <f t="shared" ca="1" si="20"/>
        <v/>
      </c>
      <c r="G90" s="488" t="str">
        <f t="shared" ca="1" si="20"/>
        <v/>
      </c>
      <c r="H90" s="488" t="str">
        <f t="shared" ca="1" si="20"/>
        <v/>
      </c>
      <c r="I90" s="488" t="str">
        <f t="shared" ca="1" si="20"/>
        <v/>
      </c>
      <c r="J90" s="488" t="str">
        <f t="shared" ca="1" si="20"/>
        <v/>
      </c>
      <c r="K90" s="488" t="str">
        <f t="shared" ca="1" si="20"/>
        <v/>
      </c>
      <c r="L90" s="488" t="str">
        <f t="shared" ca="1" si="20"/>
        <v/>
      </c>
      <c r="M90" s="488" t="str">
        <f t="shared" ca="1" si="20"/>
        <v/>
      </c>
      <c r="N90" s="488" t="str">
        <f t="shared" ca="1" si="20"/>
        <v/>
      </c>
      <c r="O90" s="488" t="str">
        <f t="shared" ca="1" si="20"/>
        <v/>
      </c>
      <c r="P90" s="488" t="str">
        <f t="shared" ca="1" si="20"/>
        <v/>
      </c>
      <c r="Q90" s="488" t="str">
        <f t="shared" ca="1" si="20"/>
        <v/>
      </c>
      <c r="R90" s="488" t="str">
        <f t="shared" ca="1" si="22"/>
        <v/>
      </c>
      <c r="S90" s="488" t="str">
        <f t="shared" ca="1" si="22"/>
        <v/>
      </c>
      <c r="T90" s="488" t="str">
        <f t="shared" ca="1" si="22"/>
        <v/>
      </c>
      <c r="U90" s="488" t="str">
        <f t="shared" ca="1" si="22"/>
        <v/>
      </c>
      <c r="V90" s="488" t="str">
        <f t="shared" ca="1" si="22"/>
        <v/>
      </c>
      <c r="W90" s="488" t="str">
        <f t="shared" ca="1" si="22"/>
        <v/>
      </c>
      <c r="X90" s="488" t="str">
        <f t="shared" ca="1" si="22"/>
        <v/>
      </c>
      <c r="Y90" s="488" t="str">
        <f t="shared" ca="1" si="22"/>
        <v/>
      </c>
      <c r="Z90" s="488" t="str">
        <f t="shared" ca="1" si="22"/>
        <v/>
      </c>
      <c r="AA90" s="488" t="str">
        <f t="shared" ca="1" si="22"/>
        <v/>
      </c>
      <c r="AB90" s="488" t="str">
        <f t="shared" ca="1" si="22"/>
        <v/>
      </c>
      <c r="AC90" s="488" t="str">
        <f t="shared" ca="1" si="22"/>
        <v/>
      </c>
      <c r="AD90" s="488" t="str">
        <f t="shared" ca="1" si="22"/>
        <v/>
      </c>
      <c r="AE90" s="488" t="str">
        <f t="shared" ca="1" si="22"/>
        <v/>
      </c>
      <c r="AF90" s="488" t="str">
        <f t="shared" ca="1" si="22"/>
        <v/>
      </c>
      <c r="AG90" s="488" t="str">
        <f t="shared" ca="1" si="22"/>
        <v/>
      </c>
      <c r="AH90" s="488" t="str">
        <f t="shared" ca="1" si="22"/>
        <v/>
      </c>
      <c r="AI90" s="488" t="str">
        <f t="shared" ca="1" si="22"/>
        <v/>
      </c>
      <c r="AJ90" s="488" t="str">
        <f t="shared" ca="1" si="22"/>
        <v/>
      </c>
      <c r="AK90" s="488" t="str">
        <f t="shared" ca="1" si="22"/>
        <v/>
      </c>
      <c r="AL90" s="488">
        <f t="shared" ca="1" si="22"/>
        <v>0</v>
      </c>
      <c r="AM90" s="488">
        <f t="shared" ca="1" si="22"/>
        <v>0</v>
      </c>
      <c r="AN90" s="488">
        <f t="shared" ca="1" si="22"/>
        <v>0</v>
      </c>
      <c r="AO90" s="488">
        <f t="shared" ca="1" si="22"/>
        <v>0</v>
      </c>
      <c r="AP90" s="488">
        <f t="shared" ca="1" si="22"/>
        <v>0</v>
      </c>
      <c r="AQ90" s="488">
        <f t="shared" ca="1" si="22"/>
        <v>0</v>
      </c>
      <c r="AR90" s="488">
        <f t="shared" ca="1" si="22"/>
        <v>0</v>
      </c>
      <c r="AS90" s="488">
        <f t="shared" ca="1" si="22"/>
        <v>0</v>
      </c>
      <c r="AT90" s="488">
        <f t="shared" ca="1" si="22"/>
        <v>0</v>
      </c>
      <c r="AU90" s="488">
        <f t="shared" ca="1" si="22"/>
        <v>0</v>
      </c>
      <c r="AV90" s="488">
        <f t="shared" ca="1" si="22"/>
        <v>0</v>
      </c>
      <c r="AW90" s="488">
        <f t="shared" ca="1" si="22"/>
        <v>0</v>
      </c>
      <c r="AX90" s="488">
        <f t="shared" ca="1" si="22"/>
        <v>0</v>
      </c>
      <c r="AY90" s="488">
        <f t="shared" ca="1" si="22"/>
        <v>0</v>
      </c>
      <c r="AZ90" s="488">
        <f t="shared" ca="1" si="22"/>
        <v>0</v>
      </c>
      <c r="BA90" s="488">
        <f t="shared" ca="1" si="22"/>
        <v>0</v>
      </c>
      <c r="BB90" s="488">
        <f t="shared" ca="1" si="22"/>
        <v>0</v>
      </c>
      <c r="BC90" s="488">
        <f t="shared" ca="1" si="22"/>
        <v>0</v>
      </c>
      <c r="BD90" s="488">
        <f t="shared" ca="1" si="22"/>
        <v>0</v>
      </c>
      <c r="BE90" s="488">
        <f t="shared" ca="1" si="22"/>
        <v>0</v>
      </c>
      <c r="BF90" s="488">
        <f t="shared" ca="1" si="22"/>
        <v>0</v>
      </c>
      <c r="BG90" s="488">
        <f t="shared" ca="1" si="22"/>
        <v>0</v>
      </c>
      <c r="BH90" s="488">
        <f t="shared" ca="1" si="22"/>
        <v>0</v>
      </c>
      <c r="BI90" s="488">
        <f t="shared" ca="1" si="22"/>
        <v>0</v>
      </c>
    </row>
    <row r="91" spans="1:61" outlineLevel="1" x14ac:dyDescent="0.15">
      <c r="A91" s="498">
        <v>38</v>
      </c>
      <c r="B91" s="488" t="str">
        <f t="shared" ca="1" si="20"/>
        <v/>
      </c>
      <c r="C91" s="488" t="str">
        <f t="shared" ca="1" si="20"/>
        <v/>
      </c>
      <c r="D91" s="488" t="str">
        <f t="shared" ca="1" si="20"/>
        <v/>
      </c>
      <c r="E91" s="488" t="str">
        <f t="shared" ca="1" si="20"/>
        <v/>
      </c>
      <c r="F91" s="488" t="str">
        <f t="shared" ca="1" si="20"/>
        <v/>
      </c>
      <c r="G91" s="488" t="str">
        <f t="shared" ca="1" si="20"/>
        <v/>
      </c>
      <c r="H91" s="488" t="str">
        <f t="shared" ca="1" si="20"/>
        <v/>
      </c>
      <c r="I91" s="488" t="str">
        <f t="shared" ca="1" si="20"/>
        <v/>
      </c>
      <c r="J91" s="488" t="str">
        <f t="shared" ca="1" si="20"/>
        <v/>
      </c>
      <c r="K91" s="488" t="str">
        <f t="shared" ca="1" si="20"/>
        <v/>
      </c>
      <c r="L91" s="488" t="str">
        <f t="shared" ca="1" si="20"/>
        <v/>
      </c>
      <c r="M91" s="488" t="str">
        <f t="shared" ca="1" si="20"/>
        <v/>
      </c>
      <c r="N91" s="488" t="str">
        <f t="shared" ca="1" si="20"/>
        <v/>
      </c>
      <c r="O91" s="488" t="str">
        <f t="shared" ca="1" si="20"/>
        <v/>
      </c>
      <c r="P91" s="488" t="str">
        <f t="shared" ca="1" si="20"/>
        <v/>
      </c>
      <c r="Q91" s="488" t="str">
        <f t="shared" ca="1" si="20"/>
        <v/>
      </c>
      <c r="R91" s="488" t="str">
        <f t="shared" ca="1" si="22"/>
        <v/>
      </c>
      <c r="S91" s="488" t="str">
        <f t="shared" ca="1" si="22"/>
        <v/>
      </c>
      <c r="T91" s="488" t="str">
        <f t="shared" ca="1" si="22"/>
        <v/>
      </c>
      <c r="U91" s="488" t="str">
        <f t="shared" ca="1" si="22"/>
        <v/>
      </c>
      <c r="V91" s="488" t="str">
        <f t="shared" ca="1" si="22"/>
        <v/>
      </c>
      <c r="W91" s="488" t="str">
        <f t="shared" ca="1" si="22"/>
        <v/>
      </c>
      <c r="X91" s="488" t="str">
        <f t="shared" ca="1" si="22"/>
        <v/>
      </c>
      <c r="Y91" s="488" t="str">
        <f t="shared" ca="1" si="22"/>
        <v/>
      </c>
      <c r="Z91" s="488" t="str">
        <f t="shared" ca="1" si="22"/>
        <v/>
      </c>
      <c r="AA91" s="488" t="str">
        <f t="shared" ca="1" si="22"/>
        <v/>
      </c>
      <c r="AB91" s="488" t="str">
        <f t="shared" ca="1" si="22"/>
        <v/>
      </c>
      <c r="AC91" s="488" t="str">
        <f t="shared" ca="1" si="22"/>
        <v/>
      </c>
      <c r="AD91" s="488" t="str">
        <f t="shared" ca="1" si="22"/>
        <v/>
      </c>
      <c r="AE91" s="488" t="str">
        <f t="shared" ca="1" si="22"/>
        <v/>
      </c>
      <c r="AF91" s="488" t="str">
        <f t="shared" ca="1" si="22"/>
        <v/>
      </c>
      <c r="AG91" s="488" t="str">
        <f t="shared" ca="1" si="22"/>
        <v/>
      </c>
      <c r="AH91" s="488" t="str">
        <f t="shared" ca="1" si="22"/>
        <v/>
      </c>
      <c r="AI91" s="488" t="str">
        <f t="shared" ca="1" si="22"/>
        <v/>
      </c>
      <c r="AJ91" s="488" t="str">
        <f t="shared" ca="1" si="22"/>
        <v/>
      </c>
      <c r="AK91" s="488" t="str">
        <f t="shared" ca="1" si="22"/>
        <v/>
      </c>
      <c r="AL91" s="488" t="str">
        <f t="shared" ca="1" si="22"/>
        <v/>
      </c>
      <c r="AM91" s="488">
        <f t="shared" ca="1" si="22"/>
        <v>0</v>
      </c>
      <c r="AN91" s="488">
        <f t="shared" ca="1" si="22"/>
        <v>0</v>
      </c>
      <c r="AO91" s="488">
        <f t="shared" ca="1" si="22"/>
        <v>0</v>
      </c>
      <c r="AP91" s="488">
        <f t="shared" ca="1" si="22"/>
        <v>0</v>
      </c>
      <c r="AQ91" s="488">
        <f t="shared" ca="1" si="22"/>
        <v>0</v>
      </c>
      <c r="AR91" s="488">
        <f t="shared" ca="1" si="22"/>
        <v>0</v>
      </c>
      <c r="AS91" s="488">
        <f t="shared" ca="1" si="22"/>
        <v>0</v>
      </c>
      <c r="AT91" s="488">
        <f t="shared" ca="1" si="22"/>
        <v>0</v>
      </c>
      <c r="AU91" s="488">
        <f t="shared" ca="1" si="22"/>
        <v>0</v>
      </c>
      <c r="AV91" s="488">
        <f t="shared" ca="1" si="22"/>
        <v>0</v>
      </c>
      <c r="AW91" s="488">
        <f t="shared" ca="1" si="22"/>
        <v>0</v>
      </c>
      <c r="AX91" s="488">
        <f t="shared" ca="1" si="22"/>
        <v>0</v>
      </c>
      <c r="AY91" s="488">
        <f t="shared" ca="1" si="22"/>
        <v>0</v>
      </c>
      <c r="AZ91" s="488">
        <f t="shared" ca="1" si="22"/>
        <v>0</v>
      </c>
      <c r="BA91" s="488">
        <f t="shared" ca="1" si="22"/>
        <v>0</v>
      </c>
      <c r="BB91" s="488">
        <f t="shared" ca="1" si="22"/>
        <v>0</v>
      </c>
      <c r="BC91" s="488">
        <f t="shared" ca="1" si="22"/>
        <v>0</v>
      </c>
      <c r="BD91" s="488">
        <f t="shared" ca="1" si="22"/>
        <v>0</v>
      </c>
      <c r="BE91" s="488">
        <f t="shared" ca="1" si="22"/>
        <v>0</v>
      </c>
      <c r="BF91" s="488">
        <f t="shared" ca="1" si="22"/>
        <v>0</v>
      </c>
      <c r="BG91" s="488">
        <f t="shared" ca="1" si="22"/>
        <v>0</v>
      </c>
      <c r="BH91" s="488">
        <f t="shared" ca="1" si="22"/>
        <v>0</v>
      </c>
      <c r="BI91" s="488">
        <f t="shared" ca="1" si="22"/>
        <v>0</v>
      </c>
    </row>
    <row r="92" spans="1:61" outlineLevel="1" x14ac:dyDescent="0.15">
      <c r="A92" s="498">
        <v>39</v>
      </c>
      <c r="B92" s="488" t="str">
        <f t="shared" ca="1" si="20"/>
        <v/>
      </c>
      <c r="C92" s="488" t="str">
        <f t="shared" ca="1" si="20"/>
        <v/>
      </c>
      <c r="D92" s="488" t="str">
        <f t="shared" ca="1" si="20"/>
        <v/>
      </c>
      <c r="E92" s="488" t="str">
        <f t="shared" ca="1" si="20"/>
        <v/>
      </c>
      <c r="F92" s="488" t="str">
        <f t="shared" ca="1" si="20"/>
        <v/>
      </c>
      <c r="G92" s="488" t="str">
        <f t="shared" ca="1" si="20"/>
        <v/>
      </c>
      <c r="H92" s="488" t="str">
        <f t="shared" ca="1" si="20"/>
        <v/>
      </c>
      <c r="I92" s="488" t="str">
        <f t="shared" ca="1" si="20"/>
        <v/>
      </c>
      <c r="J92" s="488" t="str">
        <f t="shared" ca="1" si="20"/>
        <v/>
      </c>
      <c r="K92" s="488" t="str">
        <f t="shared" ca="1" si="20"/>
        <v/>
      </c>
      <c r="L92" s="488" t="str">
        <f t="shared" ca="1" si="20"/>
        <v/>
      </c>
      <c r="M92" s="488" t="str">
        <f t="shared" ca="1" si="20"/>
        <v/>
      </c>
      <c r="N92" s="488" t="str">
        <f t="shared" ca="1" si="20"/>
        <v/>
      </c>
      <c r="O92" s="488" t="str">
        <f t="shared" ca="1" si="20"/>
        <v/>
      </c>
      <c r="P92" s="488" t="str">
        <f t="shared" ca="1" si="20"/>
        <v/>
      </c>
      <c r="Q92" s="488" t="str">
        <f t="shared" ca="1" si="20"/>
        <v/>
      </c>
      <c r="R92" s="488" t="str">
        <f t="shared" ca="1" si="22"/>
        <v/>
      </c>
      <c r="S92" s="488" t="str">
        <f t="shared" ca="1" si="22"/>
        <v/>
      </c>
      <c r="T92" s="488" t="str">
        <f t="shared" ca="1" si="22"/>
        <v/>
      </c>
      <c r="U92" s="488" t="str">
        <f t="shared" ca="1" si="22"/>
        <v/>
      </c>
      <c r="V92" s="488" t="str">
        <f t="shared" ca="1" si="22"/>
        <v/>
      </c>
      <c r="W92" s="488" t="str">
        <f t="shared" ca="1" si="22"/>
        <v/>
      </c>
      <c r="X92" s="488" t="str">
        <f t="shared" ca="1" si="22"/>
        <v/>
      </c>
      <c r="Y92" s="488" t="str">
        <f t="shared" ca="1" si="22"/>
        <v/>
      </c>
      <c r="Z92" s="488" t="str">
        <f t="shared" ca="1" si="22"/>
        <v/>
      </c>
      <c r="AA92" s="488" t="str">
        <f t="shared" ca="1" si="22"/>
        <v/>
      </c>
      <c r="AB92" s="488" t="str">
        <f t="shared" ca="1" si="22"/>
        <v/>
      </c>
      <c r="AC92" s="488" t="str">
        <f t="shared" ca="1" si="22"/>
        <v/>
      </c>
      <c r="AD92" s="488" t="str">
        <f t="shared" ca="1" si="22"/>
        <v/>
      </c>
      <c r="AE92" s="488" t="str">
        <f t="shared" ca="1" si="22"/>
        <v/>
      </c>
      <c r="AF92" s="488" t="str">
        <f t="shared" ca="1" si="22"/>
        <v/>
      </c>
      <c r="AG92" s="488" t="str">
        <f t="shared" ca="1" si="22"/>
        <v/>
      </c>
      <c r="AH92" s="488" t="str">
        <f t="shared" ca="1" si="22"/>
        <v/>
      </c>
      <c r="AI92" s="488" t="str">
        <f t="shared" ca="1" si="22"/>
        <v/>
      </c>
      <c r="AJ92" s="488" t="str">
        <f t="shared" ca="1" si="22"/>
        <v/>
      </c>
      <c r="AK92" s="488" t="str">
        <f t="shared" ca="1" si="22"/>
        <v/>
      </c>
      <c r="AL92" s="488" t="str">
        <f t="shared" ca="1" si="22"/>
        <v/>
      </c>
      <c r="AM92" s="488" t="str">
        <f t="shared" ca="1" si="22"/>
        <v/>
      </c>
      <c r="AN92" s="488">
        <f t="shared" ca="1" si="22"/>
        <v>0</v>
      </c>
      <c r="AO92" s="488">
        <f t="shared" ca="1" si="22"/>
        <v>0</v>
      </c>
      <c r="AP92" s="488">
        <f t="shared" ca="1" si="22"/>
        <v>0</v>
      </c>
      <c r="AQ92" s="488">
        <f t="shared" ca="1" si="22"/>
        <v>0</v>
      </c>
      <c r="AR92" s="488">
        <f t="shared" ca="1" si="22"/>
        <v>0</v>
      </c>
      <c r="AS92" s="488">
        <f t="shared" ca="1" si="22"/>
        <v>0</v>
      </c>
      <c r="AT92" s="488">
        <f t="shared" ca="1" si="22"/>
        <v>0</v>
      </c>
      <c r="AU92" s="488">
        <f t="shared" ca="1" si="22"/>
        <v>0</v>
      </c>
      <c r="AV92" s="488">
        <f t="shared" ca="1" si="22"/>
        <v>0</v>
      </c>
      <c r="AW92" s="488">
        <f t="shared" ca="1" si="22"/>
        <v>0</v>
      </c>
      <c r="AX92" s="488">
        <f t="shared" ca="1" si="22"/>
        <v>0</v>
      </c>
      <c r="AY92" s="488">
        <f t="shared" ca="1" si="22"/>
        <v>0</v>
      </c>
      <c r="AZ92" s="488">
        <f t="shared" ca="1" si="22"/>
        <v>0</v>
      </c>
      <c r="BA92" s="488">
        <f t="shared" ref="BA92:CR97" ca="1" si="23">IF($A92&gt;BA$5,"",OFFSET(BA$53,0,-($A92-1)))</f>
        <v>0</v>
      </c>
      <c r="BB92" s="488">
        <f t="shared" ca="1" si="23"/>
        <v>0</v>
      </c>
      <c r="BC92" s="488">
        <f t="shared" ca="1" si="23"/>
        <v>0</v>
      </c>
      <c r="BD92" s="488">
        <f t="shared" ca="1" si="23"/>
        <v>0</v>
      </c>
      <c r="BE92" s="488">
        <f t="shared" ca="1" si="23"/>
        <v>0</v>
      </c>
      <c r="BF92" s="488">
        <f t="shared" ca="1" si="23"/>
        <v>0</v>
      </c>
      <c r="BG92" s="488">
        <f t="shared" ca="1" si="23"/>
        <v>0</v>
      </c>
      <c r="BH92" s="488">
        <f t="shared" ca="1" si="23"/>
        <v>0</v>
      </c>
      <c r="BI92" s="488">
        <f t="shared" ca="1" si="23"/>
        <v>0</v>
      </c>
    </row>
    <row r="93" spans="1:61" outlineLevel="1" x14ac:dyDescent="0.15">
      <c r="A93" s="498">
        <v>40</v>
      </c>
      <c r="B93" s="488" t="str">
        <f t="shared" ca="1" si="20"/>
        <v/>
      </c>
      <c r="C93" s="488" t="str">
        <f t="shared" ca="1" si="20"/>
        <v/>
      </c>
      <c r="D93" s="488" t="str">
        <f t="shared" ca="1" si="20"/>
        <v/>
      </c>
      <c r="E93" s="488" t="str">
        <f t="shared" ca="1" si="20"/>
        <v/>
      </c>
      <c r="F93" s="488" t="str">
        <f t="shared" ca="1" si="20"/>
        <v/>
      </c>
      <c r="G93" s="488" t="str">
        <f t="shared" ca="1" si="20"/>
        <v/>
      </c>
      <c r="H93" s="488" t="str">
        <f t="shared" ca="1" si="20"/>
        <v/>
      </c>
      <c r="I93" s="488" t="str">
        <f t="shared" ca="1" si="20"/>
        <v/>
      </c>
      <c r="J93" s="488" t="str">
        <f t="shared" ca="1" si="20"/>
        <v/>
      </c>
      <c r="K93" s="488" t="str">
        <f t="shared" ca="1" si="20"/>
        <v/>
      </c>
      <c r="L93" s="488" t="str">
        <f t="shared" ca="1" si="20"/>
        <v/>
      </c>
      <c r="M93" s="488" t="str">
        <f t="shared" ca="1" si="20"/>
        <v/>
      </c>
      <c r="N93" s="488" t="str">
        <f t="shared" ca="1" si="20"/>
        <v/>
      </c>
      <c r="O93" s="488" t="str">
        <f t="shared" ca="1" si="20"/>
        <v/>
      </c>
      <c r="P93" s="488" t="str">
        <f t="shared" ca="1" si="20"/>
        <v/>
      </c>
      <c r="Q93" s="488" t="str">
        <f t="shared" ca="1" si="20"/>
        <v/>
      </c>
      <c r="R93" s="488" t="str">
        <f t="shared" ref="R93:BI98" ca="1" si="24">IF($A93&gt;R$5,"",OFFSET(R$53,0,-($A93-1)))</f>
        <v/>
      </c>
      <c r="S93" s="488" t="str">
        <f t="shared" ca="1" si="24"/>
        <v/>
      </c>
      <c r="T93" s="488" t="str">
        <f t="shared" ca="1" si="24"/>
        <v/>
      </c>
      <c r="U93" s="488" t="str">
        <f t="shared" ca="1" si="24"/>
        <v/>
      </c>
      <c r="V93" s="488" t="str">
        <f t="shared" ca="1" si="24"/>
        <v/>
      </c>
      <c r="W93" s="488" t="str">
        <f t="shared" ca="1" si="24"/>
        <v/>
      </c>
      <c r="X93" s="488" t="str">
        <f t="shared" ca="1" si="24"/>
        <v/>
      </c>
      <c r="Y93" s="488" t="str">
        <f t="shared" ca="1" si="24"/>
        <v/>
      </c>
      <c r="Z93" s="488" t="str">
        <f t="shared" ca="1" si="24"/>
        <v/>
      </c>
      <c r="AA93" s="488" t="str">
        <f t="shared" ca="1" si="24"/>
        <v/>
      </c>
      <c r="AB93" s="488" t="str">
        <f t="shared" ca="1" si="24"/>
        <v/>
      </c>
      <c r="AC93" s="488" t="str">
        <f t="shared" ca="1" si="24"/>
        <v/>
      </c>
      <c r="AD93" s="488" t="str">
        <f t="shared" ca="1" si="24"/>
        <v/>
      </c>
      <c r="AE93" s="488" t="str">
        <f t="shared" ca="1" si="24"/>
        <v/>
      </c>
      <c r="AF93" s="488" t="str">
        <f t="shared" ca="1" si="24"/>
        <v/>
      </c>
      <c r="AG93" s="488" t="str">
        <f t="shared" ca="1" si="24"/>
        <v/>
      </c>
      <c r="AH93" s="488" t="str">
        <f t="shared" ca="1" si="24"/>
        <v/>
      </c>
      <c r="AI93" s="488" t="str">
        <f t="shared" ca="1" si="24"/>
        <v/>
      </c>
      <c r="AJ93" s="488" t="str">
        <f t="shared" ca="1" si="24"/>
        <v/>
      </c>
      <c r="AK93" s="488" t="str">
        <f t="shared" ca="1" si="24"/>
        <v/>
      </c>
      <c r="AL93" s="488" t="str">
        <f t="shared" ca="1" si="24"/>
        <v/>
      </c>
      <c r="AM93" s="488" t="str">
        <f t="shared" ca="1" si="24"/>
        <v/>
      </c>
      <c r="AN93" s="488" t="str">
        <f t="shared" ca="1" si="24"/>
        <v/>
      </c>
      <c r="AO93" s="488">
        <f t="shared" ca="1" si="24"/>
        <v>0</v>
      </c>
      <c r="AP93" s="488">
        <f t="shared" ca="1" si="24"/>
        <v>0</v>
      </c>
      <c r="AQ93" s="488">
        <f t="shared" ca="1" si="24"/>
        <v>0</v>
      </c>
      <c r="AR93" s="488">
        <f t="shared" ca="1" si="24"/>
        <v>0</v>
      </c>
      <c r="AS93" s="488">
        <f t="shared" ca="1" si="24"/>
        <v>0</v>
      </c>
      <c r="AT93" s="488">
        <f t="shared" ca="1" si="24"/>
        <v>0</v>
      </c>
      <c r="AU93" s="488">
        <f t="shared" ca="1" si="24"/>
        <v>0</v>
      </c>
      <c r="AV93" s="488">
        <f t="shared" ca="1" si="24"/>
        <v>0</v>
      </c>
      <c r="AW93" s="488">
        <f t="shared" ca="1" si="24"/>
        <v>0</v>
      </c>
      <c r="AX93" s="488">
        <f t="shared" ca="1" si="24"/>
        <v>0</v>
      </c>
      <c r="AY93" s="488">
        <f t="shared" ca="1" si="24"/>
        <v>0</v>
      </c>
      <c r="AZ93" s="488">
        <f t="shared" ca="1" si="24"/>
        <v>0</v>
      </c>
      <c r="BA93" s="488">
        <f t="shared" ca="1" si="24"/>
        <v>0</v>
      </c>
      <c r="BB93" s="488">
        <f t="shared" ca="1" si="24"/>
        <v>0</v>
      </c>
      <c r="BC93" s="488">
        <f t="shared" ca="1" si="24"/>
        <v>0</v>
      </c>
      <c r="BD93" s="488">
        <f t="shared" ca="1" si="24"/>
        <v>0</v>
      </c>
      <c r="BE93" s="488">
        <f t="shared" ca="1" si="24"/>
        <v>0</v>
      </c>
      <c r="BF93" s="488">
        <f t="shared" ca="1" si="24"/>
        <v>0</v>
      </c>
      <c r="BG93" s="488">
        <f t="shared" ca="1" si="24"/>
        <v>0</v>
      </c>
      <c r="BH93" s="488">
        <f t="shared" ca="1" si="24"/>
        <v>0</v>
      </c>
      <c r="BI93" s="488">
        <f t="shared" ca="1" si="24"/>
        <v>0</v>
      </c>
    </row>
    <row r="94" spans="1:61" outlineLevel="1" x14ac:dyDescent="0.15">
      <c r="A94" s="498">
        <v>41</v>
      </c>
      <c r="B94" s="488" t="str">
        <f t="shared" ca="1" si="20"/>
        <v/>
      </c>
      <c r="C94" s="488" t="str">
        <f t="shared" ca="1" si="20"/>
        <v/>
      </c>
      <c r="D94" s="488" t="str">
        <f t="shared" ca="1" si="20"/>
        <v/>
      </c>
      <c r="E94" s="488" t="str">
        <f t="shared" ca="1" si="20"/>
        <v/>
      </c>
      <c r="F94" s="488" t="str">
        <f t="shared" ca="1" si="20"/>
        <v/>
      </c>
      <c r="G94" s="488" t="str">
        <f t="shared" ca="1" si="20"/>
        <v/>
      </c>
      <c r="H94" s="488" t="str">
        <f t="shared" ca="1" si="20"/>
        <v/>
      </c>
      <c r="I94" s="488" t="str">
        <f t="shared" ca="1" si="20"/>
        <v/>
      </c>
      <c r="J94" s="488" t="str">
        <f t="shared" ca="1" si="20"/>
        <v/>
      </c>
      <c r="K94" s="488" t="str">
        <f t="shared" ca="1" si="20"/>
        <v/>
      </c>
      <c r="L94" s="488" t="str">
        <f t="shared" ca="1" si="20"/>
        <v/>
      </c>
      <c r="M94" s="488" t="str">
        <f t="shared" ca="1" si="20"/>
        <v/>
      </c>
      <c r="N94" s="488" t="str">
        <f t="shared" ca="1" si="20"/>
        <v/>
      </c>
      <c r="O94" s="488" t="str">
        <f t="shared" ca="1" si="20"/>
        <v/>
      </c>
      <c r="P94" s="488" t="str">
        <f t="shared" ca="1" si="20"/>
        <v/>
      </c>
      <c r="Q94" s="488" t="str">
        <f t="shared" ca="1" si="20"/>
        <v/>
      </c>
      <c r="R94" s="488" t="str">
        <f t="shared" ca="1" si="24"/>
        <v/>
      </c>
      <c r="S94" s="488" t="str">
        <f t="shared" ca="1" si="24"/>
        <v/>
      </c>
      <c r="T94" s="488" t="str">
        <f t="shared" ca="1" si="24"/>
        <v/>
      </c>
      <c r="U94" s="488" t="str">
        <f t="shared" ca="1" si="24"/>
        <v/>
      </c>
      <c r="V94" s="488" t="str">
        <f t="shared" ca="1" si="24"/>
        <v/>
      </c>
      <c r="W94" s="488" t="str">
        <f t="shared" ca="1" si="24"/>
        <v/>
      </c>
      <c r="X94" s="488" t="str">
        <f t="shared" ca="1" si="24"/>
        <v/>
      </c>
      <c r="Y94" s="488" t="str">
        <f t="shared" ca="1" si="24"/>
        <v/>
      </c>
      <c r="Z94" s="488" t="str">
        <f t="shared" ca="1" si="24"/>
        <v/>
      </c>
      <c r="AA94" s="488" t="str">
        <f t="shared" ca="1" si="24"/>
        <v/>
      </c>
      <c r="AB94" s="488" t="str">
        <f t="shared" ca="1" si="24"/>
        <v/>
      </c>
      <c r="AC94" s="488" t="str">
        <f t="shared" ca="1" si="24"/>
        <v/>
      </c>
      <c r="AD94" s="488" t="str">
        <f t="shared" ca="1" si="24"/>
        <v/>
      </c>
      <c r="AE94" s="488" t="str">
        <f t="shared" ca="1" si="24"/>
        <v/>
      </c>
      <c r="AF94" s="488" t="str">
        <f t="shared" ca="1" si="24"/>
        <v/>
      </c>
      <c r="AG94" s="488" t="str">
        <f t="shared" ca="1" si="24"/>
        <v/>
      </c>
      <c r="AH94" s="488" t="str">
        <f t="shared" ca="1" si="24"/>
        <v/>
      </c>
      <c r="AI94" s="488" t="str">
        <f t="shared" ca="1" si="24"/>
        <v/>
      </c>
      <c r="AJ94" s="488" t="str">
        <f t="shared" ca="1" si="24"/>
        <v/>
      </c>
      <c r="AK94" s="488" t="str">
        <f t="shared" ca="1" si="24"/>
        <v/>
      </c>
      <c r="AL94" s="488" t="str">
        <f t="shared" ca="1" si="24"/>
        <v/>
      </c>
      <c r="AM94" s="488" t="str">
        <f t="shared" ca="1" si="24"/>
        <v/>
      </c>
      <c r="AN94" s="488" t="str">
        <f t="shared" ca="1" si="24"/>
        <v/>
      </c>
      <c r="AO94" s="488" t="str">
        <f t="shared" ca="1" si="24"/>
        <v/>
      </c>
      <c r="AP94" s="488">
        <f t="shared" ca="1" si="24"/>
        <v>0</v>
      </c>
      <c r="AQ94" s="488">
        <f t="shared" ca="1" si="24"/>
        <v>0</v>
      </c>
      <c r="AR94" s="488">
        <f t="shared" ca="1" si="24"/>
        <v>0</v>
      </c>
      <c r="AS94" s="488">
        <f t="shared" ca="1" si="24"/>
        <v>0</v>
      </c>
      <c r="AT94" s="488">
        <f t="shared" ca="1" si="24"/>
        <v>0</v>
      </c>
      <c r="AU94" s="488">
        <f t="shared" ca="1" si="24"/>
        <v>0</v>
      </c>
      <c r="AV94" s="488">
        <f t="shared" ca="1" si="24"/>
        <v>0</v>
      </c>
      <c r="AW94" s="488">
        <f t="shared" ca="1" si="24"/>
        <v>0</v>
      </c>
      <c r="AX94" s="488">
        <f t="shared" ca="1" si="24"/>
        <v>0</v>
      </c>
      <c r="AY94" s="488">
        <f t="shared" ca="1" si="24"/>
        <v>0</v>
      </c>
      <c r="AZ94" s="488">
        <f t="shared" ca="1" si="24"/>
        <v>0</v>
      </c>
      <c r="BA94" s="488">
        <f t="shared" ca="1" si="24"/>
        <v>0</v>
      </c>
      <c r="BB94" s="488">
        <f t="shared" ca="1" si="24"/>
        <v>0</v>
      </c>
      <c r="BC94" s="488">
        <f t="shared" ca="1" si="24"/>
        <v>0</v>
      </c>
      <c r="BD94" s="488">
        <f t="shared" ca="1" si="24"/>
        <v>0</v>
      </c>
      <c r="BE94" s="488">
        <f t="shared" ca="1" si="24"/>
        <v>0</v>
      </c>
      <c r="BF94" s="488">
        <f t="shared" ca="1" si="24"/>
        <v>0</v>
      </c>
      <c r="BG94" s="488">
        <f t="shared" ca="1" si="24"/>
        <v>0</v>
      </c>
      <c r="BH94" s="488">
        <f t="shared" ca="1" si="24"/>
        <v>0</v>
      </c>
      <c r="BI94" s="488">
        <f t="shared" ca="1" si="24"/>
        <v>0</v>
      </c>
    </row>
    <row r="95" spans="1:61" outlineLevel="1" x14ac:dyDescent="0.15">
      <c r="A95" s="498">
        <v>42</v>
      </c>
      <c r="B95" s="488" t="str">
        <f t="shared" ca="1" si="20"/>
        <v/>
      </c>
      <c r="C95" s="488" t="str">
        <f t="shared" ca="1" si="20"/>
        <v/>
      </c>
      <c r="D95" s="488" t="str">
        <f t="shared" ca="1" si="20"/>
        <v/>
      </c>
      <c r="E95" s="488" t="str">
        <f t="shared" ca="1" si="20"/>
        <v/>
      </c>
      <c r="F95" s="488" t="str">
        <f t="shared" ca="1" si="20"/>
        <v/>
      </c>
      <c r="G95" s="488" t="str">
        <f t="shared" ca="1" si="20"/>
        <v/>
      </c>
      <c r="H95" s="488" t="str">
        <f t="shared" ca="1" si="20"/>
        <v/>
      </c>
      <c r="I95" s="488" t="str">
        <f t="shared" ca="1" si="20"/>
        <v/>
      </c>
      <c r="J95" s="488" t="str">
        <f t="shared" ca="1" si="20"/>
        <v/>
      </c>
      <c r="K95" s="488" t="str">
        <f t="shared" ca="1" si="20"/>
        <v/>
      </c>
      <c r="L95" s="488" t="str">
        <f t="shared" ca="1" si="20"/>
        <v/>
      </c>
      <c r="M95" s="488" t="str">
        <f t="shared" ca="1" si="20"/>
        <v/>
      </c>
      <c r="N95" s="488" t="str">
        <f t="shared" ca="1" si="20"/>
        <v/>
      </c>
      <c r="O95" s="488" t="str">
        <f t="shared" ca="1" si="20"/>
        <v/>
      </c>
      <c r="P95" s="488" t="str">
        <f t="shared" ca="1" si="20"/>
        <v/>
      </c>
      <c r="Q95" s="488" t="str">
        <f t="shared" ca="1" si="20"/>
        <v/>
      </c>
      <c r="R95" s="488" t="str">
        <f t="shared" ca="1" si="24"/>
        <v/>
      </c>
      <c r="S95" s="488" t="str">
        <f t="shared" ca="1" si="24"/>
        <v/>
      </c>
      <c r="T95" s="488" t="str">
        <f t="shared" ca="1" si="24"/>
        <v/>
      </c>
      <c r="U95" s="488" t="str">
        <f t="shared" ca="1" si="24"/>
        <v/>
      </c>
      <c r="V95" s="488" t="str">
        <f t="shared" ca="1" si="24"/>
        <v/>
      </c>
      <c r="W95" s="488" t="str">
        <f t="shared" ca="1" si="24"/>
        <v/>
      </c>
      <c r="X95" s="488" t="str">
        <f t="shared" ca="1" si="24"/>
        <v/>
      </c>
      <c r="Y95" s="488" t="str">
        <f t="shared" ca="1" si="24"/>
        <v/>
      </c>
      <c r="Z95" s="488" t="str">
        <f t="shared" ca="1" si="24"/>
        <v/>
      </c>
      <c r="AA95" s="488" t="str">
        <f t="shared" ca="1" si="24"/>
        <v/>
      </c>
      <c r="AB95" s="488" t="str">
        <f t="shared" ca="1" si="24"/>
        <v/>
      </c>
      <c r="AC95" s="488" t="str">
        <f t="shared" ca="1" si="24"/>
        <v/>
      </c>
      <c r="AD95" s="488" t="str">
        <f t="shared" ca="1" si="24"/>
        <v/>
      </c>
      <c r="AE95" s="488" t="str">
        <f t="shared" ca="1" si="24"/>
        <v/>
      </c>
      <c r="AF95" s="488" t="str">
        <f t="shared" ca="1" si="24"/>
        <v/>
      </c>
      <c r="AG95" s="488" t="str">
        <f t="shared" ca="1" si="24"/>
        <v/>
      </c>
      <c r="AH95" s="488" t="str">
        <f t="shared" ca="1" si="24"/>
        <v/>
      </c>
      <c r="AI95" s="488" t="str">
        <f t="shared" ca="1" si="24"/>
        <v/>
      </c>
      <c r="AJ95" s="488" t="str">
        <f t="shared" ca="1" si="24"/>
        <v/>
      </c>
      <c r="AK95" s="488" t="str">
        <f t="shared" ca="1" si="24"/>
        <v/>
      </c>
      <c r="AL95" s="488" t="str">
        <f t="shared" ca="1" si="24"/>
        <v/>
      </c>
      <c r="AM95" s="488" t="str">
        <f t="shared" ca="1" si="24"/>
        <v/>
      </c>
      <c r="AN95" s="488" t="str">
        <f t="shared" ca="1" si="24"/>
        <v/>
      </c>
      <c r="AO95" s="488" t="str">
        <f t="shared" ca="1" si="24"/>
        <v/>
      </c>
      <c r="AP95" s="488" t="str">
        <f t="shared" ca="1" si="24"/>
        <v/>
      </c>
      <c r="AQ95" s="488">
        <f t="shared" ca="1" si="24"/>
        <v>0</v>
      </c>
      <c r="AR95" s="488">
        <f t="shared" ca="1" si="24"/>
        <v>0</v>
      </c>
      <c r="AS95" s="488">
        <f t="shared" ca="1" si="24"/>
        <v>0</v>
      </c>
      <c r="AT95" s="488">
        <f t="shared" ca="1" si="24"/>
        <v>0</v>
      </c>
      <c r="AU95" s="488">
        <f t="shared" ca="1" si="24"/>
        <v>0</v>
      </c>
      <c r="AV95" s="488">
        <f t="shared" ca="1" si="24"/>
        <v>0</v>
      </c>
      <c r="AW95" s="488">
        <f t="shared" ca="1" si="24"/>
        <v>0</v>
      </c>
      <c r="AX95" s="488">
        <f t="shared" ca="1" si="24"/>
        <v>0</v>
      </c>
      <c r="AY95" s="488">
        <f t="shared" ca="1" si="24"/>
        <v>0</v>
      </c>
      <c r="AZ95" s="488">
        <f t="shared" ca="1" si="24"/>
        <v>0</v>
      </c>
      <c r="BA95" s="488">
        <f t="shared" ca="1" si="24"/>
        <v>0</v>
      </c>
      <c r="BB95" s="488">
        <f t="shared" ca="1" si="24"/>
        <v>0</v>
      </c>
      <c r="BC95" s="488">
        <f t="shared" ca="1" si="24"/>
        <v>0</v>
      </c>
      <c r="BD95" s="488">
        <f t="shared" ca="1" si="24"/>
        <v>0</v>
      </c>
      <c r="BE95" s="488">
        <f t="shared" ca="1" si="24"/>
        <v>0</v>
      </c>
      <c r="BF95" s="488">
        <f t="shared" ca="1" si="24"/>
        <v>0</v>
      </c>
      <c r="BG95" s="488">
        <f t="shared" ca="1" si="24"/>
        <v>0</v>
      </c>
      <c r="BH95" s="488">
        <f t="shared" ca="1" si="24"/>
        <v>0</v>
      </c>
      <c r="BI95" s="488">
        <f t="shared" ca="1" si="24"/>
        <v>0</v>
      </c>
    </row>
    <row r="96" spans="1:61" outlineLevel="1" x14ac:dyDescent="0.15">
      <c r="A96" s="498">
        <v>43</v>
      </c>
      <c r="B96" s="488" t="str">
        <f t="shared" ca="1" si="20"/>
        <v/>
      </c>
      <c r="C96" s="488" t="str">
        <f t="shared" ca="1" si="20"/>
        <v/>
      </c>
      <c r="D96" s="488" t="str">
        <f t="shared" ca="1" si="20"/>
        <v/>
      </c>
      <c r="E96" s="488" t="str">
        <f t="shared" ca="1" si="20"/>
        <v/>
      </c>
      <c r="F96" s="488" t="str">
        <f t="shared" ca="1" si="20"/>
        <v/>
      </c>
      <c r="G96" s="488" t="str">
        <f t="shared" ca="1" si="20"/>
        <v/>
      </c>
      <c r="H96" s="488" t="str">
        <f t="shared" ca="1" si="20"/>
        <v/>
      </c>
      <c r="I96" s="488" t="str">
        <f t="shared" ca="1" si="20"/>
        <v/>
      </c>
      <c r="J96" s="488" t="str">
        <f t="shared" ca="1" si="20"/>
        <v/>
      </c>
      <c r="K96" s="488" t="str">
        <f t="shared" ca="1" si="20"/>
        <v/>
      </c>
      <c r="L96" s="488" t="str">
        <f t="shared" ca="1" si="20"/>
        <v/>
      </c>
      <c r="M96" s="488" t="str">
        <f t="shared" ca="1" si="20"/>
        <v/>
      </c>
      <c r="N96" s="488" t="str">
        <f t="shared" ca="1" si="20"/>
        <v/>
      </c>
      <c r="O96" s="488" t="str">
        <f t="shared" ca="1" si="20"/>
        <v/>
      </c>
      <c r="P96" s="488" t="str">
        <f t="shared" ca="1" si="20"/>
        <v/>
      </c>
      <c r="Q96" s="488" t="str">
        <f t="shared" ca="1" si="20"/>
        <v/>
      </c>
      <c r="R96" s="488" t="str">
        <f t="shared" ca="1" si="24"/>
        <v/>
      </c>
      <c r="S96" s="488" t="str">
        <f t="shared" ca="1" si="24"/>
        <v/>
      </c>
      <c r="T96" s="488" t="str">
        <f t="shared" ca="1" si="24"/>
        <v/>
      </c>
      <c r="U96" s="488" t="str">
        <f t="shared" ca="1" si="24"/>
        <v/>
      </c>
      <c r="V96" s="488" t="str">
        <f t="shared" ca="1" si="24"/>
        <v/>
      </c>
      <c r="W96" s="488" t="str">
        <f t="shared" ca="1" si="24"/>
        <v/>
      </c>
      <c r="X96" s="488" t="str">
        <f t="shared" ca="1" si="24"/>
        <v/>
      </c>
      <c r="Y96" s="488" t="str">
        <f t="shared" ca="1" si="24"/>
        <v/>
      </c>
      <c r="Z96" s="488" t="str">
        <f t="shared" ca="1" si="24"/>
        <v/>
      </c>
      <c r="AA96" s="488" t="str">
        <f t="shared" ca="1" si="24"/>
        <v/>
      </c>
      <c r="AB96" s="488" t="str">
        <f t="shared" ca="1" si="24"/>
        <v/>
      </c>
      <c r="AC96" s="488" t="str">
        <f t="shared" ca="1" si="24"/>
        <v/>
      </c>
      <c r="AD96" s="488" t="str">
        <f t="shared" ca="1" si="24"/>
        <v/>
      </c>
      <c r="AE96" s="488" t="str">
        <f t="shared" ca="1" si="24"/>
        <v/>
      </c>
      <c r="AF96" s="488" t="str">
        <f t="shared" ca="1" si="24"/>
        <v/>
      </c>
      <c r="AG96" s="488" t="str">
        <f t="shared" ca="1" si="24"/>
        <v/>
      </c>
      <c r="AH96" s="488" t="str">
        <f t="shared" ca="1" si="24"/>
        <v/>
      </c>
      <c r="AI96" s="488" t="str">
        <f t="shared" ca="1" si="24"/>
        <v/>
      </c>
      <c r="AJ96" s="488" t="str">
        <f t="shared" ca="1" si="24"/>
        <v/>
      </c>
      <c r="AK96" s="488" t="str">
        <f t="shared" ca="1" si="24"/>
        <v/>
      </c>
      <c r="AL96" s="488" t="str">
        <f t="shared" ca="1" si="24"/>
        <v/>
      </c>
      <c r="AM96" s="488" t="str">
        <f t="shared" ca="1" si="24"/>
        <v/>
      </c>
      <c r="AN96" s="488" t="str">
        <f t="shared" ca="1" si="24"/>
        <v/>
      </c>
      <c r="AO96" s="488" t="str">
        <f t="shared" ca="1" si="24"/>
        <v/>
      </c>
      <c r="AP96" s="488" t="str">
        <f t="shared" ca="1" si="24"/>
        <v/>
      </c>
      <c r="AQ96" s="488" t="str">
        <f t="shared" ca="1" si="24"/>
        <v/>
      </c>
      <c r="AR96" s="488">
        <f t="shared" ca="1" si="24"/>
        <v>0</v>
      </c>
      <c r="AS96" s="488">
        <f t="shared" ca="1" si="24"/>
        <v>0</v>
      </c>
      <c r="AT96" s="488">
        <f t="shared" ca="1" si="24"/>
        <v>0</v>
      </c>
      <c r="AU96" s="488">
        <f t="shared" ca="1" si="24"/>
        <v>0</v>
      </c>
      <c r="AV96" s="488">
        <f t="shared" ca="1" si="24"/>
        <v>0</v>
      </c>
      <c r="AW96" s="488">
        <f t="shared" ca="1" si="24"/>
        <v>0</v>
      </c>
      <c r="AX96" s="488">
        <f t="shared" ca="1" si="24"/>
        <v>0</v>
      </c>
      <c r="AY96" s="488">
        <f t="shared" ca="1" si="24"/>
        <v>0</v>
      </c>
      <c r="AZ96" s="488">
        <f t="shared" ca="1" si="24"/>
        <v>0</v>
      </c>
      <c r="BA96" s="488">
        <f t="shared" ca="1" si="24"/>
        <v>0</v>
      </c>
      <c r="BB96" s="488">
        <f t="shared" ca="1" si="24"/>
        <v>0</v>
      </c>
      <c r="BC96" s="488">
        <f t="shared" ca="1" si="24"/>
        <v>0</v>
      </c>
      <c r="BD96" s="488">
        <f t="shared" ca="1" si="24"/>
        <v>0</v>
      </c>
      <c r="BE96" s="488">
        <f t="shared" ca="1" si="24"/>
        <v>0</v>
      </c>
      <c r="BF96" s="488">
        <f t="shared" ca="1" si="24"/>
        <v>0</v>
      </c>
      <c r="BG96" s="488">
        <f t="shared" ca="1" si="24"/>
        <v>0</v>
      </c>
      <c r="BH96" s="488">
        <f t="shared" ca="1" si="24"/>
        <v>0</v>
      </c>
      <c r="BI96" s="488">
        <f t="shared" ca="1" si="24"/>
        <v>0</v>
      </c>
    </row>
    <row r="97" spans="1:61" outlineLevel="1" x14ac:dyDescent="0.15">
      <c r="A97" s="498">
        <v>44</v>
      </c>
      <c r="B97" s="488" t="str">
        <f t="shared" ca="1" si="20"/>
        <v/>
      </c>
      <c r="C97" s="488" t="str">
        <f t="shared" ca="1" si="20"/>
        <v/>
      </c>
      <c r="D97" s="488" t="str">
        <f t="shared" ca="1" si="20"/>
        <v/>
      </c>
      <c r="E97" s="488" t="str">
        <f t="shared" ca="1" si="20"/>
        <v/>
      </c>
      <c r="F97" s="488" t="str">
        <f t="shared" ca="1" si="20"/>
        <v/>
      </c>
      <c r="G97" s="488" t="str">
        <f t="shared" ca="1" si="20"/>
        <v/>
      </c>
      <c r="H97" s="488" t="str">
        <f t="shared" ca="1" si="20"/>
        <v/>
      </c>
      <c r="I97" s="488" t="str">
        <f t="shared" ca="1" si="20"/>
        <v/>
      </c>
      <c r="J97" s="488" t="str">
        <f t="shared" ca="1" si="20"/>
        <v/>
      </c>
      <c r="K97" s="488" t="str">
        <f t="shared" ca="1" si="20"/>
        <v/>
      </c>
      <c r="L97" s="488" t="str">
        <f t="shared" ca="1" si="20"/>
        <v/>
      </c>
      <c r="M97" s="488" t="str">
        <f t="shared" ca="1" si="20"/>
        <v/>
      </c>
      <c r="N97" s="488" t="str">
        <f t="shared" ca="1" si="20"/>
        <v/>
      </c>
      <c r="O97" s="488" t="str">
        <f t="shared" ca="1" si="20"/>
        <v/>
      </c>
      <c r="P97" s="488" t="str">
        <f t="shared" ca="1" si="20"/>
        <v/>
      </c>
      <c r="Q97" s="488" t="str">
        <f t="shared" ca="1" si="20"/>
        <v/>
      </c>
      <c r="R97" s="488" t="str">
        <f t="shared" ca="1" si="24"/>
        <v/>
      </c>
      <c r="S97" s="488" t="str">
        <f t="shared" ca="1" si="24"/>
        <v/>
      </c>
      <c r="T97" s="488" t="str">
        <f t="shared" ca="1" si="24"/>
        <v/>
      </c>
      <c r="U97" s="488" t="str">
        <f t="shared" ca="1" si="24"/>
        <v/>
      </c>
      <c r="V97" s="488" t="str">
        <f t="shared" ca="1" si="24"/>
        <v/>
      </c>
      <c r="W97" s="488" t="str">
        <f t="shared" ca="1" si="24"/>
        <v/>
      </c>
      <c r="X97" s="488" t="str">
        <f t="shared" ca="1" si="24"/>
        <v/>
      </c>
      <c r="Y97" s="488" t="str">
        <f t="shared" ca="1" si="24"/>
        <v/>
      </c>
      <c r="Z97" s="488" t="str">
        <f t="shared" ca="1" si="24"/>
        <v/>
      </c>
      <c r="AA97" s="488" t="str">
        <f t="shared" ca="1" si="24"/>
        <v/>
      </c>
      <c r="AB97" s="488" t="str">
        <f t="shared" ca="1" si="24"/>
        <v/>
      </c>
      <c r="AC97" s="488" t="str">
        <f t="shared" ca="1" si="24"/>
        <v/>
      </c>
      <c r="AD97" s="488" t="str">
        <f t="shared" ca="1" si="24"/>
        <v/>
      </c>
      <c r="AE97" s="488" t="str">
        <f t="shared" ca="1" si="24"/>
        <v/>
      </c>
      <c r="AF97" s="488" t="str">
        <f t="shared" ca="1" si="24"/>
        <v/>
      </c>
      <c r="AG97" s="488" t="str">
        <f t="shared" ca="1" si="24"/>
        <v/>
      </c>
      <c r="AH97" s="488" t="str">
        <f t="shared" ca="1" si="24"/>
        <v/>
      </c>
      <c r="AI97" s="488" t="str">
        <f t="shared" ca="1" si="24"/>
        <v/>
      </c>
      <c r="AJ97" s="488" t="str">
        <f t="shared" ca="1" si="24"/>
        <v/>
      </c>
      <c r="AK97" s="488" t="str">
        <f t="shared" ca="1" si="24"/>
        <v/>
      </c>
      <c r="AL97" s="488" t="str">
        <f t="shared" ca="1" si="24"/>
        <v/>
      </c>
      <c r="AM97" s="488" t="str">
        <f t="shared" ca="1" si="24"/>
        <v/>
      </c>
      <c r="AN97" s="488" t="str">
        <f t="shared" ca="1" si="24"/>
        <v/>
      </c>
      <c r="AO97" s="488" t="str">
        <f t="shared" ca="1" si="24"/>
        <v/>
      </c>
      <c r="AP97" s="488" t="str">
        <f t="shared" ca="1" si="24"/>
        <v/>
      </c>
      <c r="AQ97" s="488" t="str">
        <f t="shared" ca="1" si="24"/>
        <v/>
      </c>
      <c r="AR97" s="488" t="str">
        <f t="shared" ca="1" si="24"/>
        <v/>
      </c>
      <c r="AS97" s="488">
        <f t="shared" ca="1" si="24"/>
        <v>0</v>
      </c>
      <c r="AT97" s="488">
        <f t="shared" ca="1" si="24"/>
        <v>0</v>
      </c>
      <c r="AU97" s="488">
        <f t="shared" ca="1" si="24"/>
        <v>0</v>
      </c>
      <c r="AV97" s="488">
        <f t="shared" ca="1" si="24"/>
        <v>0</v>
      </c>
      <c r="AW97" s="488">
        <f t="shared" ca="1" si="24"/>
        <v>0</v>
      </c>
      <c r="AX97" s="488">
        <f t="shared" ca="1" si="24"/>
        <v>0</v>
      </c>
      <c r="AY97" s="488">
        <f t="shared" ca="1" si="24"/>
        <v>0</v>
      </c>
      <c r="AZ97" s="488">
        <f t="shared" ca="1" si="24"/>
        <v>0</v>
      </c>
      <c r="BA97" s="488">
        <f t="shared" ca="1" si="24"/>
        <v>0</v>
      </c>
      <c r="BB97" s="488">
        <f t="shared" ca="1" si="24"/>
        <v>0</v>
      </c>
      <c r="BC97" s="488">
        <f t="shared" ca="1" si="24"/>
        <v>0</v>
      </c>
      <c r="BD97" s="488">
        <f t="shared" ca="1" si="24"/>
        <v>0</v>
      </c>
      <c r="BE97" s="488">
        <f t="shared" ca="1" si="24"/>
        <v>0</v>
      </c>
      <c r="BF97" s="488">
        <f t="shared" ca="1" si="24"/>
        <v>0</v>
      </c>
      <c r="BG97" s="488">
        <f t="shared" ca="1" si="24"/>
        <v>0</v>
      </c>
      <c r="BH97" s="488">
        <f t="shared" ca="1" si="24"/>
        <v>0</v>
      </c>
      <c r="BI97" s="488">
        <f t="shared" ca="1" si="24"/>
        <v>0</v>
      </c>
    </row>
    <row r="98" spans="1:61" outlineLevel="1" x14ac:dyDescent="0.15">
      <c r="A98" s="498">
        <v>45</v>
      </c>
      <c r="B98" s="488" t="str">
        <f t="shared" ca="1" si="20"/>
        <v/>
      </c>
      <c r="C98" s="488" t="str">
        <f t="shared" ca="1" si="20"/>
        <v/>
      </c>
      <c r="D98" s="488" t="str">
        <f t="shared" ca="1" si="20"/>
        <v/>
      </c>
      <c r="E98" s="488" t="str">
        <f t="shared" ca="1" si="20"/>
        <v/>
      </c>
      <c r="F98" s="488" t="str">
        <f t="shared" ca="1" si="20"/>
        <v/>
      </c>
      <c r="G98" s="488" t="str">
        <f t="shared" ca="1" si="20"/>
        <v/>
      </c>
      <c r="H98" s="488" t="str">
        <f t="shared" ca="1" si="20"/>
        <v/>
      </c>
      <c r="I98" s="488" t="str">
        <f t="shared" ca="1" si="20"/>
        <v/>
      </c>
      <c r="J98" s="488" t="str">
        <f t="shared" ca="1" si="20"/>
        <v/>
      </c>
      <c r="K98" s="488" t="str">
        <f t="shared" ca="1" si="20"/>
        <v/>
      </c>
      <c r="L98" s="488" t="str">
        <f t="shared" ca="1" si="20"/>
        <v/>
      </c>
      <c r="M98" s="488" t="str">
        <f t="shared" ca="1" si="20"/>
        <v/>
      </c>
      <c r="N98" s="488" t="str">
        <f t="shared" ca="1" si="20"/>
        <v/>
      </c>
      <c r="O98" s="488" t="str">
        <f t="shared" ca="1" si="20"/>
        <v/>
      </c>
      <c r="P98" s="488" t="str">
        <f t="shared" ca="1" si="20"/>
        <v/>
      </c>
      <c r="Q98" s="488" t="str">
        <f t="shared" ca="1" si="20"/>
        <v/>
      </c>
      <c r="R98" s="488" t="str">
        <f t="shared" ca="1" si="24"/>
        <v/>
      </c>
      <c r="S98" s="488" t="str">
        <f t="shared" ca="1" si="24"/>
        <v/>
      </c>
      <c r="T98" s="488" t="str">
        <f t="shared" ca="1" si="24"/>
        <v/>
      </c>
      <c r="U98" s="488" t="str">
        <f t="shared" ca="1" si="24"/>
        <v/>
      </c>
      <c r="V98" s="488" t="str">
        <f t="shared" ca="1" si="24"/>
        <v/>
      </c>
      <c r="W98" s="488" t="str">
        <f t="shared" ca="1" si="24"/>
        <v/>
      </c>
      <c r="X98" s="488" t="str">
        <f t="shared" ca="1" si="24"/>
        <v/>
      </c>
      <c r="Y98" s="488" t="str">
        <f t="shared" ca="1" si="24"/>
        <v/>
      </c>
      <c r="Z98" s="488" t="str">
        <f t="shared" ca="1" si="24"/>
        <v/>
      </c>
      <c r="AA98" s="488" t="str">
        <f t="shared" ca="1" si="24"/>
        <v/>
      </c>
      <c r="AB98" s="488" t="str">
        <f t="shared" ca="1" si="24"/>
        <v/>
      </c>
      <c r="AC98" s="488" t="str">
        <f t="shared" ca="1" si="24"/>
        <v/>
      </c>
      <c r="AD98" s="488" t="str">
        <f t="shared" ca="1" si="24"/>
        <v/>
      </c>
      <c r="AE98" s="488" t="str">
        <f t="shared" ca="1" si="24"/>
        <v/>
      </c>
      <c r="AF98" s="488" t="str">
        <f t="shared" ca="1" si="24"/>
        <v/>
      </c>
      <c r="AG98" s="488" t="str">
        <f t="shared" ca="1" si="24"/>
        <v/>
      </c>
      <c r="AH98" s="488" t="str">
        <f t="shared" ca="1" si="24"/>
        <v/>
      </c>
      <c r="AI98" s="488" t="str">
        <f t="shared" ca="1" si="24"/>
        <v/>
      </c>
      <c r="AJ98" s="488" t="str">
        <f t="shared" ca="1" si="24"/>
        <v/>
      </c>
      <c r="AK98" s="488" t="str">
        <f t="shared" ca="1" si="24"/>
        <v/>
      </c>
      <c r="AL98" s="488" t="str">
        <f t="shared" ca="1" si="24"/>
        <v/>
      </c>
      <c r="AM98" s="488" t="str">
        <f t="shared" ca="1" si="24"/>
        <v/>
      </c>
      <c r="AN98" s="488" t="str">
        <f t="shared" ca="1" si="24"/>
        <v/>
      </c>
      <c r="AO98" s="488" t="str">
        <f t="shared" ca="1" si="24"/>
        <v/>
      </c>
      <c r="AP98" s="488" t="str">
        <f t="shared" ca="1" si="24"/>
        <v/>
      </c>
      <c r="AQ98" s="488" t="str">
        <f t="shared" ca="1" si="24"/>
        <v/>
      </c>
      <c r="AR98" s="488" t="str">
        <f t="shared" ca="1" si="24"/>
        <v/>
      </c>
      <c r="AS98" s="488" t="str">
        <f t="shared" ca="1" si="24"/>
        <v/>
      </c>
      <c r="AT98" s="488">
        <f t="shared" ca="1" si="24"/>
        <v>0</v>
      </c>
      <c r="AU98" s="488">
        <f t="shared" ca="1" si="24"/>
        <v>0</v>
      </c>
      <c r="AV98" s="488">
        <f t="shared" ca="1" si="24"/>
        <v>0</v>
      </c>
      <c r="AW98" s="488">
        <f t="shared" ca="1" si="24"/>
        <v>0</v>
      </c>
      <c r="AX98" s="488">
        <f t="shared" ca="1" si="24"/>
        <v>0</v>
      </c>
      <c r="AY98" s="488">
        <f t="shared" ca="1" si="24"/>
        <v>0</v>
      </c>
      <c r="AZ98" s="488">
        <f t="shared" ca="1" si="24"/>
        <v>0</v>
      </c>
      <c r="BA98" s="488">
        <f t="shared" ref="BA98:CR102" ca="1" si="25">IF($A98&gt;BA$5,"",OFFSET(BA$53,0,-($A98-1)))</f>
        <v>0</v>
      </c>
      <c r="BB98" s="488">
        <f t="shared" ca="1" si="25"/>
        <v>0</v>
      </c>
      <c r="BC98" s="488">
        <f t="shared" ca="1" si="25"/>
        <v>0</v>
      </c>
      <c r="BD98" s="488">
        <f t="shared" ca="1" si="25"/>
        <v>0</v>
      </c>
      <c r="BE98" s="488">
        <f t="shared" ca="1" si="25"/>
        <v>0</v>
      </c>
      <c r="BF98" s="488">
        <f t="shared" ca="1" si="25"/>
        <v>0</v>
      </c>
      <c r="BG98" s="488">
        <f t="shared" ca="1" si="25"/>
        <v>0</v>
      </c>
      <c r="BH98" s="488">
        <f t="shared" ca="1" si="25"/>
        <v>0</v>
      </c>
      <c r="BI98" s="488">
        <f t="shared" ca="1" si="25"/>
        <v>0</v>
      </c>
    </row>
    <row r="99" spans="1:61" outlineLevel="1" x14ac:dyDescent="0.15">
      <c r="A99" s="498">
        <v>46</v>
      </c>
      <c r="B99" s="488" t="str">
        <f t="shared" ca="1" si="20"/>
        <v/>
      </c>
      <c r="C99" s="488" t="str">
        <f t="shared" ca="1" si="20"/>
        <v/>
      </c>
      <c r="D99" s="488" t="str">
        <f t="shared" ca="1" si="20"/>
        <v/>
      </c>
      <c r="E99" s="488" t="str">
        <f t="shared" ca="1" si="20"/>
        <v/>
      </c>
      <c r="F99" s="488" t="str">
        <f t="shared" ca="1" si="20"/>
        <v/>
      </c>
      <c r="G99" s="488" t="str">
        <f t="shared" ca="1" si="20"/>
        <v/>
      </c>
      <c r="H99" s="488" t="str">
        <f t="shared" ca="1" si="20"/>
        <v/>
      </c>
      <c r="I99" s="488" t="str">
        <f t="shared" ca="1" si="20"/>
        <v/>
      </c>
      <c r="J99" s="488" t="str">
        <f t="shared" ca="1" si="20"/>
        <v/>
      </c>
      <c r="K99" s="488" t="str">
        <f t="shared" ca="1" si="20"/>
        <v/>
      </c>
      <c r="L99" s="488" t="str">
        <f t="shared" ca="1" si="20"/>
        <v/>
      </c>
      <c r="M99" s="488" t="str">
        <f t="shared" ca="1" si="20"/>
        <v/>
      </c>
      <c r="N99" s="488" t="str">
        <f t="shared" ca="1" si="20"/>
        <v/>
      </c>
      <c r="O99" s="488" t="str">
        <f t="shared" ca="1" si="20"/>
        <v/>
      </c>
      <c r="P99" s="488" t="str">
        <f t="shared" ca="1" si="20"/>
        <v/>
      </c>
      <c r="Q99" s="488" t="str">
        <f t="shared" ca="1" si="20"/>
        <v/>
      </c>
      <c r="R99" s="488" t="str">
        <f t="shared" ref="R99:BI103" ca="1" si="26">IF($A99&gt;R$5,"",OFFSET(R$53,0,-($A99-1)))</f>
        <v/>
      </c>
      <c r="S99" s="488" t="str">
        <f t="shared" ca="1" si="26"/>
        <v/>
      </c>
      <c r="T99" s="488" t="str">
        <f t="shared" ca="1" si="26"/>
        <v/>
      </c>
      <c r="U99" s="488" t="str">
        <f t="shared" ca="1" si="26"/>
        <v/>
      </c>
      <c r="V99" s="488" t="str">
        <f t="shared" ca="1" si="26"/>
        <v/>
      </c>
      <c r="W99" s="488" t="str">
        <f t="shared" ca="1" si="26"/>
        <v/>
      </c>
      <c r="X99" s="488" t="str">
        <f t="shared" ca="1" si="26"/>
        <v/>
      </c>
      <c r="Y99" s="488" t="str">
        <f t="shared" ca="1" si="26"/>
        <v/>
      </c>
      <c r="Z99" s="488" t="str">
        <f t="shared" ca="1" si="26"/>
        <v/>
      </c>
      <c r="AA99" s="488" t="str">
        <f t="shared" ca="1" si="26"/>
        <v/>
      </c>
      <c r="AB99" s="488" t="str">
        <f t="shared" ca="1" si="26"/>
        <v/>
      </c>
      <c r="AC99" s="488" t="str">
        <f t="shared" ca="1" si="26"/>
        <v/>
      </c>
      <c r="AD99" s="488" t="str">
        <f t="shared" ca="1" si="26"/>
        <v/>
      </c>
      <c r="AE99" s="488" t="str">
        <f t="shared" ca="1" si="26"/>
        <v/>
      </c>
      <c r="AF99" s="488" t="str">
        <f t="shared" ca="1" si="26"/>
        <v/>
      </c>
      <c r="AG99" s="488" t="str">
        <f t="shared" ca="1" si="26"/>
        <v/>
      </c>
      <c r="AH99" s="488" t="str">
        <f t="shared" ca="1" si="26"/>
        <v/>
      </c>
      <c r="AI99" s="488" t="str">
        <f t="shared" ca="1" si="26"/>
        <v/>
      </c>
      <c r="AJ99" s="488" t="str">
        <f t="shared" ca="1" si="26"/>
        <v/>
      </c>
      <c r="AK99" s="488" t="str">
        <f t="shared" ca="1" si="26"/>
        <v/>
      </c>
      <c r="AL99" s="488" t="str">
        <f t="shared" ca="1" si="26"/>
        <v/>
      </c>
      <c r="AM99" s="488" t="str">
        <f t="shared" ca="1" si="26"/>
        <v/>
      </c>
      <c r="AN99" s="488" t="str">
        <f t="shared" ca="1" si="26"/>
        <v/>
      </c>
      <c r="AO99" s="488" t="str">
        <f t="shared" ca="1" si="26"/>
        <v/>
      </c>
      <c r="AP99" s="488" t="str">
        <f t="shared" ca="1" si="26"/>
        <v/>
      </c>
      <c r="AQ99" s="488" t="str">
        <f t="shared" ca="1" si="26"/>
        <v/>
      </c>
      <c r="AR99" s="488" t="str">
        <f t="shared" ca="1" si="26"/>
        <v/>
      </c>
      <c r="AS99" s="488" t="str">
        <f t="shared" ca="1" si="26"/>
        <v/>
      </c>
      <c r="AT99" s="488" t="str">
        <f t="shared" ca="1" si="26"/>
        <v/>
      </c>
      <c r="AU99" s="488">
        <f t="shared" ca="1" si="26"/>
        <v>0</v>
      </c>
      <c r="AV99" s="488">
        <f t="shared" ca="1" si="26"/>
        <v>0</v>
      </c>
      <c r="AW99" s="488">
        <f t="shared" ca="1" si="26"/>
        <v>0</v>
      </c>
      <c r="AX99" s="488">
        <f t="shared" ca="1" si="26"/>
        <v>0</v>
      </c>
      <c r="AY99" s="488">
        <f t="shared" ca="1" si="26"/>
        <v>0</v>
      </c>
      <c r="AZ99" s="488">
        <f t="shared" ca="1" si="26"/>
        <v>0</v>
      </c>
      <c r="BA99" s="488">
        <f t="shared" ca="1" si="26"/>
        <v>0</v>
      </c>
      <c r="BB99" s="488">
        <f t="shared" ca="1" si="26"/>
        <v>0</v>
      </c>
      <c r="BC99" s="488">
        <f t="shared" ca="1" si="26"/>
        <v>0</v>
      </c>
      <c r="BD99" s="488">
        <f t="shared" ca="1" si="26"/>
        <v>0</v>
      </c>
      <c r="BE99" s="488">
        <f t="shared" ca="1" si="26"/>
        <v>0</v>
      </c>
      <c r="BF99" s="488">
        <f t="shared" ca="1" si="26"/>
        <v>0</v>
      </c>
      <c r="BG99" s="488">
        <f t="shared" ca="1" si="26"/>
        <v>0</v>
      </c>
      <c r="BH99" s="488">
        <f t="shared" ca="1" si="26"/>
        <v>0</v>
      </c>
      <c r="BI99" s="488">
        <f t="shared" ca="1" si="26"/>
        <v>0</v>
      </c>
    </row>
    <row r="100" spans="1:61" outlineLevel="1" x14ac:dyDescent="0.15">
      <c r="A100" s="498">
        <v>47</v>
      </c>
      <c r="B100" s="488" t="str">
        <f t="shared" ca="1" si="20"/>
        <v/>
      </c>
      <c r="C100" s="488" t="str">
        <f t="shared" ca="1" si="20"/>
        <v/>
      </c>
      <c r="D100" s="488" t="str">
        <f t="shared" ca="1" si="20"/>
        <v/>
      </c>
      <c r="E100" s="488" t="str">
        <f t="shared" ca="1" si="20"/>
        <v/>
      </c>
      <c r="F100" s="488" t="str">
        <f t="shared" ca="1" si="20"/>
        <v/>
      </c>
      <c r="G100" s="488" t="str">
        <f t="shared" ca="1" si="20"/>
        <v/>
      </c>
      <c r="H100" s="488" t="str">
        <f t="shared" ca="1" si="20"/>
        <v/>
      </c>
      <c r="I100" s="488" t="str">
        <f t="shared" ca="1" si="20"/>
        <v/>
      </c>
      <c r="J100" s="488" t="str">
        <f t="shared" ca="1" si="20"/>
        <v/>
      </c>
      <c r="K100" s="488" t="str">
        <f t="shared" ca="1" si="20"/>
        <v/>
      </c>
      <c r="L100" s="488" t="str">
        <f t="shared" ca="1" si="20"/>
        <v/>
      </c>
      <c r="M100" s="488" t="str">
        <f t="shared" ca="1" si="20"/>
        <v/>
      </c>
      <c r="N100" s="488" t="str">
        <f t="shared" ca="1" si="20"/>
        <v/>
      </c>
      <c r="O100" s="488" t="str">
        <f t="shared" ca="1" si="20"/>
        <v/>
      </c>
      <c r="P100" s="488" t="str">
        <f t="shared" ca="1" si="20"/>
        <v/>
      </c>
      <c r="Q100" s="488" t="str">
        <f t="shared" ca="1" si="20"/>
        <v/>
      </c>
      <c r="R100" s="488" t="str">
        <f t="shared" ca="1" si="26"/>
        <v/>
      </c>
      <c r="S100" s="488" t="str">
        <f t="shared" ca="1" si="26"/>
        <v/>
      </c>
      <c r="T100" s="488" t="str">
        <f t="shared" ca="1" si="26"/>
        <v/>
      </c>
      <c r="U100" s="488" t="str">
        <f t="shared" ca="1" si="26"/>
        <v/>
      </c>
      <c r="V100" s="488" t="str">
        <f t="shared" ca="1" si="26"/>
        <v/>
      </c>
      <c r="W100" s="488" t="str">
        <f t="shared" ca="1" si="26"/>
        <v/>
      </c>
      <c r="X100" s="488" t="str">
        <f t="shared" ca="1" si="26"/>
        <v/>
      </c>
      <c r="Y100" s="488" t="str">
        <f t="shared" ca="1" si="26"/>
        <v/>
      </c>
      <c r="Z100" s="488" t="str">
        <f t="shared" ca="1" si="26"/>
        <v/>
      </c>
      <c r="AA100" s="488" t="str">
        <f t="shared" ca="1" si="26"/>
        <v/>
      </c>
      <c r="AB100" s="488" t="str">
        <f t="shared" ca="1" si="26"/>
        <v/>
      </c>
      <c r="AC100" s="488" t="str">
        <f t="shared" ca="1" si="26"/>
        <v/>
      </c>
      <c r="AD100" s="488" t="str">
        <f t="shared" ca="1" si="26"/>
        <v/>
      </c>
      <c r="AE100" s="488" t="str">
        <f t="shared" ca="1" si="26"/>
        <v/>
      </c>
      <c r="AF100" s="488" t="str">
        <f t="shared" ca="1" si="26"/>
        <v/>
      </c>
      <c r="AG100" s="488" t="str">
        <f t="shared" ca="1" si="26"/>
        <v/>
      </c>
      <c r="AH100" s="488" t="str">
        <f t="shared" ca="1" si="26"/>
        <v/>
      </c>
      <c r="AI100" s="488" t="str">
        <f t="shared" ca="1" si="26"/>
        <v/>
      </c>
      <c r="AJ100" s="488" t="str">
        <f t="shared" ca="1" si="26"/>
        <v/>
      </c>
      <c r="AK100" s="488" t="str">
        <f t="shared" ca="1" si="26"/>
        <v/>
      </c>
      <c r="AL100" s="488" t="str">
        <f t="shared" ca="1" si="26"/>
        <v/>
      </c>
      <c r="AM100" s="488" t="str">
        <f t="shared" ca="1" si="26"/>
        <v/>
      </c>
      <c r="AN100" s="488" t="str">
        <f t="shared" ca="1" si="26"/>
        <v/>
      </c>
      <c r="AO100" s="488" t="str">
        <f t="shared" ca="1" si="26"/>
        <v/>
      </c>
      <c r="AP100" s="488" t="str">
        <f t="shared" ca="1" si="26"/>
        <v/>
      </c>
      <c r="AQ100" s="488" t="str">
        <f t="shared" ca="1" si="26"/>
        <v/>
      </c>
      <c r="AR100" s="488" t="str">
        <f t="shared" ca="1" si="26"/>
        <v/>
      </c>
      <c r="AS100" s="488" t="str">
        <f t="shared" ca="1" si="26"/>
        <v/>
      </c>
      <c r="AT100" s="488" t="str">
        <f t="shared" ca="1" si="26"/>
        <v/>
      </c>
      <c r="AU100" s="488" t="str">
        <f t="shared" ca="1" si="26"/>
        <v/>
      </c>
      <c r="AV100" s="488">
        <f t="shared" ca="1" si="26"/>
        <v>0</v>
      </c>
      <c r="AW100" s="488">
        <f t="shared" ca="1" si="26"/>
        <v>0</v>
      </c>
      <c r="AX100" s="488">
        <f t="shared" ca="1" si="26"/>
        <v>0</v>
      </c>
      <c r="AY100" s="488">
        <f t="shared" ca="1" si="26"/>
        <v>0</v>
      </c>
      <c r="AZ100" s="488">
        <f t="shared" ca="1" si="26"/>
        <v>0</v>
      </c>
      <c r="BA100" s="488">
        <f t="shared" ca="1" si="26"/>
        <v>0</v>
      </c>
      <c r="BB100" s="488">
        <f t="shared" ca="1" si="26"/>
        <v>0</v>
      </c>
      <c r="BC100" s="488">
        <f t="shared" ca="1" si="26"/>
        <v>0</v>
      </c>
      <c r="BD100" s="488">
        <f t="shared" ca="1" si="26"/>
        <v>0</v>
      </c>
      <c r="BE100" s="488">
        <f t="shared" ca="1" si="26"/>
        <v>0</v>
      </c>
      <c r="BF100" s="488">
        <f t="shared" ca="1" si="26"/>
        <v>0</v>
      </c>
      <c r="BG100" s="488">
        <f t="shared" ca="1" si="26"/>
        <v>0</v>
      </c>
      <c r="BH100" s="488">
        <f t="shared" ca="1" si="26"/>
        <v>0</v>
      </c>
      <c r="BI100" s="488">
        <f t="shared" ca="1" si="26"/>
        <v>0</v>
      </c>
    </row>
    <row r="101" spans="1:61" outlineLevel="1" x14ac:dyDescent="0.15">
      <c r="A101" s="498">
        <v>48</v>
      </c>
      <c r="B101" s="488" t="str">
        <f t="shared" ca="1" si="20"/>
        <v/>
      </c>
      <c r="C101" s="488" t="str">
        <f t="shared" ca="1" si="20"/>
        <v/>
      </c>
      <c r="D101" s="488" t="str">
        <f t="shared" ca="1" si="20"/>
        <v/>
      </c>
      <c r="E101" s="488" t="str">
        <f t="shared" ca="1" si="20"/>
        <v/>
      </c>
      <c r="F101" s="488" t="str">
        <f t="shared" ca="1" si="20"/>
        <v/>
      </c>
      <c r="G101" s="488" t="str">
        <f t="shared" ca="1" si="20"/>
        <v/>
      </c>
      <c r="H101" s="488" t="str">
        <f t="shared" ca="1" si="20"/>
        <v/>
      </c>
      <c r="I101" s="488" t="str">
        <f t="shared" ca="1" si="20"/>
        <v/>
      </c>
      <c r="J101" s="488" t="str">
        <f t="shared" ca="1" si="20"/>
        <v/>
      </c>
      <c r="K101" s="488" t="str">
        <f t="shared" ca="1" si="20"/>
        <v/>
      </c>
      <c r="L101" s="488" t="str">
        <f t="shared" ca="1" si="20"/>
        <v/>
      </c>
      <c r="M101" s="488" t="str">
        <f t="shared" ca="1" si="20"/>
        <v/>
      </c>
      <c r="N101" s="488" t="str">
        <f t="shared" ca="1" si="20"/>
        <v/>
      </c>
      <c r="O101" s="488" t="str">
        <f t="shared" ca="1" si="20"/>
        <v/>
      </c>
      <c r="P101" s="488" t="str">
        <f t="shared" ca="1" si="20"/>
        <v/>
      </c>
      <c r="Q101" s="488" t="str">
        <f t="shared" ref="Q101:BI107" ca="1" si="27">IF($A101&gt;Q$5,"",OFFSET(Q$53,0,-($A101-1)))</f>
        <v/>
      </c>
      <c r="R101" s="488" t="str">
        <f t="shared" ca="1" si="27"/>
        <v/>
      </c>
      <c r="S101" s="488" t="str">
        <f t="shared" ca="1" si="27"/>
        <v/>
      </c>
      <c r="T101" s="488" t="str">
        <f t="shared" ca="1" si="27"/>
        <v/>
      </c>
      <c r="U101" s="488" t="str">
        <f t="shared" ca="1" si="27"/>
        <v/>
      </c>
      <c r="V101" s="488" t="str">
        <f t="shared" ca="1" si="27"/>
        <v/>
      </c>
      <c r="W101" s="488" t="str">
        <f t="shared" ca="1" si="27"/>
        <v/>
      </c>
      <c r="X101" s="488" t="str">
        <f t="shared" ca="1" si="27"/>
        <v/>
      </c>
      <c r="Y101" s="488" t="str">
        <f t="shared" ca="1" si="27"/>
        <v/>
      </c>
      <c r="Z101" s="488" t="str">
        <f t="shared" ca="1" si="27"/>
        <v/>
      </c>
      <c r="AA101" s="488" t="str">
        <f t="shared" ca="1" si="27"/>
        <v/>
      </c>
      <c r="AB101" s="488" t="str">
        <f t="shared" ca="1" si="27"/>
        <v/>
      </c>
      <c r="AC101" s="488" t="str">
        <f t="shared" ca="1" si="27"/>
        <v/>
      </c>
      <c r="AD101" s="488" t="str">
        <f t="shared" ca="1" si="27"/>
        <v/>
      </c>
      <c r="AE101" s="488" t="str">
        <f t="shared" ca="1" si="27"/>
        <v/>
      </c>
      <c r="AF101" s="488" t="str">
        <f t="shared" ca="1" si="27"/>
        <v/>
      </c>
      <c r="AG101" s="488" t="str">
        <f t="shared" ca="1" si="27"/>
        <v/>
      </c>
      <c r="AH101" s="488" t="str">
        <f t="shared" ca="1" si="27"/>
        <v/>
      </c>
      <c r="AI101" s="488" t="str">
        <f t="shared" ca="1" si="27"/>
        <v/>
      </c>
      <c r="AJ101" s="488" t="str">
        <f t="shared" ca="1" si="27"/>
        <v/>
      </c>
      <c r="AK101" s="488" t="str">
        <f t="shared" ca="1" si="27"/>
        <v/>
      </c>
      <c r="AL101" s="488" t="str">
        <f t="shared" ca="1" si="27"/>
        <v/>
      </c>
      <c r="AM101" s="488" t="str">
        <f t="shared" ca="1" si="27"/>
        <v/>
      </c>
      <c r="AN101" s="488" t="str">
        <f t="shared" ca="1" si="27"/>
        <v/>
      </c>
      <c r="AO101" s="488" t="str">
        <f t="shared" ca="1" si="27"/>
        <v/>
      </c>
      <c r="AP101" s="488" t="str">
        <f t="shared" ca="1" si="27"/>
        <v/>
      </c>
      <c r="AQ101" s="488" t="str">
        <f t="shared" ca="1" si="27"/>
        <v/>
      </c>
      <c r="AR101" s="488" t="str">
        <f t="shared" ca="1" si="27"/>
        <v/>
      </c>
      <c r="AS101" s="488" t="str">
        <f t="shared" ca="1" si="27"/>
        <v/>
      </c>
      <c r="AT101" s="488" t="str">
        <f t="shared" ca="1" si="27"/>
        <v/>
      </c>
      <c r="AU101" s="488" t="str">
        <f t="shared" ca="1" si="27"/>
        <v/>
      </c>
      <c r="AV101" s="488" t="str">
        <f t="shared" ca="1" si="27"/>
        <v/>
      </c>
      <c r="AW101" s="488">
        <f t="shared" ca="1" si="27"/>
        <v>0</v>
      </c>
      <c r="AX101" s="488">
        <f t="shared" ca="1" si="26"/>
        <v>0</v>
      </c>
      <c r="AY101" s="488">
        <f t="shared" ca="1" si="26"/>
        <v>0</v>
      </c>
      <c r="AZ101" s="488">
        <f t="shared" ca="1" si="26"/>
        <v>0</v>
      </c>
      <c r="BA101" s="488">
        <f t="shared" ca="1" si="26"/>
        <v>0</v>
      </c>
      <c r="BB101" s="488">
        <f t="shared" ca="1" si="26"/>
        <v>0</v>
      </c>
      <c r="BC101" s="488">
        <f t="shared" ca="1" si="26"/>
        <v>0</v>
      </c>
      <c r="BD101" s="488">
        <f t="shared" ca="1" si="26"/>
        <v>0</v>
      </c>
      <c r="BE101" s="488">
        <f t="shared" ca="1" si="26"/>
        <v>0</v>
      </c>
      <c r="BF101" s="488">
        <f t="shared" ca="1" si="26"/>
        <v>0</v>
      </c>
      <c r="BG101" s="488">
        <f t="shared" ca="1" si="26"/>
        <v>0</v>
      </c>
      <c r="BH101" s="488">
        <f t="shared" ca="1" si="26"/>
        <v>0</v>
      </c>
      <c r="BI101" s="488">
        <f t="shared" ca="1" si="26"/>
        <v>0</v>
      </c>
    </row>
    <row r="102" spans="1:61" outlineLevel="1" x14ac:dyDescent="0.15">
      <c r="A102" s="498">
        <v>49</v>
      </c>
      <c r="B102" s="488" t="str">
        <f t="shared" ref="B102:Q113" ca="1" si="28">IF($A102&gt;B$5,"",OFFSET(B$53,0,-($A102-1)))</f>
        <v/>
      </c>
      <c r="C102" s="488" t="str">
        <f t="shared" ca="1" si="28"/>
        <v/>
      </c>
      <c r="D102" s="488" t="str">
        <f t="shared" ca="1" si="28"/>
        <v/>
      </c>
      <c r="E102" s="488" t="str">
        <f t="shared" ca="1" si="28"/>
        <v/>
      </c>
      <c r="F102" s="488" t="str">
        <f t="shared" ca="1" si="28"/>
        <v/>
      </c>
      <c r="G102" s="488" t="str">
        <f t="shared" ca="1" si="28"/>
        <v/>
      </c>
      <c r="H102" s="488" t="str">
        <f t="shared" ca="1" si="28"/>
        <v/>
      </c>
      <c r="I102" s="488" t="str">
        <f t="shared" ca="1" si="28"/>
        <v/>
      </c>
      <c r="J102" s="488" t="str">
        <f t="shared" ca="1" si="28"/>
        <v/>
      </c>
      <c r="K102" s="488" t="str">
        <f t="shared" ca="1" si="28"/>
        <v/>
      </c>
      <c r="L102" s="488" t="str">
        <f t="shared" ca="1" si="28"/>
        <v/>
      </c>
      <c r="M102" s="488" t="str">
        <f t="shared" ca="1" si="28"/>
        <v/>
      </c>
      <c r="N102" s="488" t="str">
        <f t="shared" ca="1" si="28"/>
        <v/>
      </c>
      <c r="O102" s="488" t="str">
        <f t="shared" ca="1" si="28"/>
        <v/>
      </c>
      <c r="P102" s="488" t="str">
        <f t="shared" ca="1" si="28"/>
        <v/>
      </c>
      <c r="Q102" s="488" t="str">
        <f t="shared" ca="1" si="28"/>
        <v/>
      </c>
      <c r="R102" s="488" t="str">
        <f t="shared" ca="1" si="27"/>
        <v/>
      </c>
      <c r="S102" s="488" t="str">
        <f t="shared" ca="1" si="27"/>
        <v/>
      </c>
      <c r="T102" s="488" t="str">
        <f t="shared" ca="1" si="27"/>
        <v/>
      </c>
      <c r="U102" s="488" t="str">
        <f t="shared" ca="1" si="27"/>
        <v/>
      </c>
      <c r="V102" s="488" t="str">
        <f t="shared" ca="1" si="27"/>
        <v/>
      </c>
      <c r="W102" s="488" t="str">
        <f t="shared" ca="1" si="27"/>
        <v/>
      </c>
      <c r="X102" s="488" t="str">
        <f t="shared" ca="1" si="27"/>
        <v/>
      </c>
      <c r="Y102" s="488" t="str">
        <f t="shared" ca="1" si="27"/>
        <v/>
      </c>
      <c r="Z102" s="488" t="str">
        <f t="shared" ca="1" si="27"/>
        <v/>
      </c>
      <c r="AA102" s="488" t="str">
        <f t="shared" ca="1" si="27"/>
        <v/>
      </c>
      <c r="AB102" s="488" t="str">
        <f t="shared" ca="1" si="27"/>
        <v/>
      </c>
      <c r="AC102" s="488" t="str">
        <f t="shared" ca="1" si="27"/>
        <v/>
      </c>
      <c r="AD102" s="488" t="str">
        <f t="shared" ca="1" si="27"/>
        <v/>
      </c>
      <c r="AE102" s="488" t="str">
        <f t="shared" ca="1" si="27"/>
        <v/>
      </c>
      <c r="AF102" s="488" t="str">
        <f t="shared" ca="1" si="27"/>
        <v/>
      </c>
      <c r="AG102" s="488" t="str">
        <f t="shared" ca="1" si="27"/>
        <v/>
      </c>
      <c r="AH102" s="488" t="str">
        <f t="shared" ca="1" si="27"/>
        <v/>
      </c>
      <c r="AI102" s="488" t="str">
        <f t="shared" ca="1" si="27"/>
        <v/>
      </c>
      <c r="AJ102" s="488" t="str">
        <f t="shared" ca="1" si="27"/>
        <v/>
      </c>
      <c r="AK102" s="488" t="str">
        <f t="shared" ca="1" si="27"/>
        <v/>
      </c>
      <c r="AL102" s="488" t="str">
        <f t="shared" ca="1" si="27"/>
        <v/>
      </c>
      <c r="AM102" s="488" t="str">
        <f t="shared" ca="1" si="27"/>
        <v/>
      </c>
      <c r="AN102" s="488" t="str">
        <f t="shared" ca="1" si="27"/>
        <v/>
      </c>
      <c r="AO102" s="488" t="str">
        <f t="shared" ca="1" si="27"/>
        <v/>
      </c>
      <c r="AP102" s="488" t="str">
        <f t="shared" ca="1" si="27"/>
        <v/>
      </c>
      <c r="AQ102" s="488" t="str">
        <f t="shared" ca="1" si="27"/>
        <v/>
      </c>
      <c r="AR102" s="488" t="str">
        <f t="shared" ca="1" si="27"/>
        <v/>
      </c>
      <c r="AS102" s="488" t="str">
        <f t="shared" ca="1" si="27"/>
        <v/>
      </c>
      <c r="AT102" s="488" t="str">
        <f t="shared" ca="1" si="27"/>
        <v/>
      </c>
      <c r="AU102" s="488" t="str">
        <f t="shared" ca="1" si="27"/>
        <v/>
      </c>
      <c r="AV102" s="488" t="str">
        <f t="shared" ca="1" si="27"/>
        <v/>
      </c>
      <c r="AW102" s="488" t="str">
        <f t="shared" ca="1" si="27"/>
        <v/>
      </c>
      <c r="AX102" s="488">
        <f t="shared" ca="1" si="27"/>
        <v>0</v>
      </c>
      <c r="AY102" s="488">
        <f t="shared" ca="1" si="27"/>
        <v>0</v>
      </c>
      <c r="AZ102" s="488">
        <f t="shared" ca="1" si="27"/>
        <v>0</v>
      </c>
      <c r="BA102" s="488">
        <f t="shared" ca="1" si="27"/>
        <v>0</v>
      </c>
      <c r="BB102" s="488">
        <f t="shared" ca="1" si="27"/>
        <v>0</v>
      </c>
      <c r="BC102" s="488">
        <f t="shared" ca="1" si="27"/>
        <v>0</v>
      </c>
      <c r="BD102" s="488">
        <f t="shared" ca="1" si="27"/>
        <v>0</v>
      </c>
      <c r="BE102" s="488">
        <f t="shared" ca="1" si="27"/>
        <v>0</v>
      </c>
      <c r="BF102" s="488">
        <f t="shared" ca="1" si="27"/>
        <v>0</v>
      </c>
      <c r="BG102" s="488">
        <f t="shared" ca="1" si="27"/>
        <v>0</v>
      </c>
      <c r="BH102" s="488">
        <f t="shared" ca="1" si="27"/>
        <v>0</v>
      </c>
      <c r="BI102" s="488">
        <f t="shared" ca="1" si="27"/>
        <v>0</v>
      </c>
    </row>
    <row r="103" spans="1:61" outlineLevel="1" x14ac:dyDescent="0.15">
      <c r="A103" s="498">
        <v>50</v>
      </c>
      <c r="B103" s="488" t="str">
        <f t="shared" ca="1" si="28"/>
        <v/>
      </c>
      <c r="C103" s="488" t="str">
        <f t="shared" ca="1" si="28"/>
        <v/>
      </c>
      <c r="D103" s="488" t="str">
        <f t="shared" ca="1" si="28"/>
        <v/>
      </c>
      <c r="E103" s="488" t="str">
        <f t="shared" ca="1" si="28"/>
        <v/>
      </c>
      <c r="F103" s="488" t="str">
        <f t="shared" ca="1" si="28"/>
        <v/>
      </c>
      <c r="G103" s="488" t="str">
        <f t="shared" ca="1" si="28"/>
        <v/>
      </c>
      <c r="H103" s="488" t="str">
        <f t="shared" ca="1" si="28"/>
        <v/>
      </c>
      <c r="I103" s="488" t="str">
        <f t="shared" ca="1" si="28"/>
        <v/>
      </c>
      <c r="J103" s="488" t="str">
        <f t="shared" ca="1" si="28"/>
        <v/>
      </c>
      <c r="K103" s="488" t="str">
        <f t="shared" ca="1" si="28"/>
        <v/>
      </c>
      <c r="L103" s="488" t="str">
        <f t="shared" ca="1" si="28"/>
        <v/>
      </c>
      <c r="M103" s="488" t="str">
        <f t="shared" ca="1" si="28"/>
        <v/>
      </c>
      <c r="N103" s="488" t="str">
        <f t="shared" ca="1" si="28"/>
        <v/>
      </c>
      <c r="O103" s="488" t="str">
        <f t="shared" ca="1" si="28"/>
        <v/>
      </c>
      <c r="P103" s="488" t="str">
        <f t="shared" ca="1" si="28"/>
        <v/>
      </c>
      <c r="Q103" s="488" t="str">
        <f t="shared" ca="1" si="28"/>
        <v/>
      </c>
      <c r="R103" s="488" t="str">
        <f t="shared" ca="1" si="27"/>
        <v/>
      </c>
      <c r="S103" s="488" t="str">
        <f t="shared" ca="1" si="27"/>
        <v/>
      </c>
      <c r="T103" s="488" t="str">
        <f t="shared" ca="1" si="27"/>
        <v/>
      </c>
      <c r="U103" s="488" t="str">
        <f t="shared" ca="1" si="27"/>
        <v/>
      </c>
      <c r="V103" s="488" t="str">
        <f t="shared" ca="1" si="27"/>
        <v/>
      </c>
      <c r="W103" s="488" t="str">
        <f t="shared" ca="1" si="27"/>
        <v/>
      </c>
      <c r="X103" s="488" t="str">
        <f t="shared" ca="1" si="27"/>
        <v/>
      </c>
      <c r="Y103" s="488" t="str">
        <f t="shared" ca="1" si="27"/>
        <v/>
      </c>
      <c r="Z103" s="488" t="str">
        <f t="shared" ca="1" si="27"/>
        <v/>
      </c>
      <c r="AA103" s="488" t="str">
        <f t="shared" ca="1" si="27"/>
        <v/>
      </c>
      <c r="AB103" s="488" t="str">
        <f t="shared" ca="1" si="27"/>
        <v/>
      </c>
      <c r="AC103" s="488" t="str">
        <f t="shared" ca="1" si="27"/>
        <v/>
      </c>
      <c r="AD103" s="488" t="str">
        <f t="shared" ca="1" si="27"/>
        <v/>
      </c>
      <c r="AE103" s="488" t="str">
        <f t="shared" ca="1" si="27"/>
        <v/>
      </c>
      <c r="AF103" s="488" t="str">
        <f t="shared" ca="1" si="27"/>
        <v/>
      </c>
      <c r="AG103" s="488" t="str">
        <f t="shared" ca="1" si="27"/>
        <v/>
      </c>
      <c r="AH103" s="488" t="str">
        <f t="shared" ca="1" si="27"/>
        <v/>
      </c>
      <c r="AI103" s="488" t="str">
        <f t="shared" ca="1" si="27"/>
        <v/>
      </c>
      <c r="AJ103" s="488" t="str">
        <f t="shared" ca="1" si="27"/>
        <v/>
      </c>
      <c r="AK103" s="488" t="str">
        <f t="shared" ca="1" si="27"/>
        <v/>
      </c>
      <c r="AL103" s="488" t="str">
        <f t="shared" ca="1" si="27"/>
        <v/>
      </c>
      <c r="AM103" s="488" t="str">
        <f t="shared" ca="1" si="27"/>
        <v/>
      </c>
      <c r="AN103" s="488" t="str">
        <f t="shared" ca="1" si="27"/>
        <v/>
      </c>
      <c r="AO103" s="488" t="str">
        <f t="shared" ca="1" si="27"/>
        <v/>
      </c>
      <c r="AP103" s="488" t="str">
        <f t="shared" ca="1" si="27"/>
        <v/>
      </c>
      <c r="AQ103" s="488" t="str">
        <f t="shared" ca="1" si="27"/>
        <v/>
      </c>
      <c r="AR103" s="488" t="str">
        <f t="shared" ca="1" si="27"/>
        <v/>
      </c>
      <c r="AS103" s="488" t="str">
        <f t="shared" ca="1" si="27"/>
        <v/>
      </c>
      <c r="AT103" s="488" t="str">
        <f t="shared" ca="1" si="27"/>
        <v/>
      </c>
      <c r="AU103" s="488" t="str">
        <f t="shared" ca="1" si="27"/>
        <v/>
      </c>
      <c r="AV103" s="488" t="str">
        <f t="shared" ca="1" si="27"/>
        <v/>
      </c>
      <c r="AW103" s="488" t="str">
        <f t="shared" ca="1" si="27"/>
        <v/>
      </c>
      <c r="AX103" s="488" t="str">
        <f t="shared" ca="1" si="27"/>
        <v/>
      </c>
      <c r="AY103" s="488">
        <f t="shared" ca="1" si="27"/>
        <v>0</v>
      </c>
      <c r="AZ103" s="488">
        <f t="shared" ca="1" si="27"/>
        <v>0</v>
      </c>
      <c r="BA103" s="488">
        <f t="shared" ca="1" si="27"/>
        <v>0</v>
      </c>
      <c r="BB103" s="488">
        <f t="shared" ca="1" si="27"/>
        <v>0</v>
      </c>
      <c r="BC103" s="488">
        <f t="shared" ca="1" si="27"/>
        <v>0</v>
      </c>
      <c r="BD103" s="488">
        <f t="shared" ca="1" si="27"/>
        <v>0</v>
      </c>
      <c r="BE103" s="488">
        <f t="shared" ca="1" si="27"/>
        <v>0</v>
      </c>
      <c r="BF103" s="488">
        <f t="shared" ca="1" si="27"/>
        <v>0</v>
      </c>
      <c r="BG103" s="488">
        <f t="shared" ca="1" si="27"/>
        <v>0</v>
      </c>
      <c r="BH103" s="488">
        <f t="shared" ca="1" si="27"/>
        <v>0</v>
      </c>
      <c r="BI103" s="488">
        <f t="shared" ca="1" si="27"/>
        <v>0</v>
      </c>
    </row>
    <row r="104" spans="1:61" outlineLevel="1" x14ac:dyDescent="0.15">
      <c r="A104" s="498">
        <v>51</v>
      </c>
      <c r="B104" s="488" t="str">
        <f t="shared" ca="1" si="28"/>
        <v/>
      </c>
      <c r="C104" s="488" t="str">
        <f t="shared" ca="1" si="28"/>
        <v/>
      </c>
      <c r="D104" s="488" t="str">
        <f t="shared" ca="1" si="28"/>
        <v/>
      </c>
      <c r="E104" s="488" t="str">
        <f t="shared" ca="1" si="28"/>
        <v/>
      </c>
      <c r="F104" s="488" t="str">
        <f t="shared" ca="1" si="28"/>
        <v/>
      </c>
      <c r="G104" s="488" t="str">
        <f t="shared" ca="1" si="28"/>
        <v/>
      </c>
      <c r="H104" s="488" t="str">
        <f t="shared" ca="1" si="28"/>
        <v/>
      </c>
      <c r="I104" s="488" t="str">
        <f t="shared" ca="1" si="28"/>
        <v/>
      </c>
      <c r="J104" s="488" t="str">
        <f t="shared" ca="1" si="28"/>
        <v/>
      </c>
      <c r="K104" s="488" t="str">
        <f t="shared" ca="1" si="28"/>
        <v/>
      </c>
      <c r="L104" s="488" t="str">
        <f t="shared" ca="1" si="28"/>
        <v/>
      </c>
      <c r="M104" s="488" t="str">
        <f t="shared" ca="1" si="28"/>
        <v/>
      </c>
      <c r="N104" s="488" t="str">
        <f t="shared" ca="1" si="28"/>
        <v/>
      </c>
      <c r="O104" s="488" t="str">
        <f t="shared" ca="1" si="28"/>
        <v/>
      </c>
      <c r="P104" s="488" t="str">
        <f t="shared" ca="1" si="28"/>
        <v/>
      </c>
      <c r="Q104" s="488" t="str">
        <f t="shared" ca="1" si="28"/>
        <v/>
      </c>
      <c r="R104" s="488" t="str">
        <f t="shared" ca="1" si="27"/>
        <v/>
      </c>
      <c r="S104" s="488" t="str">
        <f t="shared" ca="1" si="27"/>
        <v/>
      </c>
      <c r="T104" s="488" t="str">
        <f t="shared" ca="1" si="27"/>
        <v/>
      </c>
      <c r="U104" s="488" t="str">
        <f t="shared" ca="1" si="27"/>
        <v/>
      </c>
      <c r="V104" s="488" t="str">
        <f t="shared" ca="1" si="27"/>
        <v/>
      </c>
      <c r="W104" s="488" t="str">
        <f t="shared" ca="1" si="27"/>
        <v/>
      </c>
      <c r="X104" s="488" t="str">
        <f t="shared" ca="1" si="27"/>
        <v/>
      </c>
      <c r="Y104" s="488" t="str">
        <f t="shared" ca="1" si="27"/>
        <v/>
      </c>
      <c r="Z104" s="488" t="str">
        <f t="shared" ca="1" si="27"/>
        <v/>
      </c>
      <c r="AA104" s="488" t="str">
        <f t="shared" ca="1" si="27"/>
        <v/>
      </c>
      <c r="AB104" s="488" t="str">
        <f t="shared" ca="1" si="27"/>
        <v/>
      </c>
      <c r="AC104" s="488" t="str">
        <f t="shared" ca="1" si="27"/>
        <v/>
      </c>
      <c r="AD104" s="488" t="str">
        <f t="shared" ca="1" si="27"/>
        <v/>
      </c>
      <c r="AE104" s="488" t="str">
        <f t="shared" ca="1" si="27"/>
        <v/>
      </c>
      <c r="AF104" s="488" t="str">
        <f t="shared" ca="1" si="27"/>
        <v/>
      </c>
      <c r="AG104" s="488" t="str">
        <f t="shared" ca="1" si="27"/>
        <v/>
      </c>
      <c r="AH104" s="488" t="str">
        <f t="shared" ca="1" si="27"/>
        <v/>
      </c>
      <c r="AI104" s="488" t="str">
        <f t="shared" ca="1" si="27"/>
        <v/>
      </c>
      <c r="AJ104" s="488" t="str">
        <f t="shared" ca="1" si="27"/>
        <v/>
      </c>
      <c r="AK104" s="488" t="str">
        <f t="shared" ca="1" si="27"/>
        <v/>
      </c>
      <c r="AL104" s="488" t="str">
        <f t="shared" ca="1" si="27"/>
        <v/>
      </c>
      <c r="AM104" s="488" t="str">
        <f t="shared" ca="1" si="27"/>
        <v/>
      </c>
      <c r="AN104" s="488" t="str">
        <f t="shared" ca="1" si="27"/>
        <v/>
      </c>
      <c r="AO104" s="488" t="str">
        <f t="shared" ca="1" si="27"/>
        <v/>
      </c>
      <c r="AP104" s="488" t="str">
        <f t="shared" ca="1" si="27"/>
        <v/>
      </c>
      <c r="AQ104" s="488" t="str">
        <f t="shared" ca="1" si="27"/>
        <v/>
      </c>
      <c r="AR104" s="488" t="str">
        <f t="shared" ca="1" si="27"/>
        <v/>
      </c>
      <c r="AS104" s="488" t="str">
        <f t="shared" ca="1" si="27"/>
        <v/>
      </c>
      <c r="AT104" s="488" t="str">
        <f t="shared" ca="1" si="27"/>
        <v/>
      </c>
      <c r="AU104" s="488" t="str">
        <f t="shared" ca="1" si="27"/>
        <v/>
      </c>
      <c r="AV104" s="488" t="str">
        <f t="shared" ca="1" si="27"/>
        <v/>
      </c>
      <c r="AW104" s="488" t="str">
        <f t="shared" ca="1" si="27"/>
        <v/>
      </c>
      <c r="AX104" s="488" t="str">
        <f t="shared" ca="1" si="27"/>
        <v/>
      </c>
      <c r="AY104" s="488" t="str">
        <f t="shared" ca="1" si="27"/>
        <v/>
      </c>
      <c r="AZ104" s="488">
        <f t="shared" ca="1" si="27"/>
        <v>0</v>
      </c>
      <c r="BA104" s="488">
        <f t="shared" ca="1" si="27"/>
        <v>0</v>
      </c>
      <c r="BB104" s="488">
        <f t="shared" ca="1" si="27"/>
        <v>0</v>
      </c>
      <c r="BC104" s="488">
        <f t="shared" ca="1" si="27"/>
        <v>0</v>
      </c>
      <c r="BD104" s="488">
        <f t="shared" ca="1" si="27"/>
        <v>0</v>
      </c>
      <c r="BE104" s="488">
        <f t="shared" ca="1" si="27"/>
        <v>0</v>
      </c>
      <c r="BF104" s="488">
        <f t="shared" ca="1" si="27"/>
        <v>0</v>
      </c>
      <c r="BG104" s="488">
        <f t="shared" ca="1" si="27"/>
        <v>0</v>
      </c>
      <c r="BH104" s="488">
        <f t="shared" ca="1" si="27"/>
        <v>0</v>
      </c>
      <c r="BI104" s="488">
        <f t="shared" ca="1" si="27"/>
        <v>0</v>
      </c>
    </row>
    <row r="105" spans="1:61" outlineLevel="1" x14ac:dyDescent="0.15">
      <c r="A105" s="498">
        <v>52</v>
      </c>
      <c r="B105" s="488" t="str">
        <f t="shared" ca="1" si="28"/>
        <v/>
      </c>
      <c r="C105" s="488" t="str">
        <f t="shared" ca="1" si="28"/>
        <v/>
      </c>
      <c r="D105" s="488" t="str">
        <f t="shared" ca="1" si="28"/>
        <v/>
      </c>
      <c r="E105" s="488" t="str">
        <f t="shared" ca="1" si="28"/>
        <v/>
      </c>
      <c r="F105" s="488" t="str">
        <f t="shared" ca="1" si="28"/>
        <v/>
      </c>
      <c r="G105" s="488" t="str">
        <f t="shared" ca="1" si="28"/>
        <v/>
      </c>
      <c r="H105" s="488" t="str">
        <f t="shared" ca="1" si="28"/>
        <v/>
      </c>
      <c r="I105" s="488" t="str">
        <f t="shared" ca="1" si="28"/>
        <v/>
      </c>
      <c r="J105" s="488" t="str">
        <f t="shared" ca="1" si="28"/>
        <v/>
      </c>
      <c r="K105" s="488" t="str">
        <f t="shared" ca="1" si="28"/>
        <v/>
      </c>
      <c r="L105" s="488" t="str">
        <f t="shared" ca="1" si="28"/>
        <v/>
      </c>
      <c r="M105" s="488" t="str">
        <f t="shared" ca="1" si="28"/>
        <v/>
      </c>
      <c r="N105" s="488" t="str">
        <f t="shared" ca="1" si="28"/>
        <v/>
      </c>
      <c r="O105" s="488" t="str">
        <f t="shared" ca="1" si="28"/>
        <v/>
      </c>
      <c r="P105" s="488" t="str">
        <f t="shared" ca="1" si="28"/>
        <v/>
      </c>
      <c r="Q105" s="488" t="str">
        <f t="shared" ca="1" si="28"/>
        <v/>
      </c>
      <c r="R105" s="488" t="str">
        <f t="shared" ca="1" si="27"/>
        <v/>
      </c>
      <c r="S105" s="488" t="str">
        <f t="shared" ca="1" si="27"/>
        <v/>
      </c>
      <c r="T105" s="488" t="str">
        <f t="shared" ca="1" si="27"/>
        <v/>
      </c>
      <c r="U105" s="488" t="str">
        <f t="shared" ca="1" si="27"/>
        <v/>
      </c>
      <c r="V105" s="488" t="str">
        <f t="shared" ca="1" si="27"/>
        <v/>
      </c>
      <c r="W105" s="488" t="str">
        <f t="shared" ca="1" si="27"/>
        <v/>
      </c>
      <c r="X105" s="488" t="str">
        <f t="shared" ca="1" si="27"/>
        <v/>
      </c>
      <c r="Y105" s="488" t="str">
        <f t="shared" ca="1" si="27"/>
        <v/>
      </c>
      <c r="Z105" s="488" t="str">
        <f t="shared" ca="1" si="27"/>
        <v/>
      </c>
      <c r="AA105" s="488" t="str">
        <f t="shared" ca="1" si="27"/>
        <v/>
      </c>
      <c r="AB105" s="488" t="str">
        <f t="shared" ca="1" si="27"/>
        <v/>
      </c>
      <c r="AC105" s="488" t="str">
        <f t="shared" ca="1" si="27"/>
        <v/>
      </c>
      <c r="AD105" s="488" t="str">
        <f t="shared" ca="1" si="27"/>
        <v/>
      </c>
      <c r="AE105" s="488" t="str">
        <f t="shared" ca="1" si="27"/>
        <v/>
      </c>
      <c r="AF105" s="488" t="str">
        <f t="shared" ca="1" si="27"/>
        <v/>
      </c>
      <c r="AG105" s="488" t="str">
        <f t="shared" ca="1" si="27"/>
        <v/>
      </c>
      <c r="AH105" s="488" t="str">
        <f t="shared" ca="1" si="27"/>
        <v/>
      </c>
      <c r="AI105" s="488" t="str">
        <f t="shared" ca="1" si="27"/>
        <v/>
      </c>
      <c r="AJ105" s="488" t="str">
        <f t="shared" ca="1" si="27"/>
        <v/>
      </c>
      <c r="AK105" s="488" t="str">
        <f t="shared" ca="1" si="27"/>
        <v/>
      </c>
      <c r="AL105" s="488" t="str">
        <f t="shared" ca="1" si="27"/>
        <v/>
      </c>
      <c r="AM105" s="488" t="str">
        <f t="shared" ca="1" si="27"/>
        <v/>
      </c>
      <c r="AN105" s="488" t="str">
        <f t="shared" ca="1" si="27"/>
        <v/>
      </c>
      <c r="AO105" s="488" t="str">
        <f t="shared" ca="1" si="27"/>
        <v/>
      </c>
      <c r="AP105" s="488" t="str">
        <f t="shared" ca="1" si="27"/>
        <v/>
      </c>
      <c r="AQ105" s="488" t="str">
        <f t="shared" ca="1" si="27"/>
        <v/>
      </c>
      <c r="AR105" s="488" t="str">
        <f t="shared" ca="1" si="27"/>
        <v/>
      </c>
      <c r="AS105" s="488" t="str">
        <f t="shared" ca="1" si="27"/>
        <v/>
      </c>
      <c r="AT105" s="488" t="str">
        <f t="shared" ca="1" si="27"/>
        <v/>
      </c>
      <c r="AU105" s="488" t="str">
        <f t="shared" ca="1" si="27"/>
        <v/>
      </c>
      <c r="AV105" s="488" t="str">
        <f t="shared" ca="1" si="27"/>
        <v/>
      </c>
      <c r="AW105" s="488" t="str">
        <f t="shared" ca="1" si="27"/>
        <v/>
      </c>
      <c r="AX105" s="488" t="str">
        <f t="shared" ca="1" si="27"/>
        <v/>
      </c>
      <c r="AY105" s="488" t="str">
        <f t="shared" ca="1" si="27"/>
        <v/>
      </c>
      <c r="AZ105" s="488" t="str">
        <f t="shared" ca="1" si="27"/>
        <v/>
      </c>
      <c r="BA105" s="488">
        <f t="shared" ca="1" si="27"/>
        <v>0</v>
      </c>
      <c r="BB105" s="488">
        <f t="shared" ca="1" si="27"/>
        <v>0</v>
      </c>
      <c r="BC105" s="488">
        <f t="shared" ca="1" si="27"/>
        <v>0</v>
      </c>
      <c r="BD105" s="488">
        <f t="shared" ca="1" si="27"/>
        <v>0</v>
      </c>
      <c r="BE105" s="488">
        <f t="shared" ca="1" si="27"/>
        <v>0</v>
      </c>
      <c r="BF105" s="488">
        <f t="shared" ca="1" si="27"/>
        <v>0</v>
      </c>
      <c r="BG105" s="488">
        <f t="shared" ca="1" si="27"/>
        <v>0</v>
      </c>
      <c r="BH105" s="488">
        <f t="shared" ca="1" si="27"/>
        <v>0</v>
      </c>
      <c r="BI105" s="488">
        <f t="shared" ca="1" si="27"/>
        <v>0</v>
      </c>
    </row>
    <row r="106" spans="1:61" outlineLevel="1" x14ac:dyDescent="0.15">
      <c r="A106" s="498">
        <v>53</v>
      </c>
      <c r="B106" s="488" t="str">
        <f t="shared" ca="1" si="28"/>
        <v/>
      </c>
      <c r="C106" s="488" t="str">
        <f t="shared" ca="1" si="28"/>
        <v/>
      </c>
      <c r="D106" s="488" t="str">
        <f t="shared" ca="1" si="28"/>
        <v/>
      </c>
      <c r="E106" s="488" t="str">
        <f t="shared" ca="1" si="28"/>
        <v/>
      </c>
      <c r="F106" s="488" t="str">
        <f t="shared" ca="1" si="28"/>
        <v/>
      </c>
      <c r="G106" s="488" t="str">
        <f t="shared" ca="1" si="28"/>
        <v/>
      </c>
      <c r="H106" s="488" t="str">
        <f t="shared" ca="1" si="28"/>
        <v/>
      </c>
      <c r="I106" s="488" t="str">
        <f t="shared" ca="1" si="28"/>
        <v/>
      </c>
      <c r="J106" s="488" t="str">
        <f t="shared" ca="1" si="28"/>
        <v/>
      </c>
      <c r="K106" s="488" t="str">
        <f t="shared" ca="1" si="28"/>
        <v/>
      </c>
      <c r="L106" s="488" t="str">
        <f t="shared" ca="1" si="28"/>
        <v/>
      </c>
      <c r="M106" s="488" t="str">
        <f t="shared" ca="1" si="28"/>
        <v/>
      </c>
      <c r="N106" s="488" t="str">
        <f t="shared" ca="1" si="28"/>
        <v/>
      </c>
      <c r="O106" s="488" t="str">
        <f t="shared" ca="1" si="28"/>
        <v/>
      </c>
      <c r="P106" s="488" t="str">
        <f t="shared" ca="1" si="28"/>
        <v/>
      </c>
      <c r="Q106" s="488" t="str">
        <f t="shared" ca="1" si="28"/>
        <v/>
      </c>
      <c r="R106" s="488" t="str">
        <f t="shared" ca="1" si="27"/>
        <v/>
      </c>
      <c r="S106" s="488" t="str">
        <f t="shared" ca="1" si="27"/>
        <v/>
      </c>
      <c r="T106" s="488" t="str">
        <f t="shared" ca="1" si="27"/>
        <v/>
      </c>
      <c r="U106" s="488" t="str">
        <f t="shared" ca="1" si="27"/>
        <v/>
      </c>
      <c r="V106" s="488" t="str">
        <f t="shared" ca="1" si="27"/>
        <v/>
      </c>
      <c r="W106" s="488" t="str">
        <f t="shared" ca="1" si="27"/>
        <v/>
      </c>
      <c r="X106" s="488" t="str">
        <f t="shared" ca="1" si="27"/>
        <v/>
      </c>
      <c r="Y106" s="488" t="str">
        <f t="shared" ca="1" si="27"/>
        <v/>
      </c>
      <c r="Z106" s="488" t="str">
        <f t="shared" ca="1" si="27"/>
        <v/>
      </c>
      <c r="AA106" s="488" t="str">
        <f t="shared" ca="1" si="27"/>
        <v/>
      </c>
      <c r="AB106" s="488" t="str">
        <f t="shared" ca="1" si="27"/>
        <v/>
      </c>
      <c r="AC106" s="488" t="str">
        <f t="shared" ca="1" si="27"/>
        <v/>
      </c>
      <c r="AD106" s="488" t="str">
        <f t="shared" ca="1" si="27"/>
        <v/>
      </c>
      <c r="AE106" s="488" t="str">
        <f t="shared" ca="1" si="27"/>
        <v/>
      </c>
      <c r="AF106" s="488" t="str">
        <f t="shared" ca="1" si="27"/>
        <v/>
      </c>
      <c r="AG106" s="488" t="str">
        <f t="shared" ca="1" si="27"/>
        <v/>
      </c>
      <c r="AH106" s="488" t="str">
        <f t="shared" ca="1" si="27"/>
        <v/>
      </c>
      <c r="AI106" s="488" t="str">
        <f t="shared" ca="1" si="27"/>
        <v/>
      </c>
      <c r="AJ106" s="488" t="str">
        <f t="shared" ca="1" si="27"/>
        <v/>
      </c>
      <c r="AK106" s="488" t="str">
        <f t="shared" ca="1" si="27"/>
        <v/>
      </c>
      <c r="AL106" s="488" t="str">
        <f t="shared" ca="1" si="27"/>
        <v/>
      </c>
      <c r="AM106" s="488" t="str">
        <f t="shared" ca="1" si="27"/>
        <v/>
      </c>
      <c r="AN106" s="488" t="str">
        <f t="shared" ca="1" si="27"/>
        <v/>
      </c>
      <c r="AO106" s="488" t="str">
        <f t="shared" ca="1" si="27"/>
        <v/>
      </c>
      <c r="AP106" s="488" t="str">
        <f t="shared" ca="1" si="27"/>
        <v/>
      </c>
      <c r="AQ106" s="488" t="str">
        <f t="shared" ca="1" si="27"/>
        <v/>
      </c>
      <c r="AR106" s="488" t="str">
        <f t="shared" ca="1" si="27"/>
        <v/>
      </c>
      <c r="AS106" s="488" t="str">
        <f t="shared" ca="1" si="27"/>
        <v/>
      </c>
      <c r="AT106" s="488" t="str">
        <f t="shared" ca="1" si="27"/>
        <v/>
      </c>
      <c r="AU106" s="488" t="str">
        <f t="shared" ca="1" si="27"/>
        <v/>
      </c>
      <c r="AV106" s="488" t="str">
        <f t="shared" ca="1" si="27"/>
        <v/>
      </c>
      <c r="AW106" s="488" t="str">
        <f t="shared" ca="1" si="27"/>
        <v/>
      </c>
      <c r="AX106" s="488" t="str">
        <f t="shared" ca="1" si="27"/>
        <v/>
      </c>
      <c r="AY106" s="488" t="str">
        <f t="shared" ca="1" si="27"/>
        <v/>
      </c>
      <c r="AZ106" s="488" t="str">
        <f t="shared" ca="1" si="27"/>
        <v/>
      </c>
      <c r="BA106" s="488" t="str">
        <f t="shared" ca="1" si="27"/>
        <v/>
      </c>
      <c r="BB106" s="488">
        <f t="shared" ca="1" si="27"/>
        <v>0</v>
      </c>
      <c r="BC106" s="488">
        <f t="shared" ca="1" si="27"/>
        <v>0</v>
      </c>
      <c r="BD106" s="488">
        <f t="shared" ca="1" si="27"/>
        <v>0</v>
      </c>
      <c r="BE106" s="488">
        <f t="shared" ca="1" si="27"/>
        <v>0</v>
      </c>
      <c r="BF106" s="488">
        <f t="shared" ca="1" si="27"/>
        <v>0</v>
      </c>
      <c r="BG106" s="488">
        <f t="shared" ca="1" si="27"/>
        <v>0</v>
      </c>
      <c r="BH106" s="488">
        <f t="shared" ca="1" si="27"/>
        <v>0</v>
      </c>
      <c r="BI106" s="488">
        <f t="shared" ca="1" si="27"/>
        <v>0</v>
      </c>
    </row>
    <row r="107" spans="1:61" outlineLevel="1" x14ac:dyDescent="0.15">
      <c r="A107" s="498">
        <v>54</v>
      </c>
      <c r="B107" s="488" t="str">
        <f t="shared" ca="1" si="28"/>
        <v/>
      </c>
      <c r="C107" s="488" t="str">
        <f t="shared" ca="1" si="28"/>
        <v/>
      </c>
      <c r="D107" s="488" t="str">
        <f t="shared" ca="1" si="28"/>
        <v/>
      </c>
      <c r="E107" s="488" t="str">
        <f t="shared" ca="1" si="28"/>
        <v/>
      </c>
      <c r="F107" s="488" t="str">
        <f t="shared" ca="1" si="28"/>
        <v/>
      </c>
      <c r="G107" s="488" t="str">
        <f t="shared" ca="1" si="28"/>
        <v/>
      </c>
      <c r="H107" s="488" t="str">
        <f t="shared" ca="1" si="28"/>
        <v/>
      </c>
      <c r="I107" s="488" t="str">
        <f t="shared" ca="1" si="28"/>
        <v/>
      </c>
      <c r="J107" s="488" t="str">
        <f t="shared" ca="1" si="28"/>
        <v/>
      </c>
      <c r="K107" s="488" t="str">
        <f t="shared" ca="1" si="28"/>
        <v/>
      </c>
      <c r="L107" s="488" t="str">
        <f t="shared" ca="1" si="28"/>
        <v/>
      </c>
      <c r="M107" s="488" t="str">
        <f t="shared" ca="1" si="28"/>
        <v/>
      </c>
      <c r="N107" s="488" t="str">
        <f t="shared" ca="1" si="28"/>
        <v/>
      </c>
      <c r="O107" s="488" t="str">
        <f t="shared" ca="1" si="28"/>
        <v/>
      </c>
      <c r="P107" s="488" t="str">
        <f t="shared" ca="1" si="28"/>
        <v/>
      </c>
      <c r="Q107" s="488" t="str">
        <f t="shared" ca="1" si="28"/>
        <v/>
      </c>
      <c r="R107" s="488" t="str">
        <f t="shared" ca="1" si="27"/>
        <v/>
      </c>
      <c r="S107" s="488" t="str">
        <f t="shared" ca="1" si="27"/>
        <v/>
      </c>
      <c r="T107" s="488" t="str">
        <f t="shared" ref="T107:BI107" ca="1" si="29">IF($A107&gt;T$5,"",OFFSET(T$53,0,-($A107-1)))</f>
        <v/>
      </c>
      <c r="U107" s="488" t="str">
        <f t="shared" ca="1" si="29"/>
        <v/>
      </c>
      <c r="V107" s="488" t="str">
        <f t="shared" ca="1" si="29"/>
        <v/>
      </c>
      <c r="W107" s="488" t="str">
        <f t="shared" ca="1" si="29"/>
        <v/>
      </c>
      <c r="X107" s="488" t="str">
        <f t="shared" ca="1" si="29"/>
        <v/>
      </c>
      <c r="Y107" s="488" t="str">
        <f t="shared" ca="1" si="29"/>
        <v/>
      </c>
      <c r="Z107" s="488" t="str">
        <f t="shared" ca="1" si="29"/>
        <v/>
      </c>
      <c r="AA107" s="488" t="str">
        <f t="shared" ca="1" si="29"/>
        <v/>
      </c>
      <c r="AB107" s="488" t="str">
        <f t="shared" ca="1" si="29"/>
        <v/>
      </c>
      <c r="AC107" s="488" t="str">
        <f t="shared" ca="1" si="29"/>
        <v/>
      </c>
      <c r="AD107" s="488" t="str">
        <f t="shared" ca="1" si="29"/>
        <v/>
      </c>
      <c r="AE107" s="488" t="str">
        <f t="shared" ca="1" si="29"/>
        <v/>
      </c>
      <c r="AF107" s="488" t="str">
        <f t="shared" ca="1" si="29"/>
        <v/>
      </c>
      <c r="AG107" s="488" t="str">
        <f t="shared" ca="1" si="29"/>
        <v/>
      </c>
      <c r="AH107" s="488" t="str">
        <f t="shared" ca="1" si="29"/>
        <v/>
      </c>
      <c r="AI107" s="488" t="str">
        <f t="shared" ca="1" si="29"/>
        <v/>
      </c>
      <c r="AJ107" s="488" t="str">
        <f t="shared" ca="1" si="29"/>
        <v/>
      </c>
      <c r="AK107" s="488" t="str">
        <f t="shared" ca="1" si="29"/>
        <v/>
      </c>
      <c r="AL107" s="488" t="str">
        <f t="shared" ca="1" si="29"/>
        <v/>
      </c>
      <c r="AM107" s="488" t="str">
        <f t="shared" ca="1" si="29"/>
        <v/>
      </c>
      <c r="AN107" s="488" t="str">
        <f t="shared" ca="1" si="29"/>
        <v/>
      </c>
      <c r="AO107" s="488" t="str">
        <f t="shared" ca="1" si="29"/>
        <v/>
      </c>
      <c r="AP107" s="488" t="str">
        <f t="shared" ca="1" si="29"/>
        <v/>
      </c>
      <c r="AQ107" s="488" t="str">
        <f t="shared" ca="1" si="29"/>
        <v/>
      </c>
      <c r="AR107" s="488" t="str">
        <f t="shared" ca="1" si="29"/>
        <v/>
      </c>
      <c r="AS107" s="488" t="str">
        <f t="shared" ca="1" si="29"/>
        <v/>
      </c>
      <c r="AT107" s="488" t="str">
        <f t="shared" ca="1" si="29"/>
        <v/>
      </c>
      <c r="AU107" s="488" t="str">
        <f t="shared" ca="1" si="29"/>
        <v/>
      </c>
      <c r="AV107" s="488" t="str">
        <f t="shared" ca="1" si="29"/>
        <v/>
      </c>
      <c r="AW107" s="488" t="str">
        <f t="shared" ca="1" si="29"/>
        <v/>
      </c>
      <c r="AX107" s="488" t="str">
        <f t="shared" ca="1" si="29"/>
        <v/>
      </c>
      <c r="AY107" s="488" t="str">
        <f t="shared" ca="1" si="29"/>
        <v/>
      </c>
      <c r="AZ107" s="488" t="str">
        <f t="shared" ca="1" si="29"/>
        <v/>
      </c>
      <c r="BA107" s="488" t="str">
        <f t="shared" ca="1" si="29"/>
        <v/>
      </c>
      <c r="BB107" s="488" t="str">
        <f t="shared" ca="1" si="29"/>
        <v/>
      </c>
      <c r="BC107" s="488">
        <f t="shared" ca="1" si="29"/>
        <v>0</v>
      </c>
      <c r="BD107" s="488">
        <f t="shared" ca="1" si="29"/>
        <v>0</v>
      </c>
      <c r="BE107" s="488">
        <f t="shared" ca="1" si="29"/>
        <v>0</v>
      </c>
      <c r="BF107" s="488">
        <f t="shared" ca="1" si="29"/>
        <v>0</v>
      </c>
      <c r="BG107" s="488">
        <f t="shared" ca="1" si="29"/>
        <v>0</v>
      </c>
      <c r="BH107" s="488">
        <f t="shared" ca="1" si="29"/>
        <v>0</v>
      </c>
      <c r="BI107" s="488">
        <f t="shared" ca="1" si="29"/>
        <v>0</v>
      </c>
    </row>
    <row r="108" spans="1:61" outlineLevel="1" x14ac:dyDescent="0.15">
      <c r="A108" s="498">
        <v>55</v>
      </c>
      <c r="B108" s="488" t="str">
        <f t="shared" ca="1" si="28"/>
        <v/>
      </c>
      <c r="C108" s="488" t="str">
        <f t="shared" ca="1" si="28"/>
        <v/>
      </c>
      <c r="D108" s="488" t="str">
        <f t="shared" ca="1" si="28"/>
        <v/>
      </c>
      <c r="E108" s="488" t="str">
        <f t="shared" ca="1" si="28"/>
        <v/>
      </c>
      <c r="F108" s="488" t="str">
        <f t="shared" ca="1" si="28"/>
        <v/>
      </c>
      <c r="G108" s="488" t="str">
        <f t="shared" ca="1" si="28"/>
        <v/>
      </c>
      <c r="H108" s="488" t="str">
        <f t="shared" ca="1" si="28"/>
        <v/>
      </c>
      <c r="I108" s="488" t="str">
        <f t="shared" ca="1" si="28"/>
        <v/>
      </c>
      <c r="J108" s="488" t="str">
        <f t="shared" ca="1" si="28"/>
        <v/>
      </c>
      <c r="K108" s="488" t="str">
        <f t="shared" ca="1" si="28"/>
        <v/>
      </c>
      <c r="L108" s="488" t="str">
        <f t="shared" ca="1" si="28"/>
        <v/>
      </c>
      <c r="M108" s="488" t="str">
        <f t="shared" ca="1" si="28"/>
        <v/>
      </c>
      <c r="N108" s="488" t="str">
        <f t="shared" ca="1" si="28"/>
        <v/>
      </c>
      <c r="O108" s="488" t="str">
        <f t="shared" ca="1" si="28"/>
        <v/>
      </c>
      <c r="P108" s="488" t="str">
        <f t="shared" ca="1" si="28"/>
        <v/>
      </c>
      <c r="Q108" s="488" t="str">
        <f t="shared" ca="1" si="28"/>
        <v/>
      </c>
      <c r="R108" s="488" t="str">
        <f t="shared" ref="R108:BI113" ca="1" si="30">IF($A108&gt;R$5,"",OFFSET(R$53,0,-($A108-1)))</f>
        <v/>
      </c>
      <c r="S108" s="488" t="str">
        <f t="shared" ca="1" si="30"/>
        <v/>
      </c>
      <c r="T108" s="488" t="str">
        <f t="shared" ca="1" si="30"/>
        <v/>
      </c>
      <c r="U108" s="488" t="str">
        <f t="shared" ca="1" si="30"/>
        <v/>
      </c>
      <c r="V108" s="488" t="str">
        <f t="shared" ca="1" si="30"/>
        <v/>
      </c>
      <c r="W108" s="488" t="str">
        <f t="shared" ca="1" si="30"/>
        <v/>
      </c>
      <c r="X108" s="488" t="str">
        <f t="shared" ca="1" si="30"/>
        <v/>
      </c>
      <c r="Y108" s="488" t="str">
        <f t="shared" ca="1" si="30"/>
        <v/>
      </c>
      <c r="Z108" s="488" t="str">
        <f t="shared" ca="1" si="30"/>
        <v/>
      </c>
      <c r="AA108" s="488" t="str">
        <f t="shared" ca="1" si="30"/>
        <v/>
      </c>
      <c r="AB108" s="488" t="str">
        <f t="shared" ca="1" si="30"/>
        <v/>
      </c>
      <c r="AC108" s="488" t="str">
        <f t="shared" ca="1" si="30"/>
        <v/>
      </c>
      <c r="AD108" s="488" t="str">
        <f t="shared" ca="1" si="30"/>
        <v/>
      </c>
      <c r="AE108" s="488" t="str">
        <f t="shared" ca="1" si="30"/>
        <v/>
      </c>
      <c r="AF108" s="488" t="str">
        <f t="shared" ca="1" si="30"/>
        <v/>
      </c>
      <c r="AG108" s="488" t="str">
        <f t="shared" ca="1" si="30"/>
        <v/>
      </c>
      <c r="AH108" s="488" t="str">
        <f t="shared" ca="1" si="30"/>
        <v/>
      </c>
      <c r="AI108" s="488" t="str">
        <f t="shared" ca="1" si="30"/>
        <v/>
      </c>
      <c r="AJ108" s="488" t="str">
        <f t="shared" ca="1" si="30"/>
        <v/>
      </c>
      <c r="AK108" s="488" t="str">
        <f t="shared" ca="1" si="30"/>
        <v/>
      </c>
      <c r="AL108" s="488" t="str">
        <f t="shared" ca="1" si="30"/>
        <v/>
      </c>
      <c r="AM108" s="488" t="str">
        <f t="shared" ca="1" si="30"/>
        <v/>
      </c>
      <c r="AN108" s="488" t="str">
        <f t="shared" ca="1" si="30"/>
        <v/>
      </c>
      <c r="AO108" s="488" t="str">
        <f t="shared" ca="1" si="30"/>
        <v/>
      </c>
      <c r="AP108" s="488" t="str">
        <f t="shared" ca="1" si="30"/>
        <v/>
      </c>
      <c r="AQ108" s="488" t="str">
        <f t="shared" ca="1" si="30"/>
        <v/>
      </c>
      <c r="AR108" s="488" t="str">
        <f t="shared" ca="1" si="30"/>
        <v/>
      </c>
      <c r="AS108" s="488" t="str">
        <f t="shared" ca="1" si="30"/>
        <v/>
      </c>
      <c r="AT108" s="488" t="str">
        <f t="shared" ca="1" si="30"/>
        <v/>
      </c>
      <c r="AU108" s="488" t="str">
        <f t="shared" ca="1" si="30"/>
        <v/>
      </c>
      <c r="AV108" s="488" t="str">
        <f t="shared" ca="1" si="30"/>
        <v/>
      </c>
      <c r="AW108" s="488" t="str">
        <f t="shared" ca="1" si="30"/>
        <v/>
      </c>
      <c r="AX108" s="488" t="str">
        <f t="shared" ca="1" si="30"/>
        <v/>
      </c>
      <c r="AY108" s="488" t="str">
        <f t="shared" ca="1" si="30"/>
        <v/>
      </c>
      <c r="AZ108" s="488" t="str">
        <f t="shared" ca="1" si="30"/>
        <v/>
      </c>
      <c r="BA108" s="488" t="str">
        <f t="shared" ca="1" si="30"/>
        <v/>
      </c>
      <c r="BB108" s="488" t="str">
        <f t="shared" ca="1" si="30"/>
        <v/>
      </c>
      <c r="BC108" s="488" t="str">
        <f t="shared" ca="1" si="30"/>
        <v/>
      </c>
      <c r="BD108" s="488">
        <f t="shared" ca="1" si="30"/>
        <v>0</v>
      </c>
      <c r="BE108" s="488">
        <f t="shared" ca="1" si="30"/>
        <v>0</v>
      </c>
      <c r="BF108" s="488">
        <f t="shared" ca="1" si="30"/>
        <v>0</v>
      </c>
      <c r="BG108" s="488">
        <f t="shared" ca="1" si="30"/>
        <v>0</v>
      </c>
      <c r="BH108" s="488">
        <f t="shared" ca="1" si="30"/>
        <v>0</v>
      </c>
      <c r="BI108" s="488">
        <f t="shared" ca="1" si="30"/>
        <v>0</v>
      </c>
    </row>
    <row r="109" spans="1:61" outlineLevel="1" x14ac:dyDescent="0.15">
      <c r="A109" s="498">
        <v>56</v>
      </c>
      <c r="B109" s="488" t="str">
        <f t="shared" ca="1" si="28"/>
        <v/>
      </c>
      <c r="C109" s="488" t="str">
        <f t="shared" ca="1" si="28"/>
        <v/>
      </c>
      <c r="D109" s="488" t="str">
        <f t="shared" ca="1" si="28"/>
        <v/>
      </c>
      <c r="E109" s="488" t="str">
        <f t="shared" ca="1" si="28"/>
        <v/>
      </c>
      <c r="F109" s="488" t="str">
        <f t="shared" ca="1" si="28"/>
        <v/>
      </c>
      <c r="G109" s="488" t="str">
        <f t="shared" ca="1" si="28"/>
        <v/>
      </c>
      <c r="H109" s="488" t="str">
        <f t="shared" ca="1" si="28"/>
        <v/>
      </c>
      <c r="I109" s="488" t="str">
        <f t="shared" ca="1" si="28"/>
        <v/>
      </c>
      <c r="J109" s="488" t="str">
        <f t="shared" ca="1" si="28"/>
        <v/>
      </c>
      <c r="K109" s="488" t="str">
        <f t="shared" ca="1" si="28"/>
        <v/>
      </c>
      <c r="L109" s="488" t="str">
        <f t="shared" ca="1" si="28"/>
        <v/>
      </c>
      <c r="M109" s="488" t="str">
        <f t="shared" ca="1" si="28"/>
        <v/>
      </c>
      <c r="N109" s="488" t="str">
        <f t="shared" ca="1" si="28"/>
        <v/>
      </c>
      <c r="O109" s="488" t="str">
        <f t="shared" ca="1" si="28"/>
        <v/>
      </c>
      <c r="P109" s="488" t="str">
        <f t="shared" ca="1" si="28"/>
        <v/>
      </c>
      <c r="Q109" s="488" t="str">
        <f t="shared" ca="1" si="28"/>
        <v/>
      </c>
      <c r="R109" s="488" t="str">
        <f t="shared" ca="1" si="30"/>
        <v/>
      </c>
      <c r="S109" s="488" t="str">
        <f t="shared" ca="1" si="30"/>
        <v/>
      </c>
      <c r="T109" s="488" t="str">
        <f t="shared" ca="1" si="30"/>
        <v/>
      </c>
      <c r="U109" s="488" t="str">
        <f t="shared" ca="1" si="30"/>
        <v/>
      </c>
      <c r="V109" s="488" t="str">
        <f t="shared" ca="1" si="30"/>
        <v/>
      </c>
      <c r="W109" s="488" t="str">
        <f t="shared" ca="1" si="30"/>
        <v/>
      </c>
      <c r="X109" s="488" t="str">
        <f t="shared" ca="1" si="30"/>
        <v/>
      </c>
      <c r="Y109" s="488" t="str">
        <f t="shared" ca="1" si="30"/>
        <v/>
      </c>
      <c r="Z109" s="488" t="str">
        <f t="shared" ca="1" si="30"/>
        <v/>
      </c>
      <c r="AA109" s="488" t="str">
        <f t="shared" ca="1" si="30"/>
        <v/>
      </c>
      <c r="AB109" s="488" t="str">
        <f t="shared" ca="1" si="30"/>
        <v/>
      </c>
      <c r="AC109" s="488" t="str">
        <f t="shared" ca="1" si="30"/>
        <v/>
      </c>
      <c r="AD109" s="488" t="str">
        <f t="shared" ca="1" si="30"/>
        <v/>
      </c>
      <c r="AE109" s="488" t="str">
        <f t="shared" ca="1" si="30"/>
        <v/>
      </c>
      <c r="AF109" s="488" t="str">
        <f t="shared" ca="1" si="30"/>
        <v/>
      </c>
      <c r="AG109" s="488" t="str">
        <f t="shared" ca="1" si="30"/>
        <v/>
      </c>
      <c r="AH109" s="488" t="str">
        <f t="shared" ca="1" si="30"/>
        <v/>
      </c>
      <c r="AI109" s="488" t="str">
        <f t="shared" ca="1" si="30"/>
        <v/>
      </c>
      <c r="AJ109" s="488" t="str">
        <f t="shared" ca="1" si="30"/>
        <v/>
      </c>
      <c r="AK109" s="488" t="str">
        <f t="shared" ca="1" si="30"/>
        <v/>
      </c>
      <c r="AL109" s="488" t="str">
        <f t="shared" ca="1" si="30"/>
        <v/>
      </c>
      <c r="AM109" s="488" t="str">
        <f t="shared" ca="1" si="30"/>
        <v/>
      </c>
      <c r="AN109" s="488" t="str">
        <f t="shared" ca="1" si="30"/>
        <v/>
      </c>
      <c r="AO109" s="488" t="str">
        <f t="shared" ca="1" si="30"/>
        <v/>
      </c>
      <c r="AP109" s="488" t="str">
        <f t="shared" ca="1" si="30"/>
        <v/>
      </c>
      <c r="AQ109" s="488" t="str">
        <f t="shared" ca="1" si="30"/>
        <v/>
      </c>
      <c r="AR109" s="488" t="str">
        <f t="shared" ca="1" si="30"/>
        <v/>
      </c>
      <c r="AS109" s="488" t="str">
        <f t="shared" ca="1" si="30"/>
        <v/>
      </c>
      <c r="AT109" s="488" t="str">
        <f t="shared" ca="1" si="30"/>
        <v/>
      </c>
      <c r="AU109" s="488" t="str">
        <f t="shared" ca="1" si="30"/>
        <v/>
      </c>
      <c r="AV109" s="488" t="str">
        <f t="shared" ca="1" si="30"/>
        <v/>
      </c>
      <c r="AW109" s="488" t="str">
        <f t="shared" ca="1" si="30"/>
        <v/>
      </c>
      <c r="AX109" s="488" t="str">
        <f t="shared" ca="1" si="30"/>
        <v/>
      </c>
      <c r="AY109" s="488" t="str">
        <f t="shared" ca="1" si="30"/>
        <v/>
      </c>
      <c r="AZ109" s="488" t="str">
        <f t="shared" ca="1" si="30"/>
        <v/>
      </c>
      <c r="BA109" s="488" t="str">
        <f t="shared" ca="1" si="30"/>
        <v/>
      </c>
      <c r="BB109" s="488" t="str">
        <f t="shared" ca="1" si="30"/>
        <v/>
      </c>
      <c r="BC109" s="488" t="str">
        <f t="shared" ca="1" si="30"/>
        <v/>
      </c>
      <c r="BD109" s="488" t="str">
        <f t="shared" ca="1" si="30"/>
        <v/>
      </c>
      <c r="BE109" s="488">
        <f t="shared" ca="1" si="30"/>
        <v>0</v>
      </c>
      <c r="BF109" s="488">
        <f t="shared" ca="1" si="30"/>
        <v>0</v>
      </c>
      <c r="BG109" s="488">
        <f t="shared" ca="1" si="30"/>
        <v>0</v>
      </c>
      <c r="BH109" s="488">
        <f t="shared" ca="1" si="30"/>
        <v>0</v>
      </c>
      <c r="BI109" s="488">
        <f t="shared" ca="1" si="30"/>
        <v>0</v>
      </c>
    </row>
    <row r="110" spans="1:61" outlineLevel="1" x14ac:dyDescent="0.15">
      <c r="A110" s="498">
        <v>57</v>
      </c>
      <c r="B110" s="488" t="str">
        <f t="shared" ca="1" si="28"/>
        <v/>
      </c>
      <c r="C110" s="488" t="str">
        <f t="shared" ca="1" si="28"/>
        <v/>
      </c>
      <c r="D110" s="488" t="str">
        <f t="shared" ca="1" si="28"/>
        <v/>
      </c>
      <c r="E110" s="488" t="str">
        <f t="shared" ca="1" si="28"/>
        <v/>
      </c>
      <c r="F110" s="488" t="str">
        <f t="shared" ca="1" si="28"/>
        <v/>
      </c>
      <c r="G110" s="488" t="str">
        <f t="shared" ca="1" si="28"/>
        <v/>
      </c>
      <c r="H110" s="488" t="str">
        <f t="shared" ca="1" si="28"/>
        <v/>
      </c>
      <c r="I110" s="488" t="str">
        <f t="shared" ca="1" si="28"/>
        <v/>
      </c>
      <c r="J110" s="488" t="str">
        <f t="shared" ca="1" si="28"/>
        <v/>
      </c>
      <c r="K110" s="488" t="str">
        <f t="shared" ca="1" si="28"/>
        <v/>
      </c>
      <c r="L110" s="488" t="str">
        <f t="shared" ca="1" si="28"/>
        <v/>
      </c>
      <c r="M110" s="488" t="str">
        <f t="shared" ca="1" si="28"/>
        <v/>
      </c>
      <c r="N110" s="488" t="str">
        <f t="shared" ca="1" si="28"/>
        <v/>
      </c>
      <c r="O110" s="488" t="str">
        <f t="shared" ca="1" si="28"/>
        <v/>
      </c>
      <c r="P110" s="488" t="str">
        <f t="shared" ca="1" si="28"/>
        <v/>
      </c>
      <c r="Q110" s="488" t="str">
        <f t="shared" ca="1" si="28"/>
        <v/>
      </c>
      <c r="R110" s="488" t="str">
        <f t="shared" ca="1" si="30"/>
        <v/>
      </c>
      <c r="S110" s="488" t="str">
        <f t="shared" ca="1" si="30"/>
        <v/>
      </c>
      <c r="T110" s="488" t="str">
        <f t="shared" ca="1" si="30"/>
        <v/>
      </c>
      <c r="U110" s="488" t="str">
        <f t="shared" ca="1" si="30"/>
        <v/>
      </c>
      <c r="V110" s="488" t="str">
        <f t="shared" ca="1" si="30"/>
        <v/>
      </c>
      <c r="W110" s="488" t="str">
        <f t="shared" ca="1" si="30"/>
        <v/>
      </c>
      <c r="X110" s="488" t="str">
        <f t="shared" ca="1" si="30"/>
        <v/>
      </c>
      <c r="Y110" s="488" t="str">
        <f t="shared" ca="1" si="30"/>
        <v/>
      </c>
      <c r="Z110" s="488" t="str">
        <f t="shared" ca="1" si="30"/>
        <v/>
      </c>
      <c r="AA110" s="488" t="str">
        <f t="shared" ca="1" si="30"/>
        <v/>
      </c>
      <c r="AB110" s="488" t="str">
        <f t="shared" ca="1" si="30"/>
        <v/>
      </c>
      <c r="AC110" s="488" t="str">
        <f t="shared" ca="1" si="30"/>
        <v/>
      </c>
      <c r="AD110" s="488" t="str">
        <f t="shared" ca="1" si="30"/>
        <v/>
      </c>
      <c r="AE110" s="488" t="str">
        <f t="shared" ca="1" si="30"/>
        <v/>
      </c>
      <c r="AF110" s="488" t="str">
        <f t="shared" ca="1" si="30"/>
        <v/>
      </c>
      <c r="AG110" s="488" t="str">
        <f t="shared" ca="1" si="30"/>
        <v/>
      </c>
      <c r="AH110" s="488" t="str">
        <f t="shared" ca="1" si="30"/>
        <v/>
      </c>
      <c r="AI110" s="488" t="str">
        <f t="shared" ca="1" si="30"/>
        <v/>
      </c>
      <c r="AJ110" s="488" t="str">
        <f t="shared" ca="1" si="30"/>
        <v/>
      </c>
      <c r="AK110" s="488" t="str">
        <f t="shared" ca="1" si="30"/>
        <v/>
      </c>
      <c r="AL110" s="488" t="str">
        <f t="shared" ca="1" si="30"/>
        <v/>
      </c>
      <c r="AM110" s="488" t="str">
        <f t="shared" ca="1" si="30"/>
        <v/>
      </c>
      <c r="AN110" s="488" t="str">
        <f t="shared" ca="1" si="30"/>
        <v/>
      </c>
      <c r="AO110" s="488" t="str">
        <f t="shared" ca="1" si="30"/>
        <v/>
      </c>
      <c r="AP110" s="488" t="str">
        <f t="shared" ca="1" si="30"/>
        <v/>
      </c>
      <c r="AQ110" s="488" t="str">
        <f t="shared" ca="1" si="30"/>
        <v/>
      </c>
      <c r="AR110" s="488" t="str">
        <f t="shared" ca="1" si="30"/>
        <v/>
      </c>
      <c r="AS110" s="488" t="str">
        <f t="shared" ca="1" si="30"/>
        <v/>
      </c>
      <c r="AT110" s="488" t="str">
        <f t="shared" ca="1" si="30"/>
        <v/>
      </c>
      <c r="AU110" s="488" t="str">
        <f t="shared" ca="1" si="30"/>
        <v/>
      </c>
      <c r="AV110" s="488" t="str">
        <f t="shared" ca="1" si="30"/>
        <v/>
      </c>
      <c r="AW110" s="488" t="str">
        <f t="shared" ca="1" si="30"/>
        <v/>
      </c>
      <c r="AX110" s="488" t="str">
        <f t="shared" ca="1" si="30"/>
        <v/>
      </c>
      <c r="AY110" s="488" t="str">
        <f t="shared" ca="1" si="30"/>
        <v/>
      </c>
      <c r="AZ110" s="488" t="str">
        <f t="shared" ca="1" si="30"/>
        <v/>
      </c>
      <c r="BA110" s="488" t="str">
        <f t="shared" ca="1" si="30"/>
        <v/>
      </c>
      <c r="BB110" s="488" t="str">
        <f t="shared" ca="1" si="30"/>
        <v/>
      </c>
      <c r="BC110" s="488" t="str">
        <f t="shared" ca="1" si="30"/>
        <v/>
      </c>
      <c r="BD110" s="488" t="str">
        <f t="shared" ca="1" si="30"/>
        <v/>
      </c>
      <c r="BE110" s="488" t="str">
        <f t="shared" ca="1" si="30"/>
        <v/>
      </c>
      <c r="BF110" s="488">
        <f t="shared" ca="1" si="30"/>
        <v>0</v>
      </c>
      <c r="BG110" s="488">
        <f t="shared" ca="1" si="30"/>
        <v>0</v>
      </c>
      <c r="BH110" s="488">
        <f t="shared" ca="1" si="30"/>
        <v>0</v>
      </c>
      <c r="BI110" s="488">
        <f t="shared" ca="1" si="30"/>
        <v>0</v>
      </c>
    </row>
    <row r="111" spans="1:61" outlineLevel="1" x14ac:dyDescent="0.15">
      <c r="A111" s="498">
        <v>58</v>
      </c>
      <c r="B111" s="488" t="str">
        <f t="shared" ca="1" si="28"/>
        <v/>
      </c>
      <c r="C111" s="488" t="str">
        <f t="shared" ca="1" si="28"/>
        <v/>
      </c>
      <c r="D111" s="488" t="str">
        <f t="shared" ca="1" si="28"/>
        <v/>
      </c>
      <c r="E111" s="488" t="str">
        <f t="shared" ca="1" si="28"/>
        <v/>
      </c>
      <c r="F111" s="488" t="str">
        <f t="shared" ca="1" si="28"/>
        <v/>
      </c>
      <c r="G111" s="488" t="str">
        <f t="shared" ca="1" si="28"/>
        <v/>
      </c>
      <c r="H111" s="488" t="str">
        <f t="shared" ca="1" si="28"/>
        <v/>
      </c>
      <c r="I111" s="488" t="str">
        <f t="shared" ca="1" si="28"/>
        <v/>
      </c>
      <c r="J111" s="488" t="str">
        <f t="shared" ca="1" si="28"/>
        <v/>
      </c>
      <c r="K111" s="488" t="str">
        <f t="shared" ca="1" si="28"/>
        <v/>
      </c>
      <c r="L111" s="488" t="str">
        <f t="shared" ca="1" si="28"/>
        <v/>
      </c>
      <c r="M111" s="488" t="str">
        <f t="shared" ca="1" si="28"/>
        <v/>
      </c>
      <c r="N111" s="488" t="str">
        <f t="shared" ca="1" si="28"/>
        <v/>
      </c>
      <c r="O111" s="488" t="str">
        <f t="shared" ca="1" si="28"/>
        <v/>
      </c>
      <c r="P111" s="488" t="str">
        <f t="shared" ca="1" si="28"/>
        <v/>
      </c>
      <c r="Q111" s="488" t="str">
        <f t="shared" ca="1" si="28"/>
        <v/>
      </c>
      <c r="R111" s="488" t="str">
        <f t="shared" ca="1" si="30"/>
        <v/>
      </c>
      <c r="S111" s="488" t="str">
        <f t="shared" ca="1" si="30"/>
        <v/>
      </c>
      <c r="T111" s="488" t="str">
        <f t="shared" ca="1" si="30"/>
        <v/>
      </c>
      <c r="U111" s="488" t="str">
        <f t="shared" ca="1" si="30"/>
        <v/>
      </c>
      <c r="V111" s="488" t="str">
        <f t="shared" ca="1" si="30"/>
        <v/>
      </c>
      <c r="W111" s="488" t="str">
        <f t="shared" ca="1" si="30"/>
        <v/>
      </c>
      <c r="X111" s="488" t="str">
        <f t="shared" ca="1" si="30"/>
        <v/>
      </c>
      <c r="Y111" s="488" t="str">
        <f t="shared" ca="1" si="30"/>
        <v/>
      </c>
      <c r="Z111" s="488" t="str">
        <f t="shared" ca="1" si="30"/>
        <v/>
      </c>
      <c r="AA111" s="488" t="str">
        <f t="shared" ca="1" si="30"/>
        <v/>
      </c>
      <c r="AB111" s="488" t="str">
        <f t="shared" ca="1" si="30"/>
        <v/>
      </c>
      <c r="AC111" s="488" t="str">
        <f t="shared" ca="1" si="30"/>
        <v/>
      </c>
      <c r="AD111" s="488" t="str">
        <f t="shared" ca="1" si="30"/>
        <v/>
      </c>
      <c r="AE111" s="488" t="str">
        <f t="shared" ca="1" si="30"/>
        <v/>
      </c>
      <c r="AF111" s="488" t="str">
        <f t="shared" ca="1" si="30"/>
        <v/>
      </c>
      <c r="AG111" s="488" t="str">
        <f t="shared" ca="1" si="30"/>
        <v/>
      </c>
      <c r="AH111" s="488" t="str">
        <f t="shared" ca="1" si="30"/>
        <v/>
      </c>
      <c r="AI111" s="488" t="str">
        <f t="shared" ca="1" si="30"/>
        <v/>
      </c>
      <c r="AJ111" s="488" t="str">
        <f t="shared" ca="1" si="30"/>
        <v/>
      </c>
      <c r="AK111" s="488" t="str">
        <f t="shared" ca="1" si="30"/>
        <v/>
      </c>
      <c r="AL111" s="488" t="str">
        <f t="shared" ca="1" si="30"/>
        <v/>
      </c>
      <c r="AM111" s="488" t="str">
        <f t="shared" ca="1" si="30"/>
        <v/>
      </c>
      <c r="AN111" s="488" t="str">
        <f t="shared" ca="1" si="30"/>
        <v/>
      </c>
      <c r="AO111" s="488" t="str">
        <f t="shared" ca="1" si="30"/>
        <v/>
      </c>
      <c r="AP111" s="488" t="str">
        <f t="shared" ca="1" si="30"/>
        <v/>
      </c>
      <c r="AQ111" s="488" t="str">
        <f t="shared" ca="1" si="30"/>
        <v/>
      </c>
      <c r="AR111" s="488" t="str">
        <f t="shared" ca="1" si="30"/>
        <v/>
      </c>
      <c r="AS111" s="488" t="str">
        <f t="shared" ca="1" si="30"/>
        <v/>
      </c>
      <c r="AT111" s="488" t="str">
        <f t="shared" ca="1" si="30"/>
        <v/>
      </c>
      <c r="AU111" s="488" t="str">
        <f t="shared" ca="1" si="30"/>
        <v/>
      </c>
      <c r="AV111" s="488" t="str">
        <f t="shared" ca="1" si="30"/>
        <v/>
      </c>
      <c r="AW111" s="488" t="str">
        <f t="shared" ca="1" si="30"/>
        <v/>
      </c>
      <c r="AX111" s="488" t="str">
        <f t="shared" ca="1" si="30"/>
        <v/>
      </c>
      <c r="AY111" s="488" t="str">
        <f t="shared" ca="1" si="30"/>
        <v/>
      </c>
      <c r="AZ111" s="488" t="str">
        <f t="shared" ca="1" si="30"/>
        <v/>
      </c>
      <c r="BA111" s="488" t="str">
        <f t="shared" ca="1" si="30"/>
        <v/>
      </c>
      <c r="BB111" s="488" t="str">
        <f t="shared" ca="1" si="30"/>
        <v/>
      </c>
      <c r="BC111" s="488" t="str">
        <f t="shared" ca="1" si="30"/>
        <v/>
      </c>
      <c r="BD111" s="488" t="str">
        <f t="shared" ca="1" si="30"/>
        <v/>
      </c>
      <c r="BE111" s="488" t="str">
        <f t="shared" ca="1" si="30"/>
        <v/>
      </c>
      <c r="BF111" s="488" t="str">
        <f t="shared" ca="1" si="30"/>
        <v/>
      </c>
      <c r="BG111" s="488">
        <f t="shared" ca="1" si="30"/>
        <v>0</v>
      </c>
      <c r="BH111" s="488">
        <f t="shared" ca="1" si="30"/>
        <v>0</v>
      </c>
      <c r="BI111" s="488">
        <f t="shared" ca="1" si="30"/>
        <v>0</v>
      </c>
    </row>
    <row r="112" spans="1:61" outlineLevel="1" x14ac:dyDescent="0.15">
      <c r="A112" s="498">
        <v>59</v>
      </c>
      <c r="B112" s="488" t="str">
        <f t="shared" ca="1" si="28"/>
        <v/>
      </c>
      <c r="C112" s="488" t="str">
        <f t="shared" ca="1" si="28"/>
        <v/>
      </c>
      <c r="D112" s="488" t="str">
        <f t="shared" ca="1" si="28"/>
        <v/>
      </c>
      <c r="E112" s="488" t="str">
        <f t="shared" ca="1" si="28"/>
        <v/>
      </c>
      <c r="F112" s="488" t="str">
        <f t="shared" ca="1" si="28"/>
        <v/>
      </c>
      <c r="G112" s="488" t="str">
        <f t="shared" ca="1" si="28"/>
        <v/>
      </c>
      <c r="H112" s="488" t="str">
        <f t="shared" ca="1" si="28"/>
        <v/>
      </c>
      <c r="I112" s="488" t="str">
        <f t="shared" ca="1" si="28"/>
        <v/>
      </c>
      <c r="J112" s="488" t="str">
        <f t="shared" ca="1" si="28"/>
        <v/>
      </c>
      <c r="K112" s="488" t="str">
        <f t="shared" ca="1" si="28"/>
        <v/>
      </c>
      <c r="L112" s="488" t="str">
        <f t="shared" ca="1" si="28"/>
        <v/>
      </c>
      <c r="M112" s="488" t="str">
        <f t="shared" ca="1" si="28"/>
        <v/>
      </c>
      <c r="N112" s="488" t="str">
        <f t="shared" ca="1" si="28"/>
        <v/>
      </c>
      <c r="O112" s="488" t="str">
        <f t="shared" ca="1" si="28"/>
        <v/>
      </c>
      <c r="P112" s="488" t="str">
        <f t="shared" ca="1" si="28"/>
        <v/>
      </c>
      <c r="Q112" s="488" t="str">
        <f t="shared" ca="1" si="28"/>
        <v/>
      </c>
      <c r="R112" s="488" t="str">
        <f t="shared" ca="1" si="30"/>
        <v/>
      </c>
      <c r="S112" s="488" t="str">
        <f t="shared" ca="1" si="30"/>
        <v/>
      </c>
      <c r="T112" s="488" t="str">
        <f t="shared" ca="1" si="30"/>
        <v/>
      </c>
      <c r="U112" s="488" t="str">
        <f t="shared" ca="1" si="30"/>
        <v/>
      </c>
      <c r="V112" s="488" t="str">
        <f t="shared" ca="1" si="30"/>
        <v/>
      </c>
      <c r="W112" s="488" t="str">
        <f t="shared" ca="1" si="30"/>
        <v/>
      </c>
      <c r="X112" s="488" t="str">
        <f t="shared" ca="1" si="30"/>
        <v/>
      </c>
      <c r="Y112" s="488" t="str">
        <f t="shared" ca="1" si="30"/>
        <v/>
      </c>
      <c r="Z112" s="488" t="str">
        <f t="shared" ca="1" si="30"/>
        <v/>
      </c>
      <c r="AA112" s="488" t="str">
        <f t="shared" ca="1" si="30"/>
        <v/>
      </c>
      <c r="AB112" s="488" t="str">
        <f t="shared" ca="1" si="30"/>
        <v/>
      </c>
      <c r="AC112" s="488" t="str">
        <f t="shared" ca="1" si="30"/>
        <v/>
      </c>
      <c r="AD112" s="488" t="str">
        <f t="shared" ca="1" si="30"/>
        <v/>
      </c>
      <c r="AE112" s="488" t="str">
        <f t="shared" ca="1" si="30"/>
        <v/>
      </c>
      <c r="AF112" s="488" t="str">
        <f t="shared" ca="1" si="30"/>
        <v/>
      </c>
      <c r="AG112" s="488" t="str">
        <f t="shared" ca="1" si="30"/>
        <v/>
      </c>
      <c r="AH112" s="488" t="str">
        <f t="shared" ca="1" si="30"/>
        <v/>
      </c>
      <c r="AI112" s="488" t="str">
        <f t="shared" ca="1" si="30"/>
        <v/>
      </c>
      <c r="AJ112" s="488" t="str">
        <f t="shared" ca="1" si="30"/>
        <v/>
      </c>
      <c r="AK112" s="488" t="str">
        <f t="shared" ca="1" si="30"/>
        <v/>
      </c>
      <c r="AL112" s="488" t="str">
        <f t="shared" ca="1" si="30"/>
        <v/>
      </c>
      <c r="AM112" s="488" t="str">
        <f t="shared" ca="1" si="30"/>
        <v/>
      </c>
      <c r="AN112" s="488" t="str">
        <f t="shared" ca="1" si="30"/>
        <v/>
      </c>
      <c r="AO112" s="488" t="str">
        <f t="shared" ca="1" si="30"/>
        <v/>
      </c>
      <c r="AP112" s="488" t="str">
        <f t="shared" ca="1" si="30"/>
        <v/>
      </c>
      <c r="AQ112" s="488" t="str">
        <f t="shared" ca="1" si="30"/>
        <v/>
      </c>
      <c r="AR112" s="488" t="str">
        <f t="shared" ca="1" si="30"/>
        <v/>
      </c>
      <c r="AS112" s="488" t="str">
        <f t="shared" ca="1" si="30"/>
        <v/>
      </c>
      <c r="AT112" s="488" t="str">
        <f t="shared" ca="1" si="30"/>
        <v/>
      </c>
      <c r="AU112" s="488" t="str">
        <f t="shared" ca="1" si="30"/>
        <v/>
      </c>
      <c r="AV112" s="488" t="str">
        <f t="shared" ca="1" si="30"/>
        <v/>
      </c>
      <c r="AW112" s="488" t="str">
        <f t="shared" ca="1" si="30"/>
        <v/>
      </c>
      <c r="AX112" s="488" t="str">
        <f t="shared" ca="1" si="30"/>
        <v/>
      </c>
      <c r="AY112" s="488" t="str">
        <f t="shared" ca="1" si="30"/>
        <v/>
      </c>
      <c r="AZ112" s="488" t="str">
        <f t="shared" ca="1" si="30"/>
        <v/>
      </c>
      <c r="BA112" s="488" t="str">
        <f t="shared" ca="1" si="30"/>
        <v/>
      </c>
      <c r="BB112" s="488" t="str">
        <f t="shared" ca="1" si="30"/>
        <v/>
      </c>
      <c r="BC112" s="488" t="str">
        <f t="shared" ca="1" si="30"/>
        <v/>
      </c>
      <c r="BD112" s="488" t="str">
        <f t="shared" ca="1" si="30"/>
        <v/>
      </c>
      <c r="BE112" s="488" t="str">
        <f t="shared" ca="1" si="30"/>
        <v/>
      </c>
      <c r="BF112" s="488" t="str">
        <f t="shared" ca="1" si="30"/>
        <v/>
      </c>
      <c r="BG112" s="488" t="str">
        <f t="shared" ca="1" si="30"/>
        <v/>
      </c>
      <c r="BH112" s="488">
        <f t="shared" ca="1" si="30"/>
        <v>0</v>
      </c>
      <c r="BI112" s="488">
        <f t="shared" ca="1" si="30"/>
        <v>0</v>
      </c>
    </row>
    <row r="113" spans="1:61" s="495" customFormat="1" x14ac:dyDescent="0.15">
      <c r="A113" s="498">
        <v>60</v>
      </c>
      <c r="B113" s="488" t="str">
        <f t="shared" ca="1" si="28"/>
        <v/>
      </c>
      <c r="C113" s="488" t="str">
        <f t="shared" ca="1" si="28"/>
        <v/>
      </c>
      <c r="D113" s="488" t="str">
        <f t="shared" ca="1" si="28"/>
        <v/>
      </c>
      <c r="E113" s="488" t="str">
        <f t="shared" ca="1" si="28"/>
        <v/>
      </c>
      <c r="F113" s="488" t="str">
        <f t="shared" ca="1" si="28"/>
        <v/>
      </c>
      <c r="G113" s="488" t="str">
        <f t="shared" ca="1" si="28"/>
        <v/>
      </c>
      <c r="H113" s="488" t="str">
        <f t="shared" ca="1" si="28"/>
        <v/>
      </c>
      <c r="I113" s="488" t="str">
        <f t="shared" ca="1" si="28"/>
        <v/>
      </c>
      <c r="J113" s="488" t="str">
        <f t="shared" ca="1" si="28"/>
        <v/>
      </c>
      <c r="K113" s="488" t="str">
        <f t="shared" ca="1" si="28"/>
        <v/>
      </c>
      <c r="L113" s="488" t="str">
        <f t="shared" ca="1" si="28"/>
        <v/>
      </c>
      <c r="M113" s="488" t="str">
        <f t="shared" ca="1" si="28"/>
        <v/>
      </c>
      <c r="N113" s="488" t="str">
        <f t="shared" ca="1" si="28"/>
        <v/>
      </c>
      <c r="O113" s="488" t="str">
        <f t="shared" ca="1" si="28"/>
        <v/>
      </c>
      <c r="P113" s="488" t="str">
        <f t="shared" ca="1" si="28"/>
        <v/>
      </c>
      <c r="Q113" s="488" t="str">
        <f t="shared" ca="1" si="28"/>
        <v/>
      </c>
      <c r="R113" s="488" t="str">
        <f t="shared" ca="1" si="30"/>
        <v/>
      </c>
      <c r="S113" s="488" t="str">
        <f t="shared" ca="1" si="30"/>
        <v/>
      </c>
      <c r="T113" s="488" t="str">
        <f t="shared" ca="1" si="30"/>
        <v/>
      </c>
      <c r="U113" s="488" t="str">
        <f t="shared" ca="1" si="30"/>
        <v/>
      </c>
      <c r="V113" s="488" t="str">
        <f t="shared" ca="1" si="30"/>
        <v/>
      </c>
      <c r="W113" s="488" t="str">
        <f t="shared" ca="1" si="30"/>
        <v/>
      </c>
      <c r="X113" s="488" t="str">
        <f t="shared" ca="1" si="30"/>
        <v/>
      </c>
      <c r="Y113" s="488" t="str">
        <f t="shared" ca="1" si="30"/>
        <v/>
      </c>
      <c r="Z113" s="488" t="str">
        <f t="shared" ca="1" si="30"/>
        <v/>
      </c>
      <c r="AA113" s="488" t="str">
        <f t="shared" ca="1" si="30"/>
        <v/>
      </c>
      <c r="AB113" s="488" t="str">
        <f t="shared" ca="1" si="30"/>
        <v/>
      </c>
      <c r="AC113" s="488" t="str">
        <f t="shared" ca="1" si="30"/>
        <v/>
      </c>
      <c r="AD113" s="488" t="str">
        <f t="shared" ca="1" si="30"/>
        <v/>
      </c>
      <c r="AE113" s="488" t="str">
        <f t="shared" ca="1" si="30"/>
        <v/>
      </c>
      <c r="AF113" s="488" t="str">
        <f t="shared" ca="1" si="30"/>
        <v/>
      </c>
      <c r="AG113" s="488" t="str">
        <f t="shared" ca="1" si="30"/>
        <v/>
      </c>
      <c r="AH113" s="488" t="str">
        <f t="shared" ca="1" si="30"/>
        <v/>
      </c>
      <c r="AI113" s="488" t="str">
        <f t="shared" ca="1" si="30"/>
        <v/>
      </c>
      <c r="AJ113" s="488" t="str">
        <f t="shared" ca="1" si="30"/>
        <v/>
      </c>
      <c r="AK113" s="488" t="str">
        <f t="shared" ca="1" si="30"/>
        <v/>
      </c>
      <c r="AL113" s="488" t="str">
        <f t="shared" ca="1" si="30"/>
        <v/>
      </c>
      <c r="AM113" s="488" t="str">
        <f t="shared" ca="1" si="30"/>
        <v/>
      </c>
      <c r="AN113" s="488" t="str">
        <f t="shared" ca="1" si="30"/>
        <v/>
      </c>
      <c r="AO113" s="488" t="str">
        <f t="shared" ca="1" si="30"/>
        <v/>
      </c>
      <c r="AP113" s="488" t="str">
        <f t="shared" ca="1" si="30"/>
        <v/>
      </c>
      <c r="AQ113" s="488" t="str">
        <f t="shared" ca="1" si="30"/>
        <v/>
      </c>
      <c r="AR113" s="488" t="str">
        <f t="shared" ca="1" si="30"/>
        <v/>
      </c>
      <c r="AS113" s="488" t="str">
        <f t="shared" ca="1" si="30"/>
        <v/>
      </c>
      <c r="AT113" s="488" t="str">
        <f t="shared" ca="1" si="30"/>
        <v/>
      </c>
      <c r="AU113" s="488" t="str">
        <f t="shared" ca="1" si="30"/>
        <v/>
      </c>
      <c r="AV113" s="488" t="str">
        <f t="shared" ca="1" si="30"/>
        <v/>
      </c>
      <c r="AW113" s="488" t="str">
        <f t="shared" ca="1" si="30"/>
        <v/>
      </c>
      <c r="AX113" s="488" t="str">
        <f t="shared" ca="1" si="30"/>
        <v/>
      </c>
      <c r="AY113" s="488" t="str">
        <f t="shared" ca="1" si="30"/>
        <v/>
      </c>
      <c r="AZ113" s="488" t="str">
        <f t="shared" ca="1" si="30"/>
        <v/>
      </c>
      <c r="BA113" s="488" t="str">
        <f t="shared" ref="BA113:BI113" ca="1" si="31">IF($A113&gt;BA$5,"",OFFSET(BA$53,0,-($A113-1)))</f>
        <v/>
      </c>
      <c r="BB113" s="488" t="str">
        <f t="shared" ca="1" si="31"/>
        <v/>
      </c>
      <c r="BC113" s="488" t="str">
        <f t="shared" ca="1" si="31"/>
        <v/>
      </c>
      <c r="BD113" s="488" t="str">
        <f t="shared" ca="1" si="31"/>
        <v/>
      </c>
      <c r="BE113" s="488" t="str">
        <f t="shared" ca="1" si="31"/>
        <v/>
      </c>
      <c r="BF113" s="488" t="str">
        <f t="shared" ca="1" si="31"/>
        <v/>
      </c>
      <c r="BG113" s="488" t="str">
        <f t="shared" ca="1" si="31"/>
        <v/>
      </c>
      <c r="BH113" s="488" t="str">
        <f t="shared" ca="1" si="31"/>
        <v/>
      </c>
      <c r="BI113" s="488">
        <f t="shared" ca="1" si="31"/>
        <v>0</v>
      </c>
    </row>
    <row r="114" spans="1:61" s="495" customFormat="1" x14ac:dyDescent="0.15">
      <c r="A114" s="498"/>
    </row>
    <row r="115" spans="1:61" x14ac:dyDescent="0.15">
      <c r="B115" s="488"/>
      <c r="C115" s="488"/>
      <c r="D115" s="488"/>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row>
    <row r="116" spans="1:61" x14ac:dyDescent="0.15">
      <c r="A116" s="499"/>
    </row>
    <row r="120" spans="1:61" x14ac:dyDescent="0.15">
      <c r="D120" s="493"/>
      <c r="E120" s="493"/>
      <c r="F120" s="493"/>
      <c r="G120" s="493"/>
      <c r="H120" s="493"/>
      <c r="I120" s="493"/>
      <c r="J120" s="493"/>
      <c r="N120" s="478"/>
      <c r="O120" s="478"/>
      <c r="S120" s="500"/>
    </row>
    <row r="121" spans="1:61" x14ac:dyDescent="0.15">
      <c r="E121" s="493"/>
      <c r="F121" s="493"/>
      <c r="G121" s="493"/>
      <c r="H121" s="493"/>
      <c r="I121" s="493"/>
      <c r="J121" s="493"/>
      <c r="S121" s="500"/>
    </row>
    <row r="122" spans="1:61" x14ac:dyDescent="0.15">
      <c r="F122" s="493"/>
      <c r="G122" s="493"/>
      <c r="H122" s="493"/>
      <c r="I122" s="493"/>
      <c r="J122" s="493"/>
      <c r="S122" s="500"/>
    </row>
    <row r="123" spans="1:61" x14ac:dyDescent="0.15">
      <c r="G123" s="493"/>
      <c r="H123" s="493"/>
      <c r="I123" s="493"/>
      <c r="J123" s="493"/>
      <c r="S123" s="500"/>
    </row>
    <row r="124" spans="1:61" x14ac:dyDescent="0.15">
      <c r="H124" s="493"/>
      <c r="I124" s="493"/>
      <c r="J124" s="493"/>
      <c r="S124" s="500"/>
    </row>
    <row r="125" spans="1:61" x14ac:dyDescent="0.15">
      <c r="S125" s="500"/>
    </row>
    <row r="126" spans="1:61" x14ac:dyDescent="0.15">
      <c r="S126" s="500"/>
    </row>
    <row r="127" spans="1:61" x14ac:dyDescent="0.15">
      <c r="S127" s="500"/>
    </row>
    <row r="128" spans="1:61" x14ac:dyDescent="0.15">
      <c r="S128" s="500"/>
    </row>
    <row r="129" spans="19:19" x14ac:dyDescent="0.15">
      <c r="S129" s="500"/>
    </row>
    <row r="130" spans="19:19" x14ac:dyDescent="0.15">
      <c r="S130" s="500"/>
    </row>
    <row r="131" spans="19:19" x14ac:dyDescent="0.15">
      <c r="S131" s="500"/>
    </row>
    <row r="132" spans="19:19" x14ac:dyDescent="0.15">
      <c r="S132" s="500"/>
    </row>
    <row r="133" spans="19:19" x14ac:dyDescent="0.15">
      <c r="S133" s="500"/>
    </row>
    <row r="134" spans="19:19" x14ac:dyDescent="0.15">
      <c r="S134" s="500"/>
    </row>
    <row r="135" spans="19:19" x14ac:dyDescent="0.15">
      <c r="S135" s="500"/>
    </row>
  </sheetData>
  <sheetProtection algorithmName="SHA-512" hashValue="FEKdBf8F8N6YS05OUbZKpAv6JLwxWoEbp3D+2XLeUJpNRYmIq1Yw9VBeo1bphRTGAPY005vBBORuvsJxl4gW5w==" saltValue="sKe1OaX+cQ7L4fIWqKT0gw==" spinCount="100000" sheet="1"/>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10DD-6223-AA44-BD74-D43D50E048B6}">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NOTE</vt:lpstr>
      <vt:lpstr>DATA</vt:lpstr>
      <vt:lpstr>PNL</vt:lpstr>
      <vt:lpstr>Early repayment</vt:lpstr>
      <vt:lpstr>RISK</vt:lpstr>
      <vt:lpstr>Leadsheet</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2026-05-13T03:20:12Z</dcterms:created>
  <dcterms:modified xsi:type="dcterms:W3CDTF">2026-05-13T03:20:58Z</dcterms:modified>
</cp:coreProperties>
</file>