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66925"/>
  <mc:AlternateContent xmlns:mc="http://schemas.openxmlformats.org/markup-compatibility/2006">
    <mc:Choice Requires="x15">
      <x15ac:absPath xmlns:x15ac="http://schemas.microsoft.com/office/spreadsheetml/2010/11/ac" url="/Users/dami/Documents/UAI/SAP/"/>
    </mc:Choice>
  </mc:AlternateContent>
  <xr:revisionPtr revIDLastSave="0" documentId="13_ncr:1_{0FC79C5F-F982-1F47-99FB-F9FDFA93DF1F}" xr6:coauthVersionLast="47" xr6:coauthVersionMax="47" xr10:uidLastSave="{00000000-0000-0000-0000-000000000000}"/>
  <bookViews>
    <workbookView xWindow="0" yWindow="740" windowWidth="30240" windowHeight="18900" tabRatio="986" firstSheet="5" activeTab="12" xr2:uid="{00000000-000D-0000-FFFF-FFFF00000000}"/>
  </bookViews>
  <sheets>
    <sheet name="Portada" sheetId="1" r:id="rId1"/>
    <sheet name="Indice" sheetId="2" r:id="rId2"/>
    <sheet name="Hipótesis" sheetId="3" r:id="rId3"/>
    <sheet name="Proy. ventas" sheetId="20" r:id="rId4"/>
    <sheet name="Anexo capacidad operativa" sheetId="34" r:id="rId5"/>
    <sheet name="Mod. ingresos" sheetId="26" r:id="rId6"/>
    <sheet name="Costos fijos" sheetId="22" r:id="rId7"/>
    <sheet name="Costos variables" sheetId="27" r:id="rId8"/>
    <sheet name="Costos RRHH" sheetId="25" r:id="rId9"/>
    <sheet name="Mod. egresos" sheetId="24" r:id="rId10"/>
    <sheet name="Mod. inversión" sheetId="23" r:id="rId11"/>
    <sheet name="Amortizaciones" sheetId="19" r:id="rId12"/>
    <sheet name="Presupuesto financiero" sheetId="21" r:id="rId13"/>
    <sheet name="Matriz riesgo" sheetId="18" r:id="rId14"/>
    <sheet name="Escenario 1" sheetId="29" r:id="rId15"/>
    <sheet name="Escenario 2" sheetId="37" r:id="rId16"/>
    <sheet name="Escenario 3" sheetId="38" r:id="rId17"/>
    <sheet name="Plan de contingencia" sheetId="30" r:id="rId18"/>
    <sheet name="Hoja auxiliar" sheetId="3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30" l="1"/>
  <c r="AC69" i="25"/>
  <c r="AB69" i="25"/>
  <c r="N31" i="30"/>
  <c r="AD69" i="25"/>
  <c r="J23" i="30"/>
  <c r="H24" i="37"/>
  <c r="H25" i="37"/>
  <c r="K31" i="30"/>
  <c r="J31" i="30"/>
  <c r="J22" i="30"/>
  <c r="G25" i="37"/>
  <c r="H24" i="29"/>
  <c r="K22" i="30"/>
  <c r="I22" i="30"/>
  <c r="G23" i="38"/>
  <c r="H23" i="38"/>
  <c r="F23" i="38"/>
  <c r="G24" i="37"/>
  <c r="F24" i="37"/>
  <c r="H23" i="29"/>
  <c r="G23" i="29"/>
  <c r="F23" i="29"/>
  <c r="F9" i="29"/>
  <c r="G9" i="29"/>
  <c r="H9" i="29"/>
  <c r="M23" i="30" a="1"/>
  <c r="M23" i="30" s="1"/>
  <c r="C14" i="30"/>
  <c r="C10" i="30"/>
  <c r="C6" i="30"/>
  <c r="Z43" i="27" l="1"/>
  <c r="AA43" i="27"/>
  <c r="P43" i="27"/>
  <c r="Q43" i="27"/>
  <c r="R43" i="27"/>
  <c r="S43" i="27"/>
  <c r="T43" i="27"/>
  <c r="U43" i="27"/>
  <c r="V43" i="27"/>
  <c r="W43" i="27"/>
  <c r="X43" i="27"/>
  <c r="Y43" i="27"/>
  <c r="H43" i="27"/>
  <c r="I43" i="27"/>
  <c r="J43" i="27"/>
  <c r="K43" i="27"/>
  <c r="L43" i="27"/>
  <c r="M43" i="27"/>
  <c r="N43" i="27"/>
  <c r="O43" i="27"/>
  <c r="F43" i="27"/>
  <c r="G43" i="27"/>
  <c r="G31" i="27"/>
  <c r="E43" i="27"/>
  <c r="D43" i="27"/>
  <c r="AA42" i="27"/>
  <c r="I42" i="27"/>
  <c r="I30" i="27"/>
  <c r="AA30" i="27"/>
  <c r="AA18" i="27"/>
  <c r="I18" i="27"/>
  <c r="Z31" i="27"/>
  <c r="AA31" i="27"/>
  <c r="P31" i="27"/>
  <c r="Q31" i="27"/>
  <c r="R31" i="27"/>
  <c r="S31" i="27"/>
  <c r="T31" i="27"/>
  <c r="U31" i="27"/>
  <c r="V31" i="27"/>
  <c r="W31" i="27"/>
  <c r="X31" i="27"/>
  <c r="Y31" i="27"/>
  <c r="H31" i="27"/>
  <c r="I31" i="27"/>
  <c r="J31" i="27"/>
  <c r="K31" i="27"/>
  <c r="L31" i="27"/>
  <c r="M31" i="27"/>
  <c r="N31" i="27"/>
  <c r="O31" i="27"/>
  <c r="F31" i="27"/>
  <c r="G19" i="27"/>
  <c r="G20" i="27" s="1"/>
  <c r="E31" i="27"/>
  <c r="D31" i="27"/>
  <c r="T19" i="27"/>
  <c r="U19" i="27"/>
  <c r="U20" i="27" s="1"/>
  <c r="V19" i="27"/>
  <c r="W19" i="27"/>
  <c r="W20" i="27" s="1"/>
  <c r="X19" i="27"/>
  <c r="Y19" i="27"/>
  <c r="Y20" i="27" s="1"/>
  <c r="Z19" i="27"/>
  <c r="AA19" i="27"/>
  <c r="AA20" i="27" s="1"/>
  <c r="H19" i="27"/>
  <c r="I19" i="27"/>
  <c r="I20" i="27" s="1"/>
  <c r="J19" i="27"/>
  <c r="K19" i="27"/>
  <c r="K20" i="27" s="1"/>
  <c r="L19" i="27"/>
  <c r="M19" i="27"/>
  <c r="M20" i="27" s="1"/>
  <c r="N19" i="27"/>
  <c r="O19" i="27"/>
  <c r="O20" i="27" s="1"/>
  <c r="P19" i="27"/>
  <c r="Q19" i="27"/>
  <c r="Q20" i="27" s="1"/>
  <c r="R19" i="27"/>
  <c r="S19" i="27"/>
  <c r="S20" i="27" s="1"/>
  <c r="E19" i="27"/>
  <c r="E20" i="27" s="1"/>
  <c r="F19" i="27"/>
  <c r="D19" i="27"/>
  <c r="AB43" i="27" l="1"/>
  <c r="AB20" i="27"/>
  <c r="AB19" i="27"/>
  <c r="K15" i="38" l="1"/>
  <c r="K11" i="38"/>
  <c r="K7" i="38"/>
  <c r="K12" i="37"/>
  <c r="K16" i="37"/>
  <c r="K8" i="37"/>
  <c r="H26" i="29"/>
  <c r="K15" i="29"/>
  <c r="K11" i="29"/>
  <c r="K7" i="29"/>
  <c r="E45" i="34" l="1"/>
  <c r="F45" i="34"/>
  <c r="G45" i="34"/>
  <c r="H45" i="34"/>
  <c r="I45" i="34"/>
  <c r="J45" i="34" s="1"/>
  <c r="K45" i="34"/>
  <c r="L45" i="34"/>
  <c r="M45" i="34"/>
  <c r="N45" i="34"/>
  <c r="O45" i="34"/>
  <c r="P45" i="34"/>
  <c r="Q45" i="34"/>
  <c r="R45" i="34" s="1"/>
  <c r="S45" i="34"/>
  <c r="T45" i="34"/>
  <c r="U45" i="34"/>
  <c r="V45" i="34"/>
  <c r="W45" i="34"/>
  <c r="X45" i="34"/>
  <c r="Y45" i="34"/>
  <c r="Z45" i="34" s="1"/>
  <c r="E46" i="34"/>
  <c r="F46" i="34"/>
  <c r="G46" i="34"/>
  <c r="H46" i="34"/>
  <c r="I46" i="34"/>
  <c r="J46" i="34"/>
  <c r="K46" i="34"/>
  <c r="L46" i="34" s="1"/>
  <c r="M46" i="34"/>
  <c r="N46" i="34"/>
  <c r="O46" i="34"/>
  <c r="P46" i="34"/>
  <c r="Q46" i="34"/>
  <c r="R46" i="34"/>
  <c r="S46" i="34"/>
  <c r="T46" i="34" s="1"/>
  <c r="U46" i="34"/>
  <c r="V46" i="34"/>
  <c r="W46" i="34"/>
  <c r="X46" i="34"/>
  <c r="Y46" i="34"/>
  <c r="Z46" i="34"/>
  <c r="D46" i="34"/>
  <c r="D45" i="34"/>
  <c r="E37" i="34"/>
  <c r="F37" i="34" s="1"/>
  <c r="G37" i="34"/>
  <c r="H37" i="34" s="1"/>
  <c r="I37" i="34"/>
  <c r="J37" i="34" s="1"/>
  <c r="K37" i="34"/>
  <c r="L37" i="34"/>
  <c r="M37" i="34"/>
  <c r="N37" i="34"/>
  <c r="O37" i="34"/>
  <c r="P37" i="34"/>
  <c r="Q37" i="34"/>
  <c r="R37" i="34" s="1"/>
  <c r="S37" i="34"/>
  <c r="T37" i="34"/>
  <c r="U37" i="34"/>
  <c r="V37" i="34"/>
  <c r="W37" i="34"/>
  <c r="X37" i="34"/>
  <c r="Y37" i="34"/>
  <c r="Z37" i="34" s="1"/>
  <c r="E38" i="34"/>
  <c r="F38" i="34"/>
  <c r="G38" i="34"/>
  <c r="H38" i="34"/>
  <c r="I38" i="34"/>
  <c r="J38" i="34"/>
  <c r="K38" i="34"/>
  <c r="L38" i="34" s="1"/>
  <c r="M38" i="34"/>
  <c r="N38" i="34"/>
  <c r="O38" i="34"/>
  <c r="P38" i="34"/>
  <c r="Q38" i="34"/>
  <c r="R38" i="34"/>
  <c r="S38" i="34"/>
  <c r="T38" i="34" s="1"/>
  <c r="U38" i="34"/>
  <c r="V38" i="34"/>
  <c r="W38" i="34"/>
  <c r="X38" i="34"/>
  <c r="Y38" i="34"/>
  <c r="Z38" i="34"/>
  <c r="D38" i="34"/>
  <c r="D37" i="34"/>
  <c r="S28" i="34"/>
  <c r="E28" i="34"/>
  <c r="G28" i="34"/>
  <c r="I28" i="34"/>
  <c r="K28" i="34"/>
  <c r="M28" i="34"/>
  <c r="O28" i="34"/>
  <c r="Q28" i="34"/>
  <c r="U28" i="34"/>
  <c r="W28" i="34"/>
  <c r="Y28" i="34"/>
  <c r="E29" i="34"/>
  <c r="F29" i="34" s="1"/>
  <c r="G29" i="34"/>
  <c r="H29" i="34"/>
  <c r="I29" i="34"/>
  <c r="J29" i="34"/>
  <c r="K29" i="34"/>
  <c r="L29" i="34"/>
  <c r="M29" i="34"/>
  <c r="N29" i="34" s="1"/>
  <c r="O29" i="34"/>
  <c r="P29" i="34"/>
  <c r="Q29" i="34"/>
  <c r="R29" i="34"/>
  <c r="S29" i="34"/>
  <c r="T29" i="34"/>
  <c r="U29" i="34"/>
  <c r="V29" i="34" s="1"/>
  <c r="W29" i="34"/>
  <c r="X29" i="34"/>
  <c r="Y29" i="34"/>
  <c r="Z29" i="34"/>
  <c r="E30" i="34"/>
  <c r="F30" i="34"/>
  <c r="G30" i="34"/>
  <c r="H30" i="34" s="1"/>
  <c r="I30" i="34"/>
  <c r="J30" i="34"/>
  <c r="K30" i="34"/>
  <c r="L30" i="34"/>
  <c r="M30" i="34"/>
  <c r="N30" i="34"/>
  <c r="O30" i="34"/>
  <c r="P30" i="34" s="1"/>
  <c r="Q30" i="34"/>
  <c r="R30" i="34"/>
  <c r="S30" i="34"/>
  <c r="T30" i="34"/>
  <c r="U30" i="34"/>
  <c r="V30" i="34"/>
  <c r="W30" i="34"/>
  <c r="X30" i="34" s="1"/>
  <c r="Y30" i="34"/>
  <c r="Z30" i="34"/>
  <c r="D29" i="34"/>
  <c r="D30" i="34"/>
  <c r="E44" i="34"/>
  <c r="G44" i="34"/>
  <c r="I44" i="34"/>
  <c r="K44" i="34"/>
  <c r="M44" i="34"/>
  <c r="O44" i="34"/>
  <c r="Q44" i="34"/>
  <c r="S44" i="34"/>
  <c r="U44" i="34"/>
  <c r="W44" i="34"/>
  <c r="Y44" i="34"/>
  <c r="C46" i="34"/>
  <c r="C45" i="34"/>
  <c r="C44" i="34"/>
  <c r="E36" i="34"/>
  <c r="G36" i="34"/>
  <c r="I36" i="34"/>
  <c r="K36" i="34"/>
  <c r="M36" i="34"/>
  <c r="O36" i="34"/>
  <c r="Q36" i="34"/>
  <c r="S36" i="34"/>
  <c r="U36" i="34"/>
  <c r="W36" i="34"/>
  <c r="Y36" i="34"/>
  <c r="C36" i="34"/>
  <c r="C38" i="34"/>
  <c r="C37" i="34"/>
  <c r="C29" i="34"/>
  <c r="C30" i="34"/>
  <c r="U122" i="20"/>
  <c r="W122" i="20"/>
  <c r="Y122" i="20"/>
  <c r="AA122" i="20"/>
  <c r="U123" i="20"/>
  <c r="W123" i="20"/>
  <c r="Y123" i="20"/>
  <c r="AA123" i="20"/>
  <c r="U124" i="20"/>
  <c r="W124" i="20"/>
  <c r="Y124" i="20"/>
  <c r="AA124" i="20"/>
  <c r="U125" i="20"/>
  <c r="W125" i="20"/>
  <c r="Y125" i="20"/>
  <c r="AA125" i="20"/>
  <c r="U126" i="20"/>
  <c r="W126" i="20"/>
  <c r="Y126" i="20"/>
  <c r="AA126" i="20"/>
  <c r="G122" i="20"/>
  <c r="I122" i="20"/>
  <c r="K122" i="20"/>
  <c r="M122" i="20"/>
  <c r="O122" i="20"/>
  <c r="Q122" i="20"/>
  <c r="S122" i="20"/>
  <c r="G123" i="20"/>
  <c r="I123" i="20"/>
  <c r="K123" i="20"/>
  <c r="M123" i="20"/>
  <c r="O123" i="20"/>
  <c r="Q123" i="20"/>
  <c r="S123" i="20"/>
  <c r="G124" i="20"/>
  <c r="I124" i="20"/>
  <c r="K124" i="20"/>
  <c r="M124" i="20"/>
  <c r="O124" i="20"/>
  <c r="Q124" i="20"/>
  <c r="S124" i="20"/>
  <c r="G125" i="20"/>
  <c r="I125" i="20"/>
  <c r="K125" i="20"/>
  <c r="M125" i="20"/>
  <c r="O125" i="20"/>
  <c r="Q125" i="20"/>
  <c r="S125" i="20"/>
  <c r="G126" i="20"/>
  <c r="I126" i="20"/>
  <c r="K126" i="20"/>
  <c r="M126" i="20"/>
  <c r="O126" i="20"/>
  <c r="Q126" i="20"/>
  <c r="S126" i="20"/>
  <c r="E126" i="20"/>
  <c r="E124" i="20"/>
  <c r="E122" i="20"/>
  <c r="S71" i="20"/>
  <c r="U71" i="20"/>
  <c r="W71" i="20"/>
  <c r="Y71" i="20"/>
  <c r="AA71" i="20"/>
  <c r="S72" i="20"/>
  <c r="U72" i="20"/>
  <c r="W72" i="20"/>
  <c r="Y72" i="20"/>
  <c r="AA72" i="20"/>
  <c r="S73" i="20"/>
  <c r="U73" i="20"/>
  <c r="W73" i="20"/>
  <c r="Y73" i="20"/>
  <c r="AA73" i="20"/>
  <c r="S74" i="20"/>
  <c r="U74" i="20"/>
  <c r="W74" i="20"/>
  <c r="X74" i="20"/>
  <c r="Y74" i="20"/>
  <c r="Z74" i="20"/>
  <c r="AA74" i="20"/>
  <c r="S75" i="20"/>
  <c r="U75" i="20"/>
  <c r="W75" i="20"/>
  <c r="Y75" i="20"/>
  <c r="AA75" i="20"/>
  <c r="G71" i="20"/>
  <c r="I71" i="20"/>
  <c r="K71" i="20"/>
  <c r="M71" i="20"/>
  <c r="O71" i="20"/>
  <c r="Q71" i="20"/>
  <c r="G72" i="20"/>
  <c r="I72" i="20"/>
  <c r="K72" i="20"/>
  <c r="M72" i="20"/>
  <c r="O72" i="20"/>
  <c r="Q72" i="20"/>
  <c r="G73" i="20"/>
  <c r="I73" i="20"/>
  <c r="K73" i="20"/>
  <c r="M73" i="20"/>
  <c r="O73" i="20"/>
  <c r="Q73" i="20"/>
  <c r="G74" i="20"/>
  <c r="H74" i="20"/>
  <c r="I74" i="20"/>
  <c r="K74" i="20"/>
  <c r="M74" i="20"/>
  <c r="N74" i="20"/>
  <c r="O74" i="20"/>
  <c r="P74" i="20"/>
  <c r="Q74" i="20"/>
  <c r="G75" i="20"/>
  <c r="I75" i="20"/>
  <c r="K75" i="20"/>
  <c r="M75" i="20"/>
  <c r="O75" i="20"/>
  <c r="Q75" i="20"/>
  <c r="E71" i="20"/>
  <c r="E73" i="20"/>
  <c r="E75" i="20"/>
  <c r="F74" i="20"/>
  <c r="E125" i="20"/>
  <c r="E123" i="20"/>
  <c r="E74" i="20"/>
  <c r="E72" i="20"/>
  <c r="D72" i="20"/>
  <c r="X72" i="20" s="1"/>
  <c r="D74" i="20"/>
  <c r="T74" i="20" s="1"/>
  <c r="D73" i="20"/>
  <c r="Z73" i="20" s="1"/>
  <c r="D75" i="20"/>
  <c r="T75" i="20" s="1"/>
  <c r="G14" i="19"/>
  <c r="K14" i="19" s="1"/>
  <c r="G13" i="19"/>
  <c r="K13" i="19" s="1"/>
  <c r="G12" i="19"/>
  <c r="K12" i="19" s="1"/>
  <c r="G11" i="19"/>
  <c r="K11" i="19" s="1"/>
  <c r="E14" i="23"/>
  <c r="Z88" i="25"/>
  <c r="Z87" i="25"/>
  <c r="Z86" i="25"/>
  <c r="Z85" i="25"/>
  <c r="Z84" i="25"/>
  <c r="Z83" i="25"/>
  <c r="Z82" i="25"/>
  <c r="Z81" i="25"/>
  <c r="Z80" i="25"/>
  <c r="Z79" i="25"/>
  <c r="Z72" i="25"/>
  <c r="Z71" i="25"/>
  <c r="Z70" i="25"/>
  <c r="Z69" i="25"/>
  <c r="Z68" i="25"/>
  <c r="Z67" i="25"/>
  <c r="Z66" i="25"/>
  <c r="Z65" i="25"/>
  <c r="Z73" i="25" s="1"/>
  <c r="Z64" i="25"/>
  <c r="Z63" i="25"/>
  <c r="Z55" i="25"/>
  <c r="Z54" i="25"/>
  <c r="Z53" i="25"/>
  <c r="Z52" i="25"/>
  <c r="Z51" i="25"/>
  <c r="Z50" i="25"/>
  <c r="Z48" i="25"/>
  <c r="Z47" i="25"/>
  <c r="N55" i="25"/>
  <c r="N54" i="25"/>
  <c r="N53" i="25"/>
  <c r="N52" i="25"/>
  <c r="N51" i="25"/>
  <c r="N50" i="25"/>
  <c r="N49" i="25"/>
  <c r="N48" i="25"/>
  <c r="N47" i="25"/>
  <c r="N46" i="25"/>
  <c r="N88" i="25"/>
  <c r="N87" i="25"/>
  <c r="N86" i="25"/>
  <c r="N85" i="25"/>
  <c r="N84" i="25"/>
  <c r="N83" i="25"/>
  <c r="N82" i="25"/>
  <c r="N81" i="25"/>
  <c r="N80" i="25"/>
  <c r="N79" i="25"/>
  <c r="N72" i="25"/>
  <c r="N71" i="25"/>
  <c r="N70" i="25"/>
  <c r="N69" i="25"/>
  <c r="N68" i="25"/>
  <c r="N67" i="25"/>
  <c r="N66" i="25"/>
  <c r="N65" i="25"/>
  <c r="N64" i="25"/>
  <c r="N63" i="25"/>
  <c r="X88" i="25"/>
  <c r="V88" i="25"/>
  <c r="T88" i="25"/>
  <c r="R88" i="25"/>
  <c r="P88" i="25"/>
  <c r="L88" i="25"/>
  <c r="J88" i="25"/>
  <c r="H88" i="25"/>
  <c r="F88" i="25"/>
  <c r="D88" i="25"/>
  <c r="X87" i="25"/>
  <c r="V87" i="25"/>
  <c r="T87" i="25"/>
  <c r="R87" i="25"/>
  <c r="P87" i="25"/>
  <c r="L87" i="25"/>
  <c r="J87" i="25"/>
  <c r="H87" i="25"/>
  <c r="F87" i="25"/>
  <c r="D87" i="25"/>
  <c r="X86" i="25"/>
  <c r="V86" i="25"/>
  <c r="T86" i="25"/>
  <c r="R86" i="25"/>
  <c r="P86" i="25"/>
  <c r="L86" i="25"/>
  <c r="J86" i="25"/>
  <c r="H86" i="25"/>
  <c r="F86" i="25"/>
  <c r="D86" i="25"/>
  <c r="X85" i="25"/>
  <c r="V85" i="25"/>
  <c r="T85" i="25"/>
  <c r="R85" i="25"/>
  <c r="P85" i="25"/>
  <c r="L85" i="25"/>
  <c r="J85" i="25"/>
  <c r="H85" i="25"/>
  <c r="F85" i="25"/>
  <c r="D85" i="25"/>
  <c r="X84" i="25"/>
  <c r="V84" i="25"/>
  <c r="T84" i="25"/>
  <c r="R84" i="25"/>
  <c r="P84" i="25"/>
  <c r="L84" i="25"/>
  <c r="J84" i="25"/>
  <c r="H84" i="25"/>
  <c r="F84" i="25"/>
  <c r="D84" i="25"/>
  <c r="X83" i="25"/>
  <c r="V83" i="25"/>
  <c r="T83" i="25"/>
  <c r="R83" i="25"/>
  <c r="P83" i="25"/>
  <c r="L83" i="25"/>
  <c r="J83" i="25"/>
  <c r="H83" i="25"/>
  <c r="F83" i="25"/>
  <c r="D83" i="25"/>
  <c r="X82" i="25"/>
  <c r="V82" i="25"/>
  <c r="T82" i="25"/>
  <c r="R82" i="25"/>
  <c r="P82" i="25"/>
  <c r="L82" i="25"/>
  <c r="J82" i="25"/>
  <c r="H82" i="25"/>
  <c r="F82" i="25"/>
  <c r="D82" i="25"/>
  <c r="X81" i="25"/>
  <c r="V81" i="25"/>
  <c r="T81" i="25"/>
  <c r="R81" i="25"/>
  <c r="P81" i="25"/>
  <c r="L81" i="25"/>
  <c r="J81" i="25"/>
  <c r="H81" i="25"/>
  <c r="F81" i="25"/>
  <c r="D81" i="25"/>
  <c r="X80" i="25"/>
  <c r="V80" i="25"/>
  <c r="T80" i="25"/>
  <c r="R80" i="25"/>
  <c r="P80" i="25"/>
  <c r="L80" i="25"/>
  <c r="J80" i="25"/>
  <c r="H80" i="25"/>
  <c r="F80" i="25"/>
  <c r="D80" i="25"/>
  <c r="X79" i="25"/>
  <c r="V79" i="25"/>
  <c r="T79" i="25"/>
  <c r="R79" i="25"/>
  <c r="P79" i="25"/>
  <c r="L79" i="25"/>
  <c r="J79" i="25"/>
  <c r="H79" i="25"/>
  <c r="F79" i="25"/>
  <c r="D79" i="25"/>
  <c r="X72" i="25"/>
  <c r="V72" i="25"/>
  <c r="T72" i="25"/>
  <c r="R72" i="25"/>
  <c r="P72" i="25"/>
  <c r="L72" i="25"/>
  <c r="J72" i="25"/>
  <c r="H72" i="25"/>
  <c r="F72" i="25"/>
  <c r="D72" i="25"/>
  <c r="X71" i="25"/>
  <c r="V71" i="25"/>
  <c r="T71" i="25"/>
  <c r="R71" i="25"/>
  <c r="P71" i="25"/>
  <c r="L71" i="25"/>
  <c r="J71" i="25"/>
  <c r="H71" i="25"/>
  <c r="F71" i="25"/>
  <c r="D71" i="25"/>
  <c r="X70" i="25"/>
  <c r="V70" i="25"/>
  <c r="T70" i="25"/>
  <c r="R70" i="25"/>
  <c r="P70" i="25"/>
  <c r="L70" i="25"/>
  <c r="J70" i="25"/>
  <c r="H70" i="25"/>
  <c r="F70" i="25"/>
  <c r="D70" i="25"/>
  <c r="X69" i="25"/>
  <c r="V69" i="25"/>
  <c r="T69" i="25"/>
  <c r="R69" i="25"/>
  <c r="P69" i="25"/>
  <c r="L69" i="25"/>
  <c r="J69" i="25"/>
  <c r="H69" i="25"/>
  <c r="F69" i="25"/>
  <c r="D69" i="25"/>
  <c r="X68" i="25"/>
  <c r="V68" i="25"/>
  <c r="T68" i="25"/>
  <c r="R68" i="25"/>
  <c r="P68" i="25"/>
  <c r="L68" i="25"/>
  <c r="J68" i="25"/>
  <c r="H68" i="25"/>
  <c r="F68" i="25"/>
  <c r="D68" i="25"/>
  <c r="X67" i="25"/>
  <c r="V67" i="25"/>
  <c r="T67" i="25"/>
  <c r="R67" i="25"/>
  <c r="P67" i="25"/>
  <c r="L67" i="25"/>
  <c r="J67" i="25"/>
  <c r="H67" i="25"/>
  <c r="F67" i="25"/>
  <c r="D67" i="25"/>
  <c r="X66" i="25"/>
  <c r="V66" i="25"/>
  <c r="T66" i="25"/>
  <c r="R66" i="25"/>
  <c r="P66" i="25"/>
  <c r="L66" i="25"/>
  <c r="J66" i="25"/>
  <c r="H66" i="25"/>
  <c r="F66" i="25"/>
  <c r="D66" i="25"/>
  <c r="X65" i="25"/>
  <c r="V65" i="25"/>
  <c r="T65" i="25"/>
  <c r="R65" i="25"/>
  <c r="P65" i="25"/>
  <c r="L65" i="25"/>
  <c r="J65" i="25"/>
  <c r="H65" i="25"/>
  <c r="F65" i="25"/>
  <c r="D65" i="25"/>
  <c r="X64" i="25"/>
  <c r="V64" i="25"/>
  <c r="T64" i="25"/>
  <c r="R64" i="25"/>
  <c r="P64" i="25"/>
  <c r="L64" i="25"/>
  <c r="J64" i="25"/>
  <c r="H64" i="25"/>
  <c r="F64" i="25"/>
  <c r="D64" i="25"/>
  <c r="X63" i="25"/>
  <c r="V63" i="25"/>
  <c r="T63" i="25"/>
  <c r="R63" i="25"/>
  <c r="P63" i="25"/>
  <c r="L63" i="25"/>
  <c r="J63" i="25"/>
  <c r="H63" i="25"/>
  <c r="F63" i="25"/>
  <c r="D63" i="25"/>
  <c r="Z46" i="25"/>
  <c r="X46" i="25"/>
  <c r="X47" i="25"/>
  <c r="X48" i="25"/>
  <c r="X49" i="25"/>
  <c r="Z49" i="25" s="1"/>
  <c r="X50" i="25"/>
  <c r="X51" i="25"/>
  <c r="X52" i="25"/>
  <c r="X53" i="25"/>
  <c r="X54" i="25"/>
  <c r="X55" i="25"/>
  <c r="F46" i="25"/>
  <c r="H46" i="25"/>
  <c r="J46" i="25"/>
  <c r="L46" i="25"/>
  <c r="P46" i="25"/>
  <c r="R46" i="25"/>
  <c r="T46" i="25"/>
  <c r="V46" i="25"/>
  <c r="F47" i="25"/>
  <c r="H47" i="25"/>
  <c r="J47" i="25"/>
  <c r="L47" i="25"/>
  <c r="P47" i="25"/>
  <c r="R47" i="25"/>
  <c r="T47" i="25"/>
  <c r="V47" i="25"/>
  <c r="F48" i="25"/>
  <c r="H48" i="25"/>
  <c r="J48" i="25"/>
  <c r="L48" i="25"/>
  <c r="P48" i="25"/>
  <c r="R48" i="25"/>
  <c r="T48" i="25"/>
  <c r="V48" i="25"/>
  <c r="F49" i="25"/>
  <c r="H49" i="25"/>
  <c r="J49" i="25"/>
  <c r="L49" i="25"/>
  <c r="P49" i="25"/>
  <c r="R49" i="25"/>
  <c r="T49" i="25"/>
  <c r="V49" i="25"/>
  <c r="F50" i="25"/>
  <c r="H50" i="25"/>
  <c r="J50" i="25"/>
  <c r="L50" i="25"/>
  <c r="P50" i="25"/>
  <c r="R50" i="25"/>
  <c r="T50" i="25"/>
  <c r="V50" i="25"/>
  <c r="F51" i="25"/>
  <c r="H51" i="25"/>
  <c r="J51" i="25"/>
  <c r="L51" i="25"/>
  <c r="P51" i="25"/>
  <c r="R51" i="25"/>
  <c r="T51" i="25"/>
  <c r="V51" i="25"/>
  <c r="F52" i="25"/>
  <c r="H52" i="25"/>
  <c r="J52" i="25"/>
  <c r="L52" i="25"/>
  <c r="P52" i="25"/>
  <c r="R52" i="25"/>
  <c r="T52" i="25"/>
  <c r="V52" i="25"/>
  <c r="F53" i="25"/>
  <c r="H53" i="25"/>
  <c r="J53" i="25"/>
  <c r="L53" i="25"/>
  <c r="P53" i="25"/>
  <c r="R53" i="25"/>
  <c r="T53" i="25"/>
  <c r="V53" i="25"/>
  <c r="F54" i="25"/>
  <c r="H54" i="25"/>
  <c r="J54" i="25"/>
  <c r="L54" i="25"/>
  <c r="P54" i="25"/>
  <c r="R54" i="25"/>
  <c r="T54" i="25"/>
  <c r="V54" i="25"/>
  <c r="F55" i="25"/>
  <c r="H55" i="25"/>
  <c r="J55" i="25"/>
  <c r="L55" i="25"/>
  <c r="P55" i="25"/>
  <c r="R55" i="25"/>
  <c r="T55" i="25"/>
  <c r="V55" i="25"/>
  <c r="J34" i="25"/>
  <c r="J35" i="25"/>
  <c r="J36" i="25"/>
  <c r="J37" i="25"/>
  <c r="J38" i="25"/>
  <c r="J39" i="25"/>
  <c r="E34" i="25"/>
  <c r="F34" i="25"/>
  <c r="G34" i="25"/>
  <c r="H34" i="25"/>
  <c r="E35" i="25"/>
  <c r="F35" i="25"/>
  <c r="G35" i="25"/>
  <c r="H35" i="25"/>
  <c r="E36" i="25"/>
  <c r="F36" i="25"/>
  <c r="G36" i="25"/>
  <c r="H36" i="25"/>
  <c r="E37" i="25"/>
  <c r="F37" i="25"/>
  <c r="G37" i="25"/>
  <c r="H37" i="25"/>
  <c r="E38" i="25"/>
  <c r="F38" i="25"/>
  <c r="G38" i="25"/>
  <c r="H38" i="25"/>
  <c r="E39" i="25"/>
  <c r="F39" i="25"/>
  <c r="G39" i="25"/>
  <c r="H39" i="25"/>
  <c r="J33" i="25"/>
  <c r="H33" i="25"/>
  <c r="G33" i="25"/>
  <c r="F33" i="25"/>
  <c r="E33" i="25"/>
  <c r="Z42" i="27"/>
  <c r="Z41" i="27"/>
  <c r="Z40" i="27"/>
  <c r="Z39" i="27"/>
  <c r="Z30" i="27"/>
  <c r="Z29" i="27"/>
  <c r="Z28" i="27"/>
  <c r="Z27" i="27"/>
  <c r="O36" i="22"/>
  <c r="N36" i="22"/>
  <c r="M36" i="22"/>
  <c r="L36" i="22"/>
  <c r="K36" i="22"/>
  <c r="J36" i="22"/>
  <c r="I36" i="22"/>
  <c r="H36" i="22"/>
  <c r="G36" i="22"/>
  <c r="F36" i="22"/>
  <c r="E36" i="22"/>
  <c r="D36" i="22"/>
  <c r="O24" i="22"/>
  <c r="N24" i="22"/>
  <c r="M24" i="22"/>
  <c r="L24" i="22"/>
  <c r="K24" i="22"/>
  <c r="J24" i="22"/>
  <c r="I24" i="22"/>
  <c r="H24" i="22"/>
  <c r="G24" i="22"/>
  <c r="F24" i="22"/>
  <c r="E24" i="22"/>
  <c r="D24" i="22"/>
  <c r="E13" i="22"/>
  <c r="F13" i="22"/>
  <c r="G13" i="22"/>
  <c r="H13" i="22"/>
  <c r="I13" i="22"/>
  <c r="J13" i="22"/>
  <c r="K13" i="22"/>
  <c r="L13" i="22"/>
  <c r="M13" i="22"/>
  <c r="N13" i="22"/>
  <c r="O13" i="22"/>
  <c r="D13" i="22"/>
  <c r="E38" i="22"/>
  <c r="F38" i="22"/>
  <c r="G38" i="22"/>
  <c r="H38" i="22"/>
  <c r="I38" i="22"/>
  <c r="J38" i="22"/>
  <c r="K38" i="22"/>
  <c r="L38" i="22"/>
  <c r="M38" i="22"/>
  <c r="N38" i="22"/>
  <c r="O38" i="22"/>
  <c r="D38" i="22"/>
  <c r="E26" i="22"/>
  <c r="F26" i="22"/>
  <c r="G26" i="22"/>
  <c r="H26" i="22"/>
  <c r="I26" i="22"/>
  <c r="J26" i="22"/>
  <c r="K26" i="22"/>
  <c r="L26" i="22"/>
  <c r="M26" i="22"/>
  <c r="N26" i="22"/>
  <c r="O26" i="22"/>
  <c r="D26" i="22"/>
  <c r="E14" i="22"/>
  <c r="F14" i="22"/>
  <c r="G14" i="22"/>
  <c r="H14" i="22"/>
  <c r="I14" i="22"/>
  <c r="J14" i="22"/>
  <c r="K14" i="22"/>
  <c r="L14" i="22"/>
  <c r="M14" i="22"/>
  <c r="N14" i="22"/>
  <c r="O14" i="22"/>
  <c r="D14" i="22"/>
  <c r="E15" i="22"/>
  <c r="F15" i="22"/>
  <c r="G15" i="22"/>
  <c r="H15" i="22"/>
  <c r="I15" i="22"/>
  <c r="J15" i="22"/>
  <c r="K15" i="22"/>
  <c r="L15" i="22"/>
  <c r="M15" i="22"/>
  <c r="N15" i="22"/>
  <c r="O15" i="22"/>
  <c r="D15" i="22"/>
  <c r="D12" i="22"/>
  <c r="E35" i="22"/>
  <c r="F35" i="22"/>
  <c r="G35" i="22"/>
  <c r="H35" i="22"/>
  <c r="I35" i="22"/>
  <c r="J35" i="22"/>
  <c r="K35" i="22"/>
  <c r="L35" i="22"/>
  <c r="M35" i="22"/>
  <c r="N35" i="22"/>
  <c r="O35" i="22"/>
  <c r="D35" i="22"/>
  <c r="E23" i="22"/>
  <c r="F23" i="22"/>
  <c r="G23" i="22"/>
  <c r="H23" i="22"/>
  <c r="I23" i="22"/>
  <c r="J23" i="22"/>
  <c r="K23" i="22"/>
  <c r="L23" i="22"/>
  <c r="M23" i="22"/>
  <c r="N23" i="22"/>
  <c r="O23" i="22"/>
  <c r="D23" i="22"/>
  <c r="E12" i="22"/>
  <c r="F12" i="22"/>
  <c r="G12" i="22"/>
  <c r="H12" i="22"/>
  <c r="I12" i="22"/>
  <c r="J12" i="22"/>
  <c r="K12" i="22"/>
  <c r="L12" i="22"/>
  <c r="M12" i="22"/>
  <c r="N12" i="22"/>
  <c r="O12" i="22"/>
  <c r="T73" i="20" l="1"/>
  <c r="T72" i="20"/>
  <c r="Z72" i="20"/>
  <c r="Z75" i="20"/>
  <c r="H75" i="20"/>
  <c r="X75" i="20"/>
  <c r="V75" i="20"/>
  <c r="P75" i="20"/>
  <c r="R75" i="20"/>
  <c r="J75" i="20"/>
  <c r="F75" i="20"/>
  <c r="L75" i="20"/>
  <c r="N75" i="20"/>
  <c r="AB75" i="20"/>
  <c r="L74" i="20"/>
  <c r="V74" i="20"/>
  <c r="R74" i="20"/>
  <c r="J74" i="20"/>
  <c r="AB74" i="20"/>
  <c r="AB73" i="20"/>
  <c r="R73" i="20"/>
  <c r="J73" i="20"/>
  <c r="X73" i="20"/>
  <c r="F73" i="20"/>
  <c r="P73" i="20"/>
  <c r="H73" i="20"/>
  <c r="V73" i="20"/>
  <c r="N73" i="20"/>
  <c r="L73" i="20"/>
  <c r="J72" i="20"/>
  <c r="L72" i="20"/>
  <c r="V72" i="20"/>
  <c r="F72" i="20"/>
  <c r="AB72" i="20"/>
  <c r="P72" i="20"/>
  <c r="R72" i="20"/>
  <c r="H72" i="20"/>
  <c r="N72" i="20"/>
  <c r="K39" i="25"/>
  <c r="L39" i="25" s="1"/>
  <c r="K38" i="25"/>
  <c r="L38" i="25" s="1"/>
  <c r="K34" i="25"/>
  <c r="L34" i="25" s="1"/>
  <c r="K35" i="25"/>
  <c r="L35" i="25" s="1"/>
  <c r="K37" i="25"/>
  <c r="L37" i="25" s="1"/>
  <c r="K36" i="25"/>
  <c r="L36" i="25" s="1"/>
  <c r="D55" i="25" l="1"/>
  <c r="D52" i="25"/>
  <c r="D20" i="26" l="1"/>
  <c r="D18" i="26"/>
  <c r="C161" i="20"/>
  <c r="C162" i="20"/>
  <c r="C163" i="20"/>
  <c r="C160" i="20"/>
  <c r="C159" i="20"/>
  <c r="C108" i="20"/>
  <c r="C110" i="20"/>
  <c r="C111" i="20"/>
  <c r="C112" i="20"/>
  <c r="C109" i="20"/>
  <c r="C59" i="20"/>
  <c r="C60" i="20"/>
  <c r="C61" i="20"/>
  <c r="C58" i="20"/>
  <c r="C57" i="20"/>
  <c r="D123" i="20" l="1"/>
  <c r="D124" i="20"/>
  <c r="D125" i="20"/>
  <c r="D126" i="20"/>
  <c r="S20" i="20"/>
  <c r="U20" i="20"/>
  <c r="W20" i="20"/>
  <c r="Y20" i="20"/>
  <c r="AA20" i="20"/>
  <c r="S21" i="20"/>
  <c r="U21" i="20"/>
  <c r="W21" i="20"/>
  <c r="Y21" i="20"/>
  <c r="AA21" i="20"/>
  <c r="S22" i="20"/>
  <c r="U22" i="20"/>
  <c r="W22" i="20"/>
  <c r="Y22" i="20"/>
  <c r="AA22" i="20"/>
  <c r="S23" i="20"/>
  <c r="T23" i="20"/>
  <c r="U23" i="20"/>
  <c r="V23" i="20"/>
  <c r="W23" i="20"/>
  <c r="X23" i="20"/>
  <c r="Y23" i="20"/>
  <c r="Z23" i="20"/>
  <c r="AA23" i="20"/>
  <c r="AB23" i="20"/>
  <c r="Q20" i="20"/>
  <c r="Q21" i="20"/>
  <c r="Q22" i="20"/>
  <c r="Q23" i="20"/>
  <c r="R23" i="20"/>
  <c r="O20" i="20"/>
  <c r="O21" i="20"/>
  <c r="O22" i="20"/>
  <c r="P22" i="20"/>
  <c r="O23" i="20"/>
  <c r="P23" i="20"/>
  <c r="M20" i="20"/>
  <c r="M21" i="20"/>
  <c r="M22" i="20"/>
  <c r="N22" i="20"/>
  <c r="M23" i="20"/>
  <c r="N23" i="20"/>
  <c r="B126" i="20"/>
  <c r="B125" i="20"/>
  <c r="B124" i="20"/>
  <c r="B123" i="20"/>
  <c r="B122" i="20"/>
  <c r="B75" i="20"/>
  <c r="B74" i="20"/>
  <c r="B73" i="20"/>
  <c r="B72" i="20"/>
  <c r="B71" i="20"/>
  <c r="B23" i="20"/>
  <c r="D23" i="20" s="1"/>
  <c r="B22" i="20"/>
  <c r="D22" i="20" s="1"/>
  <c r="C20" i="26" s="1"/>
  <c r="B21" i="20"/>
  <c r="D21" i="20" s="1"/>
  <c r="T21" i="20" s="1"/>
  <c r="B20" i="20"/>
  <c r="B19" i="20"/>
  <c r="K20" i="20"/>
  <c r="K21" i="20"/>
  <c r="K22" i="20"/>
  <c r="K23" i="20"/>
  <c r="I20" i="20"/>
  <c r="I21" i="20"/>
  <c r="I22" i="20"/>
  <c r="I23" i="20"/>
  <c r="E20" i="20"/>
  <c r="G20" i="20"/>
  <c r="G21" i="20"/>
  <c r="G22" i="20"/>
  <c r="G23" i="20"/>
  <c r="E21" i="20"/>
  <c r="E22" i="20"/>
  <c r="E23" i="20"/>
  <c r="D20" i="20"/>
  <c r="Z20" i="20" s="1"/>
  <c r="F124" i="20" l="1"/>
  <c r="V124" i="20"/>
  <c r="L124" i="20"/>
  <c r="T124" i="20"/>
  <c r="AB124" i="20"/>
  <c r="J124" i="20"/>
  <c r="R124" i="20"/>
  <c r="X124" i="20"/>
  <c r="N124" i="20"/>
  <c r="Z124" i="20"/>
  <c r="H124" i="20"/>
  <c r="P124" i="20"/>
  <c r="V123" i="20"/>
  <c r="J123" i="20"/>
  <c r="R123" i="20"/>
  <c r="F123" i="20"/>
  <c r="X123" i="20"/>
  <c r="L123" i="20"/>
  <c r="Z123" i="20"/>
  <c r="AB123" i="20"/>
  <c r="H123" i="20"/>
  <c r="P123" i="20"/>
  <c r="T123" i="20"/>
  <c r="N123" i="20"/>
  <c r="E18" i="26"/>
  <c r="J126" i="20"/>
  <c r="T126" i="20"/>
  <c r="V126" i="20"/>
  <c r="H126" i="20"/>
  <c r="P126" i="20"/>
  <c r="X126" i="20"/>
  <c r="R126" i="20"/>
  <c r="L126" i="20"/>
  <c r="F126" i="20"/>
  <c r="AB126" i="20"/>
  <c r="N126" i="20"/>
  <c r="Z126" i="20"/>
  <c r="X125" i="20"/>
  <c r="Z125" i="20"/>
  <c r="V125" i="20"/>
  <c r="N125" i="20"/>
  <c r="H125" i="20"/>
  <c r="R125" i="20"/>
  <c r="AB125" i="20"/>
  <c r="L125" i="20"/>
  <c r="T125" i="20"/>
  <c r="F125" i="20"/>
  <c r="P125" i="20"/>
  <c r="J125" i="20"/>
  <c r="E20" i="26"/>
  <c r="AB22" i="20"/>
  <c r="Z21" i="20"/>
  <c r="X21" i="20"/>
  <c r="R21" i="20"/>
  <c r="V21" i="20"/>
  <c r="P21" i="20"/>
  <c r="N21" i="20"/>
  <c r="AB21" i="20"/>
  <c r="X20" i="20"/>
  <c r="R20" i="20"/>
  <c r="N20" i="20"/>
  <c r="T20" i="20"/>
  <c r="P20" i="20"/>
  <c r="V20" i="20"/>
  <c r="AB20" i="20"/>
  <c r="Z22" i="20"/>
  <c r="T22" i="20"/>
  <c r="R22" i="20"/>
  <c r="X22" i="20"/>
  <c r="V22" i="20"/>
  <c r="L20" i="20"/>
  <c r="C18" i="26"/>
  <c r="F20" i="20"/>
  <c r="L23" i="20"/>
  <c r="J23" i="20"/>
  <c r="F23" i="20"/>
  <c r="H23" i="20"/>
  <c r="H21" i="20"/>
  <c r="L21" i="20"/>
  <c r="J21" i="20"/>
  <c r="F21" i="20"/>
  <c r="H22" i="20"/>
  <c r="J22" i="20"/>
  <c r="L22" i="20"/>
  <c r="F22" i="20"/>
  <c r="J20" i="20"/>
  <c r="H20" i="20"/>
  <c r="C12" i="3" l="1"/>
  <c r="F18" i="34"/>
  <c r="C128" i="20"/>
  <c r="C77" i="20"/>
  <c r="B7" i="20" l="1"/>
  <c r="C25" i="20" l="1"/>
  <c r="W128" i="20" l="1"/>
  <c r="K128" i="20"/>
  <c r="G128" i="20"/>
  <c r="AA128" i="20"/>
  <c r="M128" i="20"/>
  <c r="S128" i="20"/>
  <c r="Q128" i="20"/>
  <c r="Y128" i="20"/>
  <c r="I128" i="20"/>
  <c r="O128" i="20"/>
  <c r="E128" i="20"/>
  <c r="U128" i="20"/>
  <c r="G77" i="20"/>
  <c r="M77" i="20"/>
  <c r="O77" i="20"/>
  <c r="S77" i="20"/>
  <c r="E77" i="20"/>
  <c r="I77" i="20"/>
  <c r="AA77" i="20"/>
  <c r="U77" i="20"/>
  <c r="K77" i="20"/>
  <c r="W77" i="20"/>
  <c r="Y77" i="20"/>
  <c r="Q77" i="20"/>
  <c r="M5" i="21"/>
  <c r="L5" i="21"/>
  <c r="K5" i="21"/>
  <c r="D5" i="19"/>
  <c r="C5" i="19"/>
  <c r="B5" i="19"/>
  <c r="E41" i="23"/>
  <c r="J14" i="19" s="1"/>
  <c r="E40" i="23"/>
  <c r="J13" i="19" s="1"/>
  <c r="E39" i="23"/>
  <c r="J12" i="19" s="1"/>
  <c r="E38" i="23"/>
  <c r="J11" i="19" s="1"/>
  <c r="E32" i="23"/>
  <c r="I14" i="19" s="1"/>
  <c r="M14" i="19" s="1"/>
  <c r="E31" i="23"/>
  <c r="I13" i="19" s="1"/>
  <c r="M13" i="19" s="1"/>
  <c r="E30" i="23"/>
  <c r="I12" i="19" s="1"/>
  <c r="M12" i="19" s="1"/>
  <c r="E29" i="23"/>
  <c r="I11" i="19" s="1"/>
  <c r="M11" i="19" s="1"/>
  <c r="E23" i="23"/>
  <c r="H14" i="19" s="1"/>
  <c r="L14" i="19" s="1"/>
  <c r="E22" i="23"/>
  <c r="H13" i="19" s="1"/>
  <c r="L13" i="19" s="1"/>
  <c r="E21" i="23"/>
  <c r="H12" i="19" s="1"/>
  <c r="L12" i="19" s="1"/>
  <c r="E20" i="23"/>
  <c r="H11" i="19" s="1"/>
  <c r="L11" i="19" s="1"/>
  <c r="E15" i="23"/>
  <c r="K15" i="19" l="1"/>
  <c r="I5" i="19" s="1"/>
  <c r="K16" i="21" s="1"/>
  <c r="L15" i="19"/>
  <c r="J5" i="19" s="1"/>
  <c r="L16" i="21" s="1"/>
  <c r="G8" i="29"/>
  <c r="G8" i="38"/>
  <c r="J7" i="30" s="1"/>
  <c r="G9" i="37"/>
  <c r="H8" i="38"/>
  <c r="K7" i="30" s="1"/>
  <c r="H9" i="37"/>
  <c r="H8" i="29"/>
  <c r="F8" i="29"/>
  <c r="F9" i="37"/>
  <c r="F8" i="38"/>
  <c r="I7" i="30" s="1"/>
  <c r="E42" i="23"/>
  <c r="J5" i="23" s="1"/>
  <c r="M20" i="21" s="1"/>
  <c r="E33" i="23"/>
  <c r="I5" i="23" s="1"/>
  <c r="L20" i="21" s="1"/>
  <c r="E24" i="23"/>
  <c r="H5" i="23" s="1"/>
  <c r="K20" i="21" s="1"/>
  <c r="F17" i="37" l="1"/>
  <c r="F16" i="29"/>
  <c r="F16" i="38"/>
  <c r="I15" i="30" s="1"/>
  <c r="M15" i="19"/>
  <c r="K5" i="19" s="1"/>
  <c r="M16" i="21" s="1"/>
  <c r="H16" i="38" s="1"/>
  <c r="K15" i="30" s="1"/>
  <c r="G16" i="29"/>
  <c r="G16" i="38"/>
  <c r="J15" i="30" s="1"/>
  <c r="G17" i="37"/>
  <c r="H20" i="29"/>
  <c r="H32" i="29" s="1"/>
  <c r="H21" i="37"/>
  <c r="H33" i="37" s="1"/>
  <c r="H20" i="38"/>
  <c r="F21" i="37"/>
  <c r="F33" i="37" s="1"/>
  <c r="F20" i="29"/>
  <c r="F32" i="29" s="1"/>
  <c r="F20" i="38"/>
  <c r="G20" i="38"/>
  <c r="G20" i="29"/>
  <c r="G32" i="29" s="1"/>
  <c r="G21" i="37"/>
  <c r="G33" i="37" s="1"/>
  <c r="F21" i="21"/>
  <c r="E21" i="21"/>
  <c r="G21" i="21"/>
  <c r="D5" i="23"/>
  <c r="C5" i="23"/>
  <c r="B5" i="23"/>
  <c r="D5" i="24"/>
  <c r="C5" i="24"/>
  <c r="B5" i="24"/>
  <c r="H16" i="29" l="1"/>
  <c r="H17" i="37"/>
  <c r="F32" i="38"/>
  <c r="I19" i="30"/>
  <c r="I31" i="30" s="1"/>
  <c r="H32" i="38"/>
  <c r="K19" i="30"/>
  <c r="G32" i="38"/>
  <c r="J19" i="30"/>
  <c r="E56" i="25" l="1"/>
  <c r="G56" i="25"/>
  <c r="I56" i="25"/>
  <c r="K56" i="25"/>
  <c r="M56" i="25"/>
  <c r="O56" i="25"/>
  <c r="Q56" i="25"/>
  <c r="S56" i="25"/>
  <c r="U56" i="25"/>
  <c r="W56" i="25"/>
  <c r="Y56" i="25"/>
  <c r="E73" i="25"/>
  <c r="G73" i="25"/>
  <c r="I73" i="25"/>
  <c r="K73" i="25"/>
  <c r="M73" i="25"/>
  <c r="O73" i="25"/>
  <c r="Q73" i="25"/>
  <c r="S73" i="25"/>
  <c r="U73" i="25"/>
  <c r="W73" i="25"/>
  <c r="Y73" i="25"/>
  <c r="C73" i="25"/>
  <c r="E89" i="25"/>
  <c r="G89" i="25"/>
  <c r="I89" i="25"/>
  <c r="K89" i="25"/>
  <c r="M89" i="25"/>
  <c r="O89" i="25"/>
  <c r="Q89" i="25"/>
  <c r="S89" i="25"/>
  <c r="U89" i="25"/>
  <c r="W89" i="25"/>
  <c r="Y89" i="25"/>
  <c r="C89" i="25"/>
  <c r="F25" i="25" l="1"/>
  <c r="G25" i="25"/>
  <c r="H25" i="25"/>
  <c r="J25" i="25"/>
  <c r="E25" i="25"/>
  <c r="F24" i="25"/>
  <c r="G24" i="25"/>
  <c r="H24" i="25"/>
  <c r="J24" i="25"/>
  <c r="E24" i="25"/>
  <c r="C56" i="25"/>
  <c r="F32" i="25"/>
  <c r="G32" i="25"/>
  <c r="H32" i="25"/>
  <c r="J32" i="25"/>
  <c r="F31" i="25"/>
  <c r="G31" i="25"/>
  <c r="H31" i="25"/>
  <c r="J31" i="25"/>
  <c r="F30" i="25"/>
  <c r="G30" i="25"/>
  <c r="H30" i="25"/>
  <c r="J30" i="25"/>
  <c r="F29" i="25"/>
  <c r="G29" i="25"/>
  <c r="H29" i="25"/>
  <c r="J29" i="25"/>
  <c r="F28" i="25"/>
  <c r="G28" i="25"/>
  <c r="H28" i="25"/>
  <c r="J28" i="25"/>
  <c r="F27" i="25"/>
  <c r="G27" i="25"/>
  <c r="H27" i="25"/>
  <c r="J27" i="25"/>
  <c r="F26" i="25"/>
  <c r="G26" i="25"/>
  <c r="H26" i="25"/>
  <c r="J26" i="25"/>
  <c r="F23" i="25"/>
  <c r="G23" i="25"/>
  <c r="H23" i="25"/>
  <c r="J23" i="25"/>
  <c r="F22" i="25"/>
  <c r="G22" i="25"/>
  <c r="H22" i="25"/>
  <c r="J22" i="25"/>
  <c r="F21" i="25"/>
  <c r="G21" i="25"/>
  <c r="H21" i="25"/>
  <c r="J21" i="25"/>
  <c r="F20" i="25"/>
  <c r="G20" i="25"/>
  <c r="H20" i="25"/>
  <c r="J20" i="25"/>
  <c r="F19" i="25"/>
  <c r="G19" i="25"/>
  <c r="H19" i="25"/>
  <c r="J19" i="25"/>
  <c r="F18" i="25"/>
  <c r="G18" i="25"/>
  <c r="H18" i="25"/>
  <c r="J18" i="25"/>
  <c r="J17" i="25"/>
  <c r="F17" i="25"/>
  <c r="G17" i="25"/>
  <c r="H17" i="25"/>
  <c r="E32" i="25"/>
  <c r="E31" i="25"/>
  <c r="E30" i="25"/>
  <c r="E29" i="25"/>
  <c r="E28" i="25"/>
  <c r="E27" i="25"/>
  <c r="E26" i="25"/>
  <c r="E23" i="25"/>
  <c r="F16" i="25"/>
  <c r="G16" i="25"/>
  <c r="H16" i="25"/>
  <c r="J16" i="25"/>
  <c r="E22" i="25"/>
  <c r="E21" i="25"/>
  <c r="E20" i="25"/>
  <c r="E19" i="25"/>
  <c r="E18" i="25"/>
  <c r="E17" i="25"/>
  <c r="E16" i="25"/>
  <c r="F15" i="25"/>
  <c r="G15" i="25"/>
  <c r="H15" i="25"/>
  <c r="J15" i="25"/>
  <c r="E15" i="25"/>
  <c r="F14" i="25"/>
  <c r="G14" i="25"/>
  <c r="H14" i="25"/>
  <c r="J14" i="25"/>
  <c r="E14" i="25"/>
  <c r="D6" i="25"/>
  <c r="C6" i="25"/>
  <c r="B6" i="25"/>
  <c r="G38" i="27"/>
  <c r="G44" i="27" s="1"/>
  <c r="G26" i="27"/>
  <c r="G32" i="27" s="1"/>
  <c r="AA41" i="27"/>
  <c r="Y41" i="27"/>
  <c r="W41" i="27"/>
  <c r="U41" i="27"/>
  <c r="S41" i="27"/>
  <c r="Q41" i="27"/>
  <c r="O41" i="27"/>
  <c r="M41" i="27"/>
  <c r="K41" i="27"/>
  <c r="I41" i="27"/>
  <c r="G41" i="27"/>
  <c r="E41" i="27"/>
  <c r="AA40" i="27"/>
  <c r="Y40" i="27"/>
  <c r="W40" i="27"/>
  <c r="U40" i="27"/>
  <c r="S40" i="27"/>
  <c r="Q40" i="27"/>
  <c r="O40" i="27"/>
  <c r="M40" i="27"/>
  <c r="K40" i="27"/>
  <c r="I40" i="27"/>
  <c r="G40" i="27"/>
  <c r="E40" i="27"/>
  <c r="AA39" i="27"/>
  <c r="Y39" i="27"/>
  <c r="W39" i="27"/>
  <c r="U39" i="27"/>
  <c r="S39" i="27"/>
  <c r="Q39" i="27"/>
  <c r="O39" i="27"/>
  <c r="M39" i="27"/>
  <c r="K39" i="27"/>
  <c r="I39" i="27"/>
  <c r="G39" i="27"/>
  <c r="E39" i="27"/>
  <c r="AA38" i="27"/>
  <c r="AA44" i="27" s="1"/>
  <c r="Y38" i="27"/>
  <c r="Y44" i="27" s="1"/>
  <c r="W38" i="27"/>
  <c r="W44" i="27" s="1"/>
  <c r="U38" i="27"/>
  <c r="U44" i="27" s="1"/>
  <c r="S38" i="27"/>
  <c r="S44" i="27" s="1"/>
  <c r="Q38" i="27"/>
  <c r="Q44" i="27" s="1"/>
  <c r="O38" i="27"/>
  <c r="O44" i="27" s="1"/>
  <c r="M38" i="27"/>
  <c r="M44" i="27" s="1"/>
  <c r="K38" i="27"/>
  <c r="K44" i="27" s="1"/>
  <c r="I38" i="27"/>
  <c r="I44" i="27" s="1"/>
  <c r="E38" i="27"/>
  <c r="E44" i="27" s="1"/>
  <c r="AA29" i="27"/>
  <c r="Y29" i="27"/>
  <c r="W29" i="27"/>
  <c r="U29" i="27"/>
  <c r="S29" i="27"/>
  <c r="Q29" i="27"/>
  <c r="O29" i="27"/>
  <c r="M29" i="27"/>
  <c r="K29" i="27"/>
  <c r="I29" i="27"/>
  <c r="G29" i="27"/>
  <c r="E29" i="27"/>
  <c r="AA28" i="27"/>
  <c r="Y28" i="27"/>
  <c r="W28" i="27"/>
  <c r="U28" i="27"/>
  <c r="S28" i="27"/>
  <c r="Q28" i="27"/>
  <c r="O28" i="27"/>
  <c r="M28" i="27"/>
  <c r="K28" i="27"/>
  <c r="I28" i="27"/>
  <c r="G28" i="27"/>
  <c r="E28" i="27"/>
  <c r="AA27" i="27"/>
  <c r="Y27" i="27"/>
  <c r="W27" i="27"/>
  <c r="U27" i="27"/>
  <c r="S27" i="27"/>
  <c r="Q27" i="27"/>
  <c r="O27" i="27"/>
  <c r="M27" i="27"/>
  <c r="K27" i="27"/>
  <c r="I27" i="27"/>
  <c r="G27" i="27"/>
  <c r="E27" i="27"/>
  <c r="AA26" i="27"/>
  <c r="AA32" i="27" s="1"/>
  <c r="Y26" i="27"/>
  <c r="Y32" i="27" s="1"/>
  <c r="W26" i="27"/>
  <c r="W32" i="27" s="1"/>
  <c r="U26" i="27"/>
  <c r="U32" i="27" s="1"/>
  <c r="S26" i="27"/>
  <c r="S32" i="27" s="1"/>
  <c r="Q26" i="27"/>
  <c r="Q32" i="27" s="1"/>
  <c r="O26" i="27"/>
  <c r="O32" i="27" s="1"/>
  <c r="M26" i="27"/>
  <c r="M32" i="27" s="1"/>
  <c r="K26" i="27"/>
  <c r="K32" i="27" s="1"/>
  <c r="I26" i="27"/>
  <c r="I32" i="27" s="1"/>
  <c r="E26" i="27"/>
  <c r="E32" i="27" s="1"/>
  <c r="K14" i="27"/>
  <c r="K15" i="27"/>
  <c r="K16" i="27"/>
  <c r="K17" i="27"/>
  <c r="G14" i="27"/>
  <c r="G15" i="27"/>
  <c r="G16" i="27"/>
  <c r="G17" i="27"/>
  <c r="AA14" i="27"/>
  <c r="AA15" i="27"/>
  <c r="AA16" i="27"/>
  <c r="AA17" i="27"/>
  <c r="Y14" i="27"/>
  <c r="Y15" i="27"/>
  <c r="Y16" i="27"/>
  <c r="Y17" i="27"/>
  <c r="W14" i="27"/>
  <c r="W15" i="27"/>
  <c r="W16" i="27"/>
  <c r="W17" i="27"/>
  <c r="U14" i="27"/>
  <c r="U15" i="27"/>
  <c r="U16" i="27"/>
  <c r="U17" i="27"/>
  <c r="S14" i="27"/>
  <c r="S15" i="27"/>
  <c r="S16" i="27"/>
  <c r="S17" i="27"/>
  <c r="Q14" i="27"/>
  <c r="Q15" i="27"/>
  <c r="Q16" i="27"/>
  <c r="Q17" i="27"/>
  <c r="O14" i="27"/>
  <c r="O15" i="27"/>
  <c r="O16" i="27"/>
  <c r="O17" i="27"/>
  <c r="M14" i="27"/>
  <c r="M15" i="27"/>
  <c r="M16" i="27"/>
  <c r="M17" i="27"/>
  <c r="I14" i="27"/>
  <c r="I15" i="27"/>
  <c r="I16" i="27"/>
  <c r="I17" i="27"/>
  <c r="E15" i="27"/>
  <c r="E16" i="27"/>
  <c r="E17" i="27"/>
  <c r="D6" i="27"/>
  <c r="C6" i="27"/>
  <c r="B6" i="27"/>
  <c r="E14" i="27"/>
  <c r="K24" i="25" l="1"/>
  <c r="L24" i="25" s="1"/>
  <c r="K25" i="25"/>
  <c r="L25" i="25" s="1"/>
  <c r="K16" i="25"/>
  <c r="L16" i="25" s="1"/>
  <c r="K15" i="25"/>
  <c r="L15" i="25" s="1"/>
  <c r="K17" i="25"/>
  <c r="L17" i="25" s="1"/>
  <c r="K18" i="25"/>
  <c r="L18" i="25" s="1"/>
  <c r="K20" i="25"/>
  <c r="L20" i="25" s="1"/>
  <c r="K21" i="25"/>
  <c r="L21" i="25" s="1"/>
  <c r="K22" i="25"/>
  <c r="L22" i="25" s="1"/>
  <c r="K27" i="25"/>
  <c r="L27" i="25" s="1"/>
  <c r="K28" i="25"/>
  <c r="K30" i="25"/>
  <c r="L30" i="25" s="1"/>
  <c r="K31" i="25"/>
  <c r="L31" i="25" s="1"/>
  <c r="K32" i="25"/>
  <c r="L32" i="25" s="1"/>
  <c r="K14" i="25"/>
  <c r="L14" i="25" s="1"/>
  <c r="K19" i="25"/>
  <c r="L19" i="25" s="1"/>
  <c r="K23" i="25"/>
  <c r="L23" i="25" s="1"/>
  <c r="K29" i="25"/>
  <c r="L29" i="25" s="1"/>
  <c r="K33" i="25"/>
  <c r="L33" i="25" s="1"/>
  <c r="K26" i="25"/>
  <c r="L26" i="25" s="1"/>
  <c r="AB39" i="27"/>
  <c r="AB40" i="27"/>
  <c r="AB38" i="27"/>
  <c r="AB41" i="27"/>
  <c r="AB27" i="27"/>
  <c r="AB28" i="27"/>
  <c r="AB29" i="27"/>
  <c r="AB26" i="27"/>
  <c r="AB14" i="27"/>
  <c r="AB17" i="27"/>
  <c r="AB15" i="27"/>
  <c r="AB16" i="27"/>
  <c r="E12" i="23"/>
  <c r="E11" i="23"/>
  <c r="P38" i="22"/>
  <c r="F40" i="22"/>
  <c r="P36" i="22"/>
  <c r="P35" i="22"/>
  <c r="P34" i="22"/>
  <c r="P26" i="22"/>
  <c r="P24" i="22"/>
  <c r="P23" i="22"/>
  <c r="P22" i="22"/>
  <c r="P14" i="22"/>
  <c r="P15" i="22"/>
  <c r="P13" i="22"/>
  <c r="P12" i="22"/>
  <c r="P11" i="22"/>
  <c r="E5" i="22"/>
  <c r="D5" i="22"/>
  <c r="C5" i="22"/>
  <c r="D53" i="25" l="1"/>
  <c r="D51" i="25"/>
  <c r="D50" i="25"/>
  <c r="D49" i="25"/>
  <c r="D48" i="25"/>
  <c r="D47" i="25"/>
  <c r="D46" i="25"/>
  <c r="M17" i="22"/>
  <c r="L17" i="22"/>
  <c r="J40" i="22"/>
  <c r="G17" i="22"/>
  <c r="I17" i="22"/>
  <c r="P25" i="22"/>
  <c r="E13" i="23"/>
  <c r="E16" i="23" s="1"/>
  <c r="G5" i="23" s="1"/>
  <c r="J20" i="21" s="1"/>
  <c r="L28" i="25"/>
  <c r="P16" i="22"/>
  <c r="E17" i="22"/>
  <c r="H40" i="22"/>
  <c r="F28" i="22"/>
  <c r="O28" i="22"/>
  <c r="P27" i="22"/>
  <c r="N28" i="22"/>
  <c r="O17" i="22"/>
  <c r="E40" i="22"/>
  <c r="I40" i="22"/>
  <c r="J28" i="22"/>
  <c r="N17" i="22"/>
  <c r="G28" i="22"/>
  <c r="K28" i="22"/>
  <c r="P39" i="22"/>
  <c r="J17" i="22"/>
  <c r="D28" i="22"/>
  <c r="L28" i="22"/>
  <c r="D17" i="22"/>
  <c r="F17" i="22"/>
  <c r="K17" i="22"/>
  <c r="E28" i="22"/>
  <c r="I28" i="22"/>
  <c r="M28" i="22"/>
  <c r="G40" i="22"/>
  <c r="K40" i="22"/>
  <c r="O40" i="22"/>
  <c r="L40" i="22"/>
  <c r="P37" i="22"/>
  <c r="M40" i="22"/>
  <c r="N40" i="22"/>
  <c r="D40" i="22"/>
  <c r="H28" i="22"/>
  <c r="H17" i="22"/>
  <c r="AA71" i="25" l="1"/>
  <c r="D54" i="25"/>
  <c r="AA54" i="25" s="1"/>
  <c r="N56" i="25"/>
  <c r="T56" i="25"/>
  <c r="E20" i="38"/>
  <c r="E21" i="37"/>
  <c r="E33" i="37" s="1"/>
  <c r="E34" i="37" s="1"/>
  <c r="E20" i="29"/>
  <c r="E32" i="29" s="1"/>
  <c r="E33" i="29" s="1"/>
  <c r="D21" i="21"/>
  <c r="D22" i="21" s="1"/>
  <c r="AA84" i="25"/>
  <c r="F56" i="25"/>
  <c r="AA80" i="25"/>
  <c r="AA85" i="25"/>
  <c r="AA87" i="25"/>
  <c r="J56" i="25"/>
  <c r="V56" i="25"/>
  <c r="AA83" i="25"/>
  <c r="AA88" i="25"/>
  <c r="X89" i="25"/>
  <c r="P89" i="25"/>
  <c r="H89" i="25"/>
  <c r="T73" i="25"/>
  <c r="Z89" i="25"/>
  <c r="J89" i="25"/>
  <c r="V73" i="25"/>
  <c r="V89" i="25"/>
  <c r="N89" i="25"/>
  <c r="F89" i="25"/>
  <c r="R73" i="25"/>
  <c r="N73" i="25"/>
  <c r="R89" i="25"/>
  <c r="T89" i="25"/>
  <c r="L89" i="25"/>
  <c r="P73" i="25"/>
  <c r="L73" i="25"/>
  <c r="AA79" i="25"/>
  <c r="AA86" i="25"/>
  <c r="H56" i="25"/>
  <c r="AA46" i="25"/>
  <c r="D56" i="25"/>
  <c r="P56" i="25"/>
  <c r="R56" i="25"/>
  <c r="AA53" i="25"/>
  <c r="AA63" i="25"/>
  <c r="AA72" i="25"/>
  <c r="L56" i="25"/>
  <c r="AA81" i="25"/>
  <c r="AA47" i="25"/>
  <c r="AA65" i="25"/>
  <c r="AA70" i="25"/>
  <c r="AA69" i="25"/>
  <c r="AA67" i="25"/>
  <c r="H73" i="25"/>
  <c r="J73" i="25"/>
  <c r="F73" i="25"/>
  <c r="X73" i="25"/>
  <c r="AA68" i="25"/>
  <c r="AA64" i="25"/>
  <c r="Z56" i="25"/>
  <c r="X56" i="25"/>
  <c r="AA55" i="25"/>
  <c r="AA51" i="25"/>
  <c r="AA48" i="25"/>
  <c r="AA50" i="25"/>
  <c r="AA52" i="25"/>
  <c r="P17" i="22"/>
  <c r="G5" i="22" s="1"/>
  <c r="K10" i="21" s="1"/>
  <c r="P28" i="22"/>
  <c r="H5" i="22" s="1"/>
  <c r="L10" i="21" s="1"/>
  <c r="P40" i="22"/>
  <c r="I5" i="22" s="1"/>
  <c r="M10" i="21" s="1"/>
  <c r="D73" i="25" l="1"/>
  <c r="D89" i="25"/>
  <c r="AA89" i="25" s="1"/>
  <c r="J6" i="25" s="1"/>
  <c r="H11" i="37"/>
  <c r="H10" i="29"/>
  <c r="H10" i="38"/>
  <c r="H24" i="38" s="1"/>
  <c r="F10" i="38"/>
  <c r="F24" i="38" s="1"/>
  <c r="F11" i="37"/>
  <c r="F25" i="37" s="1"/>
  <c r="F10" i="29"/>
  <c r="F24" i="29" s="1"/>
  <c r="G10" i="29"/>
  <c r="G24" i="29" s="1"/>
  <c r="G10" i="38"/>
  <c r="G24" i="38" s="1"/>
  <c r="G11" i="37"/>
  <c r="AB30" i="27"/>
  <c r="E32" i="38"/>
  <c r="E33" i="38" s="1"/>
  <c r="H19" i="30"/>
  <c r="H31" i="30" s="1"/>
  <c r="H32" i="30" s="1"/>
  <c r="AA82" i="25"/>
  <c r="D10" i="24"/>
  <c r="G13" i="21" s="1"/>
  <c r="C10" i="24"/>
  <c r="F13" i="21" s="1"/>
  <c r="B10" i="24"/>
  <c r="E13" i="21" s="1"/>
  <c r="AA73" i="25"/>
  <c r="I6" i="25" s="1"/>
  <c r="AA66" i="25"/>
  <c r="AA49" i="25"/>
  <c r="D12" i="3"/>
  <c r="D25" i="3" s="1"/>
  <c r="J9" i="30" l="1"/>
  <c r="I9" i="30"/>
  <c r="I23" i="30" s="1"/>
  <c r="K9" i="30"/>
  <c r="K23" i="30" s="1"/>
  <c r="G28" i="29"/>
  <c r="L6" i="21"/>
  <c r="C6" i="19"/>
  <c r="C6" i="23"/>
  <c r="C6" i="24"/>
  <c r="C7" i="25"/>
  <c r="C7" i="27"/>
  <c r="D6" i="22"/>
  <c r="M12" i="21"/>
  <c r="D12" i="24"/>
  <c r="G15" i="21" s="1"/>
  <c r="L12" i="21"/>
  <c r="C12" i="24"/>
  <c r="F15" i="21" s="1"/>
  <c r="AB32" i="27"/>
  <c r="I6" i="27" s="1"/>
  <c r="L11" i="21" s="1"/>
  <c r="D24" i="3"/>
  <c r="D26" i="3"/>
  <c r="H28" i="29" s="1"/>
  <c r="G11" i="29" l="1"/>
  <c r="G25" i="29" s="1"/>
  <c r="G11" i="38"/>
  <c r="G25" i="38" s="1"/>
  <c r="G12" i="37"/>
  <c r="G26" i="37" s="1"/>
  <c r="F28" i="29"/>
  <c r="K6" i="21"/>
  <c r="B6" i="19"/>
  <c r="B6" i="24"/>
  <c r="B6" i="23"/>
  <c r="B7" i="25"/>
  <c r="B7" i="27"/>
  <c r="C6" i="22"/>
  <c r="G9" i="38"/>
  <c r="G10" i="37"/>
  <c r="G29" i="37" s="1"/>
  <c r="H13" i="37"/>
  <c r="H27" i="37" s="1"/>
  <c r="H12" i="29"/>
  <c r="H12" i="38"/>
  <c r="G12" i="38"/>
  <c r="G13" i="37"/>
  <c r="G27" i="37" s="1"/>
  <c r="G12" i="29"/>
  <c r="G26" i="29" s="1"/>
  <c r="C11" i="24"/>
  <c r="M6" i="21"/>
  <c r="D6" i="19"/>
  <c r="D6" i="23"/>
  <c r="D6" i="24"/>
  <c r="D7" i="25"/>
  <c r="D7" i="27"/>
  <c r="E6" i="22"/>
  <c r="G39" i="34"/>
  <c r="K39" i="34"/>
  <c r="O39" i="34"/>
  <c r="S39" i="34"/>
  <c r="W39" i="34"/>
  <c r="E39" i="34"/>
  <c r="I39" i="34"/>
  <c r="M39" i="34"/>
  <c r="Q39" i="34"/>
  <c r="U39" i="34"/>
  <c r="Y39" i="34"/>
  <c r="B12" i="34"/>
  <c r="B8" i="34"/>
  <c r="B10" i="34" s="1"/>
  <c r="E19" i="20"/>
  <c r="C28" i="34" s="1"/>
  <c r="C18" i="33"/>
  <c r="C19" i="33" s="1"/>
  <c r="G27" i="29" l="1"/>
  <c r="C13" i="24"/>
  <c r="F14" i="21"/>
  <c r="J10" i="30"/>
  <c r="J24" i="30" s="1"/>
  <c r="G28" i="38"/>
  <c r="J8" i="30"/>
  <c r="J27" i="30" s="1"/>
  <c r="F9" i="38"/>
  <c r="F10" i="37"/>
  <c r="F29" i="37" s="1"/>
  <c r="G28" i="37"/>
  <c r="H9" i="38"/>
  <c r="H10" i="37"/>
  <c r="H29" i="37" s="1"/>
  <c r="K11" i="30"/>
  <c r="K25" i="30" s="1"/>
  <c r="H26" i="38"/>
  <c r="J11" i="30"/>
  <c r="G26" i="38"/>
  <c r="AA19" i="20"/>
  <c r="Y19" i="20"/>
  <c r="W19" i="20"/>
  <c r="U19" i="20"/>
  <c r="S19" i="20"/>
  <c r="Q19" i="20"/>
  <c r="O19" i="20"/>
  <c r="M19" i="20"/>
  <c r="K19" i="20"/>
  <c r="I19" i="20"/>
  <c r="G19" i="20"/>
  <c r="G30" i="37" l="1"/>
  <c r="H31" i="37" s="1"/>
  <c r="G29" i="29"/>
  <c r="H30" i="29" s="1"/>
  <c r="I25" i="20"/>
  <c r="Q25" i="20"/>
  <c r="O25" i="20"/>
  <c r="K25" i="20"/>
  <c r="G25" i="20"/>
  <c r="E25" i="20"/>
  <c r="Y25" i="20"/>
  <c r="U25" i="20"/>
  <c r="M25" i="20"/>
  <c r="AA25" i="20"/>
  <c r="S25" i="20"/>
  <c r="W25" i="20"/>
  <c r="G27" i="38"/>
  <c r="G29" i="38" s="1"/>
  <c r="H30" i="38" s="1"/>
  <c r="F28" i="38"/>
  <c r="I8" i="30"/>
  <c r="I27" i="30" s="1"/>
  <c r="K8" i="30"/>
  <c r="K27" i="30" s="1"/>
  <c r="H28" i="38"/>
  <c r="J26" i="30"/>
  <c r="C39" i="34"/>
  <c r="D9" i="26"/>
  <c r="C9" i="26"/>
  <c r="B9" i="26"/>
  <c r="M31" i="34" l="1"/>
  <c r="Y31" i="34"/>
  <c r="K31" i="34"/>
  <c r="E31" i="34"/>
  <c r="C31" i="34"/>
  <c r="I31" i="34"/>
  <c r="W31" i="34"/>
  <c r="O31" i="34"/>
  <c r="Q31" i="34"/>
  <c r="S31" i="34"/>
  <c r="G31" i="34"/>
  <c r="U31" i="34"/>
  <c r="J28" i="30"/>
  <c r="K29" i="30" s="1"/>
  <c r="X47" i="34"/>
  <c r="W47" i="34"/>
  <c r="F47" i="34"/>
  <c r="E47" i="34"/>
  <c r="N47" i="34"/>
  <c r="M47" i="34"/>
  <c r="V47" i="34"/>
  <c r="U47" i="34"/>
  <c r="D47" i="34"/>
  <c r="C47" i="34"/>
  <c r="J47" i="34"/>
  <c r="I47" i="34"/>
  <c r="H47" i="34"/>
  <c r="G47" i="34"/>
  <c r="T47" i="34"/>
  <c r="S47" i="34"/>
  <c r="Z47" i="34"/>
  <c r="Y47" i="34"/>
  <c r="L47" i="34"/>
  <c r="K47" i="34"/>
  <c r="R47" i="34"/>
  <c r="Q47" i="34"/>
  <c r="P47" i="34"/>
  <c r="O47" i="34"/>
  <c r="D122" i="20"/>
  <c r="D71" i="20"/>
  <c r="D19" i="20"/>
  <c r="D7" i="20"/>
  <c r="C7" i="20"/>
  <c r="F122" i="20" l="1"/>
  <c r="R122" i="20"/>
  <c r="V122" i="20"/>
  <c r="H122" i="20"/>
  <c r="P122" i="20"/>
  <c r="X122" i="20"/>
  <c r="Z122" i="20"/>
  <c r="AB122" i="20"/>
  <c r="N122" i="20"/>
  <c r="J122" i="20"/>
  <c r="L122" i="20"/>
  <c r="T122" i="20"/>
  <c r="V71" i="20"/>
  <c r="H71" i="20"/>
  <c r="P71" i="20"/>
  <c r="F71" i="20"/>
  <c r="X71" i="20"/>
  <c r="V39" i="34" s="1"/>
  <c r="J71" i="20"/>
  <c r="H39" i="34" s="1"/>
  <c r="R71" i="20"/>
  <c r="P39" i="34" s="1"/>
  <c r="L71" i="20"/>
  <c r="J39" i="34" s="1"/>
  <c r="Z71" i="20"/>
  <c r="T71" i="20"/>
  <c r="AB71" i="20"/>
  <c r="N71" i="20"/>
  <c r="AB42" i="27"/>
  <c r="AB18" i="27"/>
  <c r="AA56" i="25"/>
  <c r="H6" i="25" s="1"/>
  <c r="D127" i="20"/>
  <c r="D76" i="20"/>
  <c r="Z39" i="34"/>
  <c r="R39" i="34"/>
  <c r="N39" i="34"/>
  <c r="F39" i="34"/>
  <c r="X39" i="34"/>
  <c r="T39" i="34"/>
  <c r="L39" i="34"/>
  <c r="D39" i="34"/>
  <c r="E17" i="26"/>
  <c r="D19" i="26"/>
  <c r="D21" i="26"/>
  <c r="E19" i="26"/>
  <c r="D17" i="26"/>
  <c r="E21" i="26"/>
  <c r="C21" i="26"/>
  <c r="C17" i="26"/>
  <c r="AB19" i="20"/>
  <c r="Z31" i="34" s="1"/>
  <c r="X19" i="20"/>
  <c r="V31" i="34" s="1"/>
  <c r="T19" i="20"/>
  <c r="R31" i="34" s="1"/>
  <c r="P19" i="20"/>
  <c r="N31" i="34" s="1"/>
  <c r="L19" i="20"/>
  <c r="J31" i="34" s="1"/>
  <c r="H19" i="20"/>
  <c r="F31" i="34" s="1"/>
  <c r="R19" i="20"/>
  <c r="P31" i="34" s="1"/>
  <c r="N19" i="20"/>
  <c r="L31" i="34" s="1"/>
  <c r="J19" i="20"/>
  <c r="H31" i="34" s="1"/>
  <c r="Z19" i="20"/>
  <c r="X31" i="34" s="1"/>
  <c r="V19" i="20"/>
  <c r="T31" i="34" s="1"/>
  <c r="F19" i="20"/>
  <c r="D31" i="34" s="1"/>
  <c r="C19" i="26"/>
  <c r="D24" i="20"/>
  <c r="AB44" i="27" l="1"/>
  <c r="J6" i="27" s="1"/>
  <c r="M11" i="21" s="1"/>
  <c r="H12" i="37" s="1"/>
  <c r="H6" i="27"/>
  <c r="K12" i="21"/>
  <c r="B12" i="24"/>
  <c r="V127" i="20"/>
  <c r="T127" i="20"/>
  <c r="J127" i="20"/>
  <c r="Z127" i="20"/>
  <c r="AB127" i="20"/>
  <c r="P127" i="20"/>
  <c r="H127" i="20"/>
  <c r="N127" i="20"/>
  <c r="F127" i="20"/>
  <c r="N76" i="20"/>
  <c r="L127" i="20"/>
  <c r="X127" i="20"/>
  <c r="R127" i="20"/>
  <c r="T76" i="20"/>
  <c r="X76" i="20"/>
  <c r="L76" i="20"/>
  <c r="Z76" i="20"/>
  <c r="J76" i="20"/>
  <c r="H76" i="20"/>
  <c r="R76" i="20"/>
  <c r="AB76" i="20"/>
  <c r="F76" i="20"/>
  <c r="V76" i="20"/>
  <c r="P76" i="20"/>
  <c r="E22" i="26"/>
  <c r="F24" i="20"/>
  <c r="N24" i="20"/>
  <c r="P24" i="20"/>
  <c r="V24" i="20"/>
  <c r="R24" i="20"/>
  <c r="Z24" i="20"/>
  <c r="H24" i="20"/>
  <c r="X24" i="20"/>
  <c r="T24" i="20"/>
  <c r="J24" i="20"/>
  <c r="L24" i="20"/>
  <c r="AB24" i="20"/>
  <c r="D22" i="26"/>
  <c r="C22" i="26"/>
  <c r="H26" i="37" l="1"/>
  <c r="H28" i="37" s="1"/>
  <c r="D11" i="24"/>
  <c r="D13" i="24" s="1"/>
  <c r="H11" i="38"/>
  <c r="H11" i="29"/>
  <c r="H25" i="29" s="1"/>
  <c r="H27" i="29" s="1"/>
  <c r="H29" i="29" s="1"/>
  <c r="B14" i="24"/>
  <c r="E12" i="21"/>
  <c r="E17" i="21" s="1"/>
  <c r="C14" i="24"/>
  <c r="F12" i="21"/>
  <c r="E15" i="21"/>
  <c r="D14" i="24"/>
  <c r="G12" i="21"/>
  <c r="K11" i="21"/>
  <c r="B11" i="24"/>
  <c r="E14" i="21" s="1"/>
  <c r="F12" i="29"/>
  <c r="F26" i="29" s="1"/>
  <c r="F12" i="38"/>
  <c r="F13" i="37"/>
  <c r="F27" i="37" s="1"/>
  <c r="C4" i="33"/>
  <c r="C5" i="33" s="1"/>
  <c r="J4" i="33"/>
  <c r="H30" i="37" l="1"/>
  <c r="H32" i="37"/>
  <c r="H34" i="37" s="1"/>
  <c r="K10" i="30"/>
  <c r="K24" i="30" s="1"/>
  <c r="H25" i="38"/>
  <c r="H27" i="38" s="1"/>
  <c r="H29" i="38" s="1"/>
  <c r="G14" i="21"/>
  <c r="G16" i="21" s="1"/>
  <c r="B13" i="24"/>
  <c r="H31" i="29"/>
  <c r="H33" i="29" s="1"/>
  <c r="E16" i="21"/>
  <c r="F17" i="21"/>
  <c r="F16" i="21"/>
  <c r="G17" i="21"/>
  <c r="F11" i="38"/>
  <c r="F12" i="37"/>
  <c r="F26" i="37" s="1"/>
  <c r="F28" i="37" s="1"/>
  <c r="F30" i="37" s="1"/>
  <c r="G31" i="37" s="1"/>
  <c r="G32" i="37" s="1"/>
  <c r="G34" i="37" s="1"/>
  <c r="F11" i="29"/>
  <c r="F25" i="29" s="1"/>
  <c r="F27" i="29" s="1"/>
  <c r="F29" i="29" s="1"/>
  <c r="F26" i="38"/>
  <c r="I11" i="30"/>
  <c r="I25" i="30" s="1"/>
  <c r="B10" i="26"/>
  <c r="C8" i="20"/>
  <c r="C10" i="26"/>
  <c r="N23" i="21" l="1"/>
  <c r="H19" i="21" s="1"/>
  <c r="M23" i="21"/>
  <c r="L23" i="21"/>
  <c r="F19" i="21" s="1"/>
  <c r="E20" i="21"/>
  <c r="E22" i="21" s="1"/>
  <c r="K26" i="30"/>
  <c r="K28" i="30" s="1"/>
  <c r="H31" i="38"/>
  <c r="H33" i="38" s="1"/>
  <c r="F31" i="29"/>
  <c r="F33" i="29" s="1"/>
  <c r="F32" i="37"/>
  <c r="F34" i="37" s="1"/>
  <c r="H37" i="37" s="1"/>
  <c r="H36" i="30" s="1"/>
  <c r="N26" i="21"/>
  <c r="I10" i="30"/>
  <c r="I24" i="30" s="1"/>
  <c r="I26" i="30" s="1"/>
  <c r="I28" i="30" s="1"/>
  <c r="J29" i="30" s="1"/>
  <c r="J30" i="30" s="1"/>
  <c r="J32" i="30" s="1"/>
  <c r="F25" i="38"/>
  <c r="F27" i="38" s="1"/>
  <c r="F31" i="38" s="1"/>
  <c r="F33" i="38" s="1"/>
  <c r="B8" i="20"/>
  <c r="D8" i="20"/>
  <c r="D10" i="26"/>
  <c r="G19" i="21" l="1"/>
  <c r="G20" i="21" s="1"/>
  <c r="G22" i="21" s="1"/>
  <c r="F20" i="21"/>
  <c r="F22" i="21" s="1"/>
  <c r="G30" i="29"/>
  <c r="G31" i="29" s="1"/>
  <c r="G33" i="29" s="1"/>
  <c r="H36" i="29" s="1"/>
  <c r="K30" i="30"/>
  <c r="K32" i="30" s="1"/>
  <c r="H38" i="37"/>
  <c r="H37" i="30" s="1"/>
  <c r="F29" i="38"/>
  <c r="G30" i="38" s="1"/>
  <c r="G31" i="38" s="1"/>
  <c r="G33" i="38" s="1"/>
  <c r="H36" i="38" s="1"/>
  <c r="I30" i="30"/>
  <c r="I32" i="30" s="1"/>
  <c r="M26" i="21"/>
  <c r="H37" i="29" l="1"/>
  <c r="H37" i="38"/>
  <c r="K37" i="30"/>
  <c r="K36" i="30"/>
  <c r="H27" i="21"/>
  <c r="G28" i="21"/>
  <c r="G33" i="21"/>
  <c r="G27" i="21"/>
  <c r="G32" i="21"/>
  <c r="H28"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<sst xmlns="http://schemas.openxmlformats.org/spreadsheetml/2006/main" count="2540" uniqueCount="370">
  <si>
    <t>TRABAJO FINAL DE INGENIERÍA</t>
  </si>
  <si>
    <t>Hipótesis</t>
  </si>
  <si>
    <t>Proyección de ventas</t>
  </si>
  <si>
    <t>Modelo de ingresos</t>
  </si>
  <si>
    <t>Estructura de costos fijos</t>
  </si>
  <si>
    <t>Estructura de costos variables</t>
  </si>
  <si>
    <t>Estructura de costos de RRHH</t>
  </si>
  <si>
    <t>Modelo de egresos</t>
  </si>
  <si>
    <t>Modelo de inversión</t>
  </si>
  <si>
    <t>Amortizaciones</t>
  </si>
  <si>
    <t>Presupuesto Financiero</t>
  </si>
  <si>
    <t>Matriz de riesgos</t>
  </si>
  <si>
    <t>Plan de contingencia</t>
  </si>
  <si>
    <t>Presupuesto financiero</t>
  </si>
  <si>
    <t>Índice</t>
  </si>
  <si>
    <t>Mercado total</t>
  </si>
  <si>
    <t>CABA</t>
  </si>
  <si>
    <t>Poblacion estimada 2019</t>
  </si>
  <si>
    <t>Argentina</t>
  </si>
  <si>
    <t>Total</t>
  </si>
  <si>
    <t>https://propamba.wordpress.com/amba/que-es-el-amba/</t>
  </si>
  <si>
    <t>AMBA</t>
  </si>
  <si>
    <t>https://www.indec.gob.ar/indec/web/Nivel4-Tema-2-24-85</t>
  </si>
  <si>
    <t>INDEC</t>
  </si>
  <si>
    <t>Conurbano Bonaerense (32% de Argentina)</t>
  </si>
  <si>
    <t>Fuente: https://www.indec.gob.ar/indec/web/Nivel4-Tema-2-24-85</t>
  </si>
  <si>
    <t>Población estimada 2019</t>
  </si>
  <si>
    <t>Total (CABA + Conurbano Bonaerense)</t>
  </si>
  <si>
    <t>Lista de precios</t>
  </si>
  <si>
    <t>Producto</t>
  </si>
  <si>
    <t>Precio</t>
  </si>
  <si>
    <t xml:space="preserve">Partiremos nuestro análisis del mercado considerando a todos los habitantes del Conurbano Bonaerense y de la Ciudad Autónoma de Buenos Aires que residen en casas o departamentos. 
Según la proyección que realiza el Instituto Nacional de Estadísticas y Censos se estima que en 2019 son más de 17 millones de personas. </t>
  </si>
  <si>
    <t>Evolución de la participación</t>
  </si>
  <si>
    <t>Año</t>
  </si>
  <si>
    <t>Porcentaje</t>
  </si>
  <si>
    <t>Total mercado</t>
  </si>
  <si>
    <t>Detalle</t>
  </si>
  <si>
    <t>Ingresos</t>
  </si>
  <si>
    <t>Enero</t>
  </si>
  <si>
    <t>Febrero</t>
  </si>
  <si>
    <t>Marzo</t>
  </si>
  <si>
    <t>Abril</t>
  </si>
  <si>
    <t>Mayo</t>
  </si>
  <si>
    <t>Junio</t>
  </si>
  <si>
    <t>Julio</t>
  </si>
  <si>
    <t>Agosto</t>
  </si>
  <si>
    <t>Septiembre</t>
  </si>
  <si>
    <t>Octubre</t>
  </si>
  <si>
    <t>Noviembre</t>
  </si>
  <si>
    <t>Diciembre</t>
  </si>
  <si>
    <t>.</t>
  </si>
  <si>
    <t>TOTALES</t>
  </si>
  <si>
    <t>Cantidad</t>
  </si>
  <si>
    <t>Anual</t>
  </si>
  <si>
    <t>RRHH</t>
  </si>
  <si>
    <t>Concepto</t>
  </si>
  <si>
    <t>Año cero - Kick off</t>
  </si>
  <si>
    <t>Sin cambios</t>
  </si>
  <si>
    <t>Infraestructura</t>
  </si>
  <si>
    <t>Instalaciones</t>
  </si>
  <si>
    <t>Evolución de la participación en el mercado</t>
  </si>
  <si>
    <t>Comentarios</t>
  </si>
  <si>
    <t>1 - Descripción del negocio</t>
  </si>
  <si>
    <t>2 - Mercado meta</t>
  </si>
  <si>
    <t>3 - Participación del mercado</t>
  </si>
  <si>
    <t>4 - Otros datos</t>
  </si>
  <si>
    <t>Ingreso Total</t>
  </si>
  <si>
    <t>Anexo capacidad operativa</t>
  </si>
  <si>
    <t>Costo</t>
  </si>
  <si>
    <t>Jornada laboral</t>
  </si>
  <si>
    <t>horas</t>
  </si>
  <si>
    <t>Semanas por año</t>
  </si>
  <si>
    <t>Días festivos</t>
  </si>
  <si>
    <t>semanas</t>
  </si>
  <si>
    <t>días</t>
  </si>
  <si>
    <t>Semanas de licencias varias al año</t>
  </si>
  <si>
    <t>Consideraremos en promedio:</t>
  </si>
  <si>
    <t>Descripción</t>
  </si>
  <si>
    <t>Horas laborables anuales por empleado</t>
  </si>
  <si>
    <t>Horas laborables anuales / empleado</t>
  </si>
  <si>
    <t>Horas laborables mensuales / empleado
[HsLaboralesXMes]</t>
  </si>
  <si>
    <t>* licencias por enfermedad, trámites, días de estudio, etc.</t>
  </si>
  <si>
    <t>Días laborales totales</t>
  </si>
  <si>
    <t>Cálculo de horas laborables de un empleado por mes</t>
  </si>
  <si>
    <t>Horas Hombre requeridos</t>
  </si>
  <si>
    <t>Horas Hombre requeridas</t>
  </si>
  <si>
    <t>CONCLUSIÓN</t>
  </si>
  <si>
    <t>Servicios</t>
  </si>
  <si>
    <t>Alquiler</t>
  </si>
  <si>
    <t>Honorarios</t>
  </si>
  <si>
    <t>Conceptos</t>
  </si>
  <si>
    <t>Observaciones</t>
  </si>
  <si>
    <t>Total anual</t>
  </si>
  <si>
    <t>Publicidad online</t>
  </si>
  <si>
    <t>Costos fijos - Totales</t>
  </si>
  <si>
    <t>Costos variables - Totales</t>
  </si>
  <si>
    <t>Subtotal</t>
  </si>
  <si>
    <t>Costo unitario</t>
  </si>
  <si>
    <t>TOTAL</t>
  </si>
  <si>
    <t>Publicidad y promoción</t>
  </si>
  <si>
    <t>Costos de RRHH - Totales</t>
  </si>
  <si>
    <t>Jubilación</t>
  </si>
  <si>
    <t>Ley 1932</t>
  </si>
  <si>
    <t>Obra social</t>
  </si>
  <si>
    <t>F. Nac. Des.</t>
  </si>
  <si>
    <t>S. de Vida</t>
  </si>
  <si>
    <t>ART (Aprox.)</t>
  </si>
  <si>
    <t>Area</t>
  </si>
  <si>
    <t>Puesto</t>
  </si>
  <si>
    <t>Sueldo bruto</t>
  </si>
  <si>
    <t>Gerencia</t>
  </si>
  <si>
    <t>Marketing</t>
  </si>
  <si>
    <t>Tecnología</t>
  </si>
  <si>
    <t>Administración</t>
  </si>
  <si>
    <t>Costo mensual por puesto</t>
  </si>
  <si>
    <t>$ 18,57 c/u</t>
  </si>
  <si>
    <t>Total aportes</t>
  </si>
  <si>
    <t>Costo mensual para empresa</t>
  </si>
  <si>
    <t>Junio + SAC</t>
  </si>
  <si>
    <t>Diciembre + SAC</t>
  </si>
  <si>
    <t>Totales</t>
  </si>
  <si>
    <t>Costos Fijos</t>
  </si>
  <si>
    <t>Costos variables</t>
  </si>
  <si>
    <t>Costos de RRHH</t>
  </si>
  <si>
    <t>Costos totales</t>
  </si>
  <si>
    <t>Objetivo ingresos</t>
  </si>
  <si>
    <t>Modelo de Inversión</t>
  </si>
  <si>
    <t>Inversión Inicial</t>
  </si>
  <si>
    <t>Inversión inicial - Año cero</t>
  </si>
  <si>
    <t>Precio unitario</t>
  </si>
  <si>
    <t>Notebook</t>
  </si>
  <si>
    <t>Referencia</t>
  </si>
  <si>
    <t>Amortización</t>
  </si>
  <si>
    <t>Rubro</t>
  </si>
  <si>
    <t>Año cero</t>
  </si>
  <si>
    <t>Amortización
( en años )</t>
  </si>
  <si>
    <t>Valor de adquisiciones</t>
  </si>
  <si>
    <t>Costos fijos</t>
  </si>
  <si>
    <t>-</t>
  </si>
  <si>
    <t>Egresos</t>
  </si>
  <si>
    <t>Utilidad Antes de Impuestos (UAII)</t>
  </si>
  <si>
    <t>Impuesto Ingresos Brutos (3%) (IIB)</t>
  </si>
  <si>
    <t>Monto Imponible</t>
  </si>
  <si>
    <t>Impuesto a las ganancias (35%) (IIGG)</t>
  </si>
  <si>
    <t>Utilidad despues de Impuestos (UDII)</t>
  </si>
  <si>
    <t>Inversión</t>
  </si>
  <si>
    <t>Flujo de Fondos (FF)</t>
  </si>
  <si>
    <t>Tasa de Corte</t>
  </si>
  <si>
    <t>VAN</t>
  </si>
  <si>
    <t>TIR</t>
  </si>
  <si>
    <t>Ejercicio</t>
  </si>
  <si>
    <t>Inicio</t>
  </si>
  <si>
    <t>Riesgo</t>
  </si>
  <si>
    <t>Causa</t>
  </si>
  <si>
    <t>Efecto</t>
  </si>
  <si>
    <t>Probabilidad</t>
  </si>
  <si>
    <t>Impacto</t>
  </si>
  <si>
    <t>Alto</t>
  </si>
  <si>
    <t>Media</t>
  </si>
  <si>
    <t>Escenario 2</t>
  </si>
  <si>
    <t>Medio</t>
  </si>
  <si>
    <t>Baja</t>
  </si>
  <si>
    <t>Bajo</t>
  </si>
  <si>
    <t>Escenario 3</t>
  </si>
  <si>
    <t>Número</t>
  </si>
  <si>
    <t>Costos</t>
  </si>
  <si>
    <t>ESCENARIO 1</t>
  </si>
  <si>
    <t>Escenario 1</t>
  </si>
  <si>
    <t>Costo fijo</t>
  </si>
  <si>
    <t>Costo variable</t>
  </si>
  <si>
    <t>Costo RRHH</t>
  </si>
  <si>
    <t>Costos RRHH</t>
  </si>
  <si>
    <t>Ingresos objetivo</t>
  </si>
  <si>
    <t>ESCENARIO 2</t>
  </si>
  <si>
    <t>ESCENARIO 3</t>
  </si>
  <si>
    <t>Riesgo n°3</t>
  </si>
  <si>
    <t>Ajustes en ingresos y costos variables</t>
  </si>
  <si>
    <t>Riesgo n°1</t>
  </si>
  <si>
    <t>PLAN DE CONTINGENCIA</t>
  </si>
  <si>
    <t>Con plan de contingencia</t>
  </si>
  <si>
    <t>Medidas de contingencia</t>
  </si>
  <si>
    <r>
      <t xml:space="preserve">Docentes: </t>
    </r>
    <r>
      <rPr>
        <sz val="14"/>
        <color theme="1"/>
        <rFont val="Arial"/>
        <family val="2"/>
      </rPr>
      <t>Scali, Jorge</t>
    </r>
  </si>
  <si>
    <t>Clientes</t>
  </si>
  <si>
    <t xml:space="preserve">Publicidad </t>
  </si>
  <si>
    <t>Gasto promedio (anual)</t>
  </si>
  <si>
    <t>Justificación ingresos</t>
  </si>
  <si>
    <t>AMPLITUD DE LA MEZCLA DE SERVICIOS</t>
  </si>
  <si>
    <t>CAPACIDAD OPERATIVA AÑO 2025</t>
  </si>
  <si>
    <t>Costos fijos - Año 2025</t>
  </si>
  <si>
    <t>Costos variables - Año 2025</t>
  </si>
  <si>
    <t>Costos de RRHH - Año 2025</t>
  </si>
  <si>
    <t>Inversión - Año 2025</t>
  </si>
  <si>
    <t>Año 2025</t>
  </si>
  <si>
    <r>
      <t xml:space="preserve">Alumno: </t>
    </r>
    <r>
      <rPr>
        <sz val="14"/>
        <color theme="1"/>
        <rFont val="Arial"/>
        <family val="2"/>
      </rPr>
      <t>Rodriguez Arata, Damian Agustin</t>
    </r>
  </si>
  <si>
    <r>
      <t xml:space="preserve">Legajo: </t>
    </r>
    <r>
      <rPr>
        <sz val="14"/>
        <color theme="1"/>
        <rFont val="Arial"/>
        <family val="2"/>
      </rPr>
      <t>A0910069330-T1</t>
    </r>
  </si>
  <si>
    <r>
      <t xml:space="preserve">Comisión: </t>
    </r>
    <r>
      <rPr>
        <sz val="14"/>
        <color theme="1"/>
        <rFont val="Arial"/>
        <family val="2"/>
      </rPr>
      <t>5B</t>
    </r>
  </si>
  <si>
    <r>
      <t xml:space="preserve">Localización: </t>
    </r>
    <r>
      <rPr>
        <sz val="14"/>
        <color theme="1"/>
        <rFont val="Arial"/>
        <family val="2"/>
      </rPr>
      <t>Centro</t>
    </r>
  </si>
  <si>
    <r>
      <t xml:space="preserve">Email: </t>
    </r>
    <r>
      <rPr>
        <sz val="14"/>
        <color theme="1"/>
        <rFont val="Arial"/>
        <family val="2"/>
      </rPr>
      <t>damianagustin.rodriguezarata@alumnos.uai.edu.ar</t>
    </r>
  </si>
  <si>
    <t>Prensa Verificada AR es una plataforma de noticias revolucionaria que se destaca por ofrecer un contenido de calidad, respaldado por la valoración y validación de expertos periodistas y figuras prominentes en el campo informativo. Nos dedicamos a proporcionar información precisa, relevante y verificada sobre una temas orientado de economía, negocio e inversiones, desde noticias de actualidad hasta análisis profundos y reportajes exclusivos.
Lo que nos distingue es nuestro sistema de puntaje, donde las noticias son meticulosamente evaluadas y validadas por periodistas reconocidos y personas relevantes en cada área temática. Este enfoque garantiza la credibilidad y la confiabilidad de nuestro contenido, otorgando a nuestros lectores la seguridad de que están recibiendo información precisa y objetiva.
En Prensa Verificada AR, nuestra misión es mantener a nuestros lectores informados con noticias confiables y precisas, proporcionando un espacio donde puedan acceder a contenido de calidad respaldado por una rigurosa validación. Nuestro compromiso con la excelencia periodística y la veracidad nos convierte en una fuente confiable para aquellos que buscan información precisa y objetiva en un mundo inundado de desinformación. A medida que la demanda de noticias confiables y verificadas continúa creciendo, estamos enfocados en ampliar nuestra base de usuarios y fortalecer nuestra posición como una fuente líder de información confiable y objetiva.
Para lograr esto, estamos implementando una serie de iniciativas estratégicas. En primer lugar, estamos invirtiendo en tecnología de vanguardia para mejorar la eficiencia de nuestro proceso de validación para los usuarios verificadores. Que sea un proceso sencillo, claro y rápido para que los verificadores puedan comenzar a usar la plataforma lo antes posible. 
Estamos ampliando nuestra red de colaboradores, tanto en el ámbito periodístico como en otras áreas temáticas relevantes. Invitamos a asociaciones estratégicas con organizaciones de renombre y expertos en diversos campos a participar en nuestra plataforma para garantizar la calidad y la relevancia de nuestro contenido. Además, queremos que puedan conocer los niveles de transparencia que ofrece la plataforma y la practicidad para usarla, así como el claro impacto que va a brindar en la sociedad.</t>
  </si>
  <si>
    <t>La estrategia de mercado meta establecida por Prensa Verificada AR posee un carácter
concentrado que se enfoca en estudiantes de ciencias económicas para todo Latinoamérica. Estos estudiantes buscan principalmente fuentes confiables que les sirva para su negocio e inversiones, además de noticias democratizadas y transparentes que tengan el aval de profesionales de diferentes áreas. 
Dentro de este mercado hace énfasis el mercado argentino, del cual tenemos información sobre un total de 137 instituciones universitarias en el territorio argentino, compuesto por 69 privadas y 68 nacionales o provinciales. Lo que nos da un total de casi 3 millones de alumnos de todas las carreras, contando con los inscriptos en el año 2023.
En base a esta información, podemos estimar que, de los 2,7 millones de alumnos, 450 mil alumnos pertenecen a carreras de ciencias económicas. Este cálculo se generó en base a los 33,6% de carreras sociales, que tiene economía, contador, derecho, y otras más, junto con el 11% de anotados al CBC de facultad de economía de funciona como principal muestra. Relacionado con el punto anterior, más del 40% del total de alumnos de la población total trabaja, y de los que trabajan el 19% son de las carreras de ciencias económicas, por lo que nos daría un aproximado de 205 mil alumnos trabajadores con capacidad de pagar la suscripción de nuestra plataforma</t>
  </si>
  <si>
    <t>PROFUNDIDAD DE LOS SERVICIOS</t>
  </si>
  <si>
    <t>Líneas de servicios</t>
  </si>
  <si>
    <t>Suscripciones</t>
  </si>
  <si>
    <t>Basico</t>
  </si>
  <si>
    <t>Gratuito</t>
  </si>
  <si>
    <t>Profesional</t>
  </si>
  <si>
    <t>Servicio</t>
  </si>
  <si>
    <t>Full para lectores</t>
  </si>
  <si>
    <t>Full para autores</t>
  </si>
  <si>
    <t>Total de suscripciones</t>
  </si>
  <si>
    <t>Proyección de ventas 2025</t>
  </si>
  <si>
    <t>Capacidad operativa Kick off - Año 2025</t>
  </si>
  <si>
    <t>Proyección de ventas 2026</t>
  </si>
  <si>
    <t>Capacidad operativa - Año 2027</t>
  </si>
  <si>
    <t>Gerente General</t>
  </si>
  <si>
    <t>Gerente de Administración</t>
  </si>
  <si>
    <t>Analista de Contabilidad</t>
  </si>
  <si>
    <t>Administrativo de Ventas</t>
  </si>
  <si>
    <t>Analista de Compras</t>
  </si>
  <si>
    <t>Analista de Pagos</t>
  </si>
  <si>
    <t>Analista Contable</t>
  </si>
  <si>
    <t>Analista de Relaciones Laborales</t>
  </si>
  <si>
    <t>Jefe Administrativo</t>
  </si>
  <si>
    <t>Gerente de servicios</t>
  </si>
  <si>
    <t>Desarrollador de Software</t>
  </si>
  <si>
    <t>Diseñador (UX)</t>
  </si>
  <si>
    <t>Analista de Alianzas Estratégicas</t>
  </si>
  <si>
    <t>Asesor Legal</t>
  </si>
  <si>
    <t>Auditor de Contenido</t>
  </si>
  <si>
    <t>Soporte</t>
  </si>
  <si>
    <t>Jefe de servicios</t>
  </si>
  <si>
    <t>Gerente de Tecnología</t>
  </si>
  <si>
    <t>Especialista de Infraestructura</t>
  </si>
  <si>
    <t>Operador de NOC</t>
  </si>
  <si>
    <t>Gerente de Marketing</t>
  </si>
  <si>
    <t>Analista de Marketing</t>
  </si>
  <si>
    <t>Jefe de Marketing</t>
  </si>
  <si>
    <t>Gerente Comercial</t>
  </si>
  <si>
    <t>Ejecutivo de ventas</t>
  </si>
  <si>
    <t>Jefe de Ventas</t>
  </si>
  <si>
    <t>Proyección de ventas 2027</t>
  </si>
  <si>
    <t>Capacidad operativa - Año 2026</t>
  </si>
  <si>
    <t>Desarrollo inicial (por unica vez)</t>
  </si>
  <si>
    <t>Análisis</t>
  </si>
  <si>
    <t>Desarrollo</t>
  </si>
  <si>
    <t>Testing</t>
  </si>
  <si>
    <t>Monitor</t>
  </si>
  <si>
    <t>Silla ergometricas</t>
  </si>
  <si>
    <t>Espacio de CoWork</t>
  </si>
  <si>
    <t>Kit bienvenida (termo + mate + Cuaderno)</t>
  </si>
  <si>
    <t>Sala de reuniones CoWork</t>
  </si>
  <si>
    <t>Ingresos 2025</t>
  </si>
  <si>
    <t>Ingresos 2026</t>
  </si>
  <si>
    <t>Ingresos 2027</t>
  </si>
  <si>
    <t>(+) 1 Auditor de Contenido</t>
  </si>
  <si>
    <t>Kit trabajo (Teclado + Mouse + Headsets)</t>
  </si>
  <si>
    <t>(+) 3 Notebook</t>
  </si>
  <si>
    <t>(+) 3 Kit trabajo</t>
  </si>
  <si>
    <t>(+) 3 Monitor</t>
  </si>
  <si>
    <t>(+) 3 Silla ergometricas</t>
  </si>
  <si>
    <t>(+) 3 Kit bienvenida</t>
  </si>
  <si>
    <t>(+) 1 Notebook</t>
  </si>
  <si>
    <t>(+) 1 Kit trabajo</t>
  </si>
  <si>
    <t>(+) 1 Monitor</t>
  </si>
  <si>
    <t>(+) 1 Silla ergometricas</t>
  </si>
  <si>
    <t>(+) 1 Kit bienvenida</t>
  </si>
  <si>
    <t>(+) 1 Desarrollador de Software</t>
  </si>
  <si>
    <t>(+) 1 Diseñador (UX)</t>
  </si>
  <si>
    <t>(+) 2 Notebook</t>
  </si>
  <si>
    <t>(+) 2 Kit trabajo</t>
  </si>
  <si>
    <t>(+) 2 Monitor</t>
  </si>
  <si>
    <t>(+) 2 Silla ergometricas</t>
  </si>
  <si>
    <t>(+) 2 Kit bienvenida</t>
  </si>
  <si>
    <t xml:space="preserve">(+) 1 Analista de Relaciones Laborales	</t>
  </si>
  <si>
    <t>(+) 1 Gerente Comercial</t>
  </si>
  <si>
    <t>(+) 1 Gerente de Marketing</t>
  </si>
  <si>
    <t>* En Enero se amplía el personal  del area comercial para dedicarse estrategicamente el primer semestre en conseguir nuevos acuerdos. Junto con ello se sumaran al equipo personal de alianzas y relaciones laborales para stafiscaer las necesidades del equipo.
* En Julio, se prevee contratar a la nueva linea de gerentes que aportaran conocimiento y experiencia para las tomas de decisiones de los siguientes años de la empresa.</t>
  </si>
  <si>
    <r>
      <t xml:space="preserve">En la proyección de ventas se podrá apreciar el efecto de la </t>
    </r>
    <r>
      <rPr>
        <b/>
        <sz val="12"/>
        <color theme="1"/>
        <rFont val="Calibri"/>
        <family val="2"/>
        <scheme val="minor"/>
      </rPr>
      <t>estacionalidad</t>
    </r>
    <r>
      <rPr>
        <sz val="12"/>
        <color theme="1"/>
        <rFont val="Calibri"/>
        <family val="2"/>
        <scheme val="minor"/>
      </rPr>
      <t xml:space="preserve"> remarcada por las siguientes situaciones:
</t>
    </r>
    <r>
      <rPr>
        <u/>
        <sz val="12"/>
        <color theme="1"/>
        <rFont val="Calibri"/>
        <family val="2"/>
        <scheme val="minor"/>
      </rPr>
      <t>a) Vacaciones</t>
    </r>
    <r>
      <rPr>
        <b/>
        <u/>
        <sz val="12"/>
        <color theme="1"/>
        <rFont val="Calibri"/>
        <family val="2"/>
        <scheme val="minor"/>
      </rPr>
      <t>:</t>
    </r>
    <r>
      <rPr>
        <sz val="12"/>
        <color theme="1"/>
        <rFont val="Calibri"/>
        <family val="2"/>
        <scheme val="minor"/>
      </rPr>
      <t xml:space="preserve"> Preveemos que los meses de Enero y Febrero va haber una fuerte caida de las suscripciones mensuales ya que la mayoria de nuestros clientes se encuentran de vacaciones, y optan por dar de baja la suscripcion. Se puede ver un incremento a partir de Marzo que arranca el ciclo lectivo, y otro fuerte incremento en el inicio del segundo semestre.
</t>
    </r>
  </si>
  <si>
    <t>Comenzaremos nuestras actividades en el mercado con las siguientes inversiones iniciales ya realizadas: 
1-  La plataforma de Prensa Verificada: Se destina inversión al desarrollo de la plataforma, con mantenimiento a cargo del proveedor durante todo el año 2025. 
2- Contratación del cowork: para aquellos empleados que esten interesados en trabajar regularmente desde una oficina, pueden usarlo libremente. Esta permitido realizar home office a los empleados. 
3- Contratación de servicios en la nube: Para alojar la plataforma web y gestionar el volumen de clientes proyectado para el año 2025.
Además:
* Se contratara personal operativo para llevar a cabo las operaciones de la plataforma con normalidad para la cantidad de interacciones con fuertes incrementos en los inicios de los cuatrimestres.</t>
  </si>
  <si>
    <t>* En Enero se contratara personal de tecnologia para hacer frente a mantenimientos en la plataforma. 
* En Marzo se hara un principal foco en el Marketing, que la compañia tenga presencia en todos los medios y crezca en cantidad de suscriptores.
* En Julio e contratara personal operativo para llevar a cabo las operaciones de la plataforma con normalidad para la cantidad de interacciones con fuertes incrementos en el segundo cuatrimestre.</t>
  </si>
  <si>
    <t>CAPACIDAD OPERATIVA AÑO 2026</t>
  </si>
  <si>
    <t>Suscripciones contratadas</t>
  </si>
  <si>
    <t>ANALISIS CAPACIDAD OPERATIVA ANUAL POR SERVICIOS EN HORAS HOMBRE</t>
  </si>
  <si>
    <t>Estos datos son generados principalmente en base a los empleados de servicios ya que la calidad de la plataforma depende de cuantos haya contratado y operativos. Sin ellos no se puede atender las solicitudes necesarias de nuestros suscriptores.</t>
  </si>
  <si>
    <t>Ingresos por servicios</t>
  </si>
  <si>
    <t>Limitado. El servicio es gratuito pero 
contiene publicidad.</t>
  </si>
  <si>
    <t>Profesional Anual</t>
  </si>
  <si>
    <t>Basico Anual</t>
  </si>
  <si>
    <t>Basico Mensual</t>
  </si>
  <si>
    <t>Profesional Mensual</t>
  </si>
  <si>
    <t>Cowork</t>
  </si>
  <si>
    <t>El precio es de $20.000 por dia, por persona. Teniendo en cuenta que se va a la oficina 1 vez por semana. https://www.manawacoworking.com/</t>
  </si>
  <si>
    <t>Dominio</t>
  </si>
  <si>
    <t>Renovacion: https://nic.ar/es/dominios/aranceles</t>
  </si>
  <si>
    <t>Compra: https://nic.ar/es/dominios/aranceles</t>
  </si>
  <si>
    <t>Google workspace</t>
  </si>
  <si>
    <t>El precio es de 4,20 USD x Usuario x Mes: https://workspace.google.com/pricing</t>
  </si>
  <si>
    <t>Cotizacion del dolar</t>
  </si>
  <si>
    <t>Contabilidad y liquidaciones de pago</t>
  </si>
  <si>
    <t>El precio depende de la cantidad de empleados: https://www.deel.com/employees/argentina</t>
  </si>
  <si>
    <t>Costos fijos - Año 2026</t>
  </si>
  <si>
    <t>Costos fijos - Año 2027</t>
  </si>
  <si>
    <t>Infraestructura de AWS</t>
  </si>
  <si>
    <t>Calculadora con el precio: https://calculator.aws/#/estimate?id=ad09c2ecdeaf67ce504924b5356204a83416322c</t>
  </si>
  <si>
    <t>El plan es de $300.000 bimestral. https://ads.google.com/intl/es-419_ar/start/overview-ha/</t>
  </si>
  <si>
    <t>Basico Anual 50% OFF</t>
  </si>
  <si>
    <t>Basico mensual 50% OFF</t>
  </si>
  <si>
    <t>Profesional Anual 50% OFF</t>
  </si>
  <si>
    <t>Profesional Mensual 50% OFF</t>
  </si>
  <si>
    <t>Costos variables - Año 2026</t>
  </si>
  <si>
    <t>Infraestructura de AWS variable</t>
  </si>
  <si>
    <t>Comercial</t>
  </si>
  <si>
    <t>Gerente de Administracion</t>
  </si>
  <si>
    <t>Costos de RRHH - Año 2026</t>
  </si>
  <si>
    <t>Desarrollo de la plataforma web</t>
  </si>
  <si>
    <t>Inversión - Año 2026</t>
  </si>
  <si>
    <t>Inversión - Año 2027</t>
  </si>
  <si>
    <t>Link</t>
  </si>
  <si>
    <t>link</t>
  </si>
  <si>
    <t>Año 2026</t>
  </si>
  <si>
    <t>Año 2027</t>
  </si>
  <si>
    <t>Kit de trabajo</t>
  </si>
  <si>
    <t>Ver el grant</t>
  </si>
  <si>
    <t>Implementación + Doc</t>
  </si>
  <si>
    <t>Para mas detalles revisar el gantt</t>
  </si>
  <si>
    <t>Todos (hrs)</t>
  </si>
  <si>
    <t>Reducción de ingresos por suscripciones</t>
  </si>
  <si>
    <t>La crisis inflacionaria reduce la capacidad de los usuarios de mantener sus suscripciones</t>
  </si>
  <si>
    <t>Desinformación y pérdida de credibilidad</t>
  </si>
  <si>
    <t>Fuentes no verificadas o inexactitud en la información publicada</t>
  </si>
  <si>
    <t>Baja en la confianza de lectores y caída de tráfico en un 15%</t>
  </si>
  <si>
    <t>Competencia de plataformas de noticias gratuitas</t>
  </si>
  <si>
    <t>Nuevas plataformas digitales con contenido gratuito y sin suscripción</t>
  </si>
  <si>
    <t>Alta</t>
  </si>
  <si>
    <t>Cambios regulatorios en publicidad digital</t>
  </si>
  <si>
    <t>Nuevas regulaciones limitan los tipos de publicidad permitida</t>
  </si>
  <si>
    <t>Caída del 10% en ingresos publicitarios</t>
  </si>
  <si>
    <t>Incremento de costos de tecnología y servidores</t>
  </si>
  <si>
    <t>Fallas en la infraestructura tecnológica</t>
  </si>
  <si>
    <t>Problemas de conectividad o fallos en servidores</t>
  </si>
  <si>
    <t>Interrupciones que disminuyen la tasa de lectura un 10%</t>
  </si>
  <si>
    <t>Saturación de contenido y pérdida de engagement</t>
  </si>
  <si>
    <t>El aumento de contenido sin una estrategia de diferenciación efectiva</t>
  </si>
  <si>
    <t>Baja en el engagement del 15% en redes sociales</t>
  </si>
  <si>
    <t>Cambios en algoritmos de redes sociales</t>
  </si>
  <si>
    <t>Actualizaciones en algoritmos de plataformas como Google y Facebook afectan el alcance</t>
  </si>
  <si>
    <t>Pérdida de tráfico orgánico en un 20%</t>
  </si>
  <si>
    <t>Ausencia de líderes clave</t>
  </si>
  <si>
    <t>Renuncia del director editorial</t>
  </si>
  <si>
    <t>Reorganización del equipo y ralentización en la producción</t>
  </si>
  <si>
    <t>Aumento de costos en servicios básicos</t>
  </si>
  <si>
    <t>El gobierno reduce subsidios en energía</t>
  </si>
  <si>
    <t>Incremento del 15% en costos de operación</t>
  </si>
  <si>
    <t>Riesgo n°5</t>
  </si>
  <si>
    <t>Ajustes en ingresos y costos variables por escenario 1</t>
  </si>
  <si>
    <t>Costos de RRHH - Año 2027</t>
  </si>
  <si>
    <t xml:space="preserve">
La aplicación del plan de contingencia convierte un escenario de pérdidas en uno favorable, logrando un VAN positivo y manteniendo la rentabilidad del proyecto a la misma tasa de corte, alineándose con el presupuesto financiero inicial.</t>
  </si>
  <si>
    <t>El objetivo estratégico de nuestro proyecto es lograr un 9% ($398.520.000) de penetración en el mercado objetivo en un plazo de 3 años, considerando nuestras limitaciones en la capacidad operativa al comienzo de las actividades y la existencia de competidores importantes que dominan una parte significativa del mercado.</t>
  </si>
  <si>
    <t>x</t>
  </si>
  <si>
    <t>Plataforma pago</t>
  </si>
  <si>
    <t>Costo por transacción</t>
  </si>
  <si>
    <t>Plan de contingencia para escenario 2</t>
  </si>
  <si>
    <t>Reducción de suscriptores pagados en un 5%</t>
  </si>
  <si>
    <t>Disminución del 4% en ingresos por suscripciones</t>
  </si>
  <si>
    <t>Incremento en costos fijos del 10%</t>
  </si>
  <si>
    <t>Suba del dólar aumentan costos de servicios de hosting</t>
  </si>
  <si>
    <t>Ahorro en Inversión 2026</t>
  </si>
  <si>
    <t>Ahorro en costos de RRHH 2026</t>
  </si>
  <si>
    <t>Ahorro en costos de Marketing 2026</t>
  </si>
  <si>
    <r>
      <t xml:space="preserve">Para el plan de contingencia se decidió tomar medidas que asistan al negocio a recuperar el estado de la Tasa de retorno. Para esto se buscó recortar en costos de RR.HH ya que al haber menos ventas no se necesitan el staff completo, junto con ahorro de inversion. Ademsa de que se reduce los gastos de marketing.
</t>
    </r>
    <r>
      <rPr>
        <b/>
        <sz val="11"/>
        <color theme="1"/>
        <rFont val="Calibri"/>
        <family val="2"/>
        <scheme val="minor"/>
      </rPr>
      <t xml:space="preserve">
Medida 1:</t>
    </r>
    <r>
      <rPr>
        <sz val="11"/>
        <color theme="1"/>
        <rFont val="Calibri"/>
        <family val="2"/>
        <scheme val="minor"/>
      </rPr>
      <t xml:space="preserve"> Se reducira el programa de marketing en un 5% de los planteado inicialmente durante todo el 2026.  (Ahorro: $1.800.00,00).
</t>
    </r>
    <r>
      <rPr>
        <b/>
        <sz val="11"/>
        <color theme="1"/>
        <rFont val="Calibri"/>
        <family val="2"/>
        <scheme val="minor"/>
      </rPr>
      <t xml:space="preserve">
Medida 2: </t>
    </r>
    <r>
      <rPr>
        <sz val="11"/>
        <color theme="1"/>
        <rFont val="Calibri"/>
        <family val="2"/>
        <scheme val="minor"/>
      </rPr>
      <t xml:space="preserve">Se decidirá por no contratar a:
Gerente de marketing en Julio del 2026, y contratandolo en Octubre de 2026 generando un ahorro de $ 6.129.431,90 (incluido el porcentaje del aguinaldo) en 2026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</si>
</sst>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8" formatCode="&quot;$&quot;\ #,##0.00_);[Red]\(&quot;$&quot;\ #,##0.00\)"/>
    <numFmt numFmtId="164" formatCode="&quot;$&quot;\ #,##0.00;[Red]\-&quot;$&quot;\ #,##0.00"/>
    <numFmt numFmtId="165" formatCode="_-&quot;$&quot;\ * #,##0.00_-;\-&quot;$&quot;\ * #,##0.00_-;_-&quot;$&quot;\ * &quot;-&quot;??_-;_-@_-"/>
    <numFmt numFmtId="166" formatCode="_-* #,##0.00\ _€_-;\-* #,##0.00\ _€_-;_-* &quot;-&quot;??\ _€_-;_-@_-"/>
    <numFmt numFmtId="167" formatCode="0.0%"/>
    <numFmt numFmtId="168" formatCode="General_)"/>
    <numFmt numFmtId="169" formatCode="_-* #,##0\ _€_-;\-* #,##0\ _€_-;_-* &quot;-&quot;??\ _€_-;_-@_-"/>
    <numFmt numFmtId="170" formatCode="_ [$$-2C0A]\ * #,##0.00_ ;_ [$$-2C0A]\ * \-#,##0.00_ ;_ [$$-2C0A]\ * &quot;-&quot;??_ ;_ @_ "/>
    <numFmt numFmtId="171" formatCode="&quot;$&quot;\ #,##0.00"/>
    <numFmt numFmtId="172" formatCode="#,##0_ ;\-#,##0\ "/>
    <numFmt numFmtId="173" formatCode="&quot;$&quot;#,##0.00"/>
    <numFmt numFmtId="174" formatCode="_ &quot;$&quot;\ * #,##0.00_ ;_ &quot;$&quot;\ * \-#,##0.00_ ;_ &quot;$&quot;\ * &quot;-&quot;??_ ;_ @_ "/>
    <numFmt numFmtId="175" formatCode="&quot;$&quot;#,##0;[Red]\-&quot;$&quot;#,##0"/>
    <numFmt numFmtId="176" formatCode="0.0000%"/>
    <numFmt numFmtId="177" formatCode="_-&quot;$&quot;\ * #,##0_-;\-&quot;$&quot;\ * #,##0_-;_-&quot;$&quot;\ * &quot;-&quot;??_-;_-@"/>
  </numFmts>
  <fonts count="3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Arial"/>
      <family val="2"/>
    </font>
    <font>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b/>
      <sz val="36"/>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sz val="8"/>
      <name val="Arial"/>
      <family val="2"/>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u/>
      <sz val="12"/>
      <color theme="1"/>
      <name val="Calibri"/>
      <family val="2"/>
      <scheme val="minor"/>
    </font>
    <font>
      <b/>
      <u/>
      <sz val="12"/>
      <color theme="1"/>
      <name val="Calibri"/>
      <family val="2"/>
      <scheme val="minor"/>
    </font>
    <font>
      <sz val="8"/>
      <name val="Calibri"/>
      <family val="2"/>
      <scheme val="minor"/>
    </font>
    <font>
      <sz val="11"/>
      <color rgb="FF000000"/>
      <name val="Calibri"/>
      <family val="2"/>
      <scheme val="minor"/>
    </font>
    <font>
      <b/>
      <sz val="11"/>
      <name val="Calibri"/>
      <family val="2"/>
      <scheme val="minor"/>
    </font>
    <font>
      <sz val="15"/>
      <color theme="1"/>
      <name val="Calibri"/>
      <family val="2"/>
      <scheme val="minor"/>
    </font>
    <font>
      <sz val="16"/>
      <color theme="1"/>
      <name val="Calibri (Body)"/>
    </font>
    <font>
      <sz val="18"/>
      <color theme="1"/>
      <name val="Calibri"/>
      <family val="2"/>
      <scheme val="minor"/>
    </font>
    <font>
      <sz val="16"/>
      <color theme="1"/>
      <name val="Calibri"/>
      <family val="2"/>
    </font>
    <font>
      <b/>
      <sz val="16"/>
      <color theme="1"/>
      <name val="Calibri"/>
      <family val="2"/>
    </font>
    <font>
      <b/>
      <sz val="24"/>
      <color theme="1"/>
      <name val="Calibri"/>
      <family val="2"/>
      <scheme val="minor"/>
    </font>
    <font>
      <sz val="11"/>
      <color theme="0"/>
      <name val="Calibri"/>
      <family val="2"/>
      <scheme val="minor"/>
    </font>
  </fonts>
  <fills count="28">
    <fill>
      <patternFill patternType="none"/>
    </fill>
    <fill>
      <patternFill patternType="gray125"/>
    </fill>
    <fill>
      <patternFill patternType="solid">
        <fgColor theme="0"/>
        <bgColor indexed="64"/>
      </patternFill>
    </fill>
    <fill>
      <patternFill patternType="solid">
        <fgColor rgb="FF7AFA72"/>
        <bgColor indexed="64"/>
      </patternFill>
    </fill>
    <fill>
      <patternFill patternType="solid">
        <fgColor indexed="9"/>
        <bgColor indexed="64"/>
      </patternFill>
    </fill>
    <fill>
      <patternFill patternType="solid">
        <fgColor rgb="FFC5E0B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00"/>
        <bgColor rgb="FF000000"/>
      </patternFill>
    </fill>
    <fill>
      <patternFill patternType="solid">
        <fgColor rgb="FFFFFFFF"/>
        <bgColor rgb="FF000000"/>
      </patternFill>
    </fill>
    <fill>
      <patternFill patternType="solid">
        <fgColor theme="7"/>
        <bgColor indexed="64"/>
      </patternFill>
    </fill>
    <fill>
      <patternFill patternType="solid">
        <fgColor theme="5" tint="0.59999389629810485"/>
        <bgColor rgb="FF000000"/>
      </patternFill>
    </fill>
    <fill>
      <patternFill patternType="solid">
        <fgColor theme="4"/>
        <bgColor indexed="64"/>
      </patternFill>
    </fill>
  </fills>
  <borders count="80">
    <border>
      <left/>
      <right/>
      <top/>
      <bottom/>
      <diagonal/>
    </border>
    <border>
      <left style="medium">
        <color theme="9"/>
      </left>
      <right style="medium">
        <color theme="9"/>
      </right>
      <top style="medium">
        <color theme="9"/>
      </top>
      <bottom style="medium">
        <color theme="9"/>
      </bottom>
      <diagonal/>
    </border>
    <border>
      <left style="medium">
        <color theme="9"/>
      </left>
      <right style="medium">
        <color theme="9"/>
      </right>
      <top style="medium">
        <color theme="9"/>
      </top>
      <bottom/>
      <diagonal/>
    </border>
    <border>
      <left style="medium">
        <color theme="9"/>
      </left>
      <right style="medium">
        <color theme="9"/>
      </right>
      <top/>
      <bottom/>
      <diagonal/>
    </border>
    <border>
      <left style="medium">
        <color theme="9"/>
      </left>
      <right style="medium">
        <color theme="9"/>
      </right>
      <top/>
      <bottom style="medium">
        <color theme="9"/>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7">
    <xf numFmtId="0" fontId="0" fillId="0" borderId="0"/>
    <xf numFmtId="0" fontId="6" fillId="0" borderId="0" applyNumberFormat="0" applyFill="0" applyBorder="0" applyAlignment="0" applyProtection="0"/>
    <xf numFmtId="166" fontId="13" fillId="0" borderId="0" applyFont="0" applyFill="0" applyBorder="0" applyAlignment="0" applyProtection="0"/>
    <xf numFmtId="9" fontId="13" fillId="0" borderId="0" applyFont="0" applyFill="0" applyBorder="0" applyAlignment="0" applyProtection="0"/>
    <xf numFmtId="168" fontId="20" fillId="0" borderId="0"/>
    <xf numFmtId="168" fontId="20" fillId="0" borderId="0"/>
    <xf numFmtId="165" fontId="13" fillId="0" borderId="0" applyFont="0" applyFill="0" applyBorder="0" applyAlignment="0" applyProtection="0"/>
  </cellStyleXfs>
  <cellXfs count="796">
    <xf numFmtId="0" fontId="0" fillId="0" borderId="0" xfId="0"/>
    <xf numFmtId="0" fontId="0" fillId="2" borderId="0" xfId="0" applyFill="1"/>
    <xf numFmtId="0" fontId="7" fillId="2" borderId="0" xfId="0" applyFont="1" applyFill="1"/>
    <xf numFmtId="0" fontId="4" fillId="2" borderId="0" xfId="0" applyFont="1" applyFill="1" applyAlignment="1">
      <alignment horizontal="left" vertical="center"/>
    </xf>
    <xf numFmtId="0" fontId="0" fillId="2" borderId="0" xfId="0" applyFill="1" applyAlignment="1">
      <alignment vertical="center" wrapText="1"/>
    </xf>
    <xf numFmtId="0" fontId="16" fillId="2" borderId="0" xfId="0" applyFont="1" applyFill="1"/>
    <xf numFmtId="0" fontId="6" fillId="0" borderId="0" xfId="1"/>
    <xf numFmtId="166" fontId="0" fillId="0" borderId="0" xfId="0" applyNumberFormat="1"/>
    <xf numFmtId="167" fontId="0" fillId="0" borderId="0" xfId="3" applyNumberFormat="1" applyFont="1"/>
    <xf numFmtId="0" fontId="0" fillId="0" borderId="0" xfId="0" applyAlignment="1">
      <alignment horizontal="center" vertical="center"/>
    </xf>
    <xf numFmtId="0" fontId="21" fillId="4" borderId="0" xfId="4" applyNumberFormat="1" applyFont="1" applyFill="1" applyAlignment="1">
      <alignment horizontal="center"/>
    </xf>
    <xf numFmtId="3" fontId="21" fillId="4" borderId="0" xfId="4" applyNumberFormat="1" applyFont="1" applyFill="1" applyAlignment="1">
      <alignment horizontal="right"/>
    </xf>
    <xf numFmtId="0" fontId="0" fillId="4" borderId="0" xfId="0" applyFill="1"/>
    <xf numFmtId="0" fontId="21" fillId="4" borderId="0" xfId="5" applyNumberFormat="1" applyFont="1" applyFill="1" applyAlignment="1">
      <alignment horizontal="center"/>
    </xf>
    <xf numFmtId="3" fontId="21" fillId="4" borderId="0" xfId="5" applyNumberFormat="1" applyFont="1" applyFill="1" applyAlignment="1">
      <alignment horizontal="right"/>
    </xf>
    <xf numFmtId="0" fontId="0" fillId="0" borderId="5" xfId="0" applyBorder="1"/>
    <xf numFmtId="166" fontId="0" fillId="0" borderId="5" xfId="2" applyFont="1" applyBorder="1"/>
    <xf numFmtId="0" fontId="0" fillId="3" borderId="5" xfId="0" applyFill="1" applyBorder="1" applyAlignment="1">
      <alignment horizontal="center" vertical="center"/>
    </xf>
    <xf numFmtId="0" fontId="0" fillId="3" borderId="5" xfId="0" applyFill="1" applyBorder="1"/>
    <xf numFmtId="166" fontId="0" fillId="3" borderId="5" xfId="0" applyNumberFormat="1" applyFill="1" applyBorder="1"/>
    <xf numFmtId="0" fontId="0" fillId="0" borderId="7" xfId="0" applyBorder="1"/>
    <xf numFmtId="166" fontId="0" fillId="0" borderId="6" xfId="2" applyFont="1" applyBorder="1"/>
    <xf numFmtId="0" fontId="12" fillId="2" borderId="0" xfId="0" applyFont="1" applyFill="1" applyAlignment="1">
      <alignment horizontal="left" vertical="top" wrapText="1"/>
    </xf>
    <xf numFmtId="0" fontId="14" fillId="6" borderId="5" xfId="0" applyFont="1" applyFill="1" applyBorder="1" applyAlignment="1">
      <alignment horizontal="center" vertical="center"/>
    </xf>
    <xf numFmtId="169" fontId="0" fillId="0" borderId="6" xfId="2" applyNumberFormat="1" applyFont="1" applyBorder="1" applyAlignment="1">
      <alignment horizontal="right"/>
    </xf>
    <xf numFmtId="169" fontId="0" fillId="0" borderId="5" xfId="2" applyNumberFormat="1" applyFont="1" applyBorder="1" applyAlignment="1">
      <alignment horizontal="right"/>
    </xf>
    <xf numFmtId="169" fontId="14" fillId="6" borderId="5" xfId="0" applyNumberFormat="1" applyFont="1" applyFill="1" applyBorder="1" applyAlignment="1">
      <alignment horizontal="right"/>
    </xf>
    <xf numFmtId="0" fontId="12" fillId="2" borderId="5" xfId="0" applyFont="1" applyFill="1" applyBorder="1" applyAlignment="1">
      <alignment horizontal="left" vertical="top" wrapText="1"/>
    </xf>
    <xf numFmtId="9" fontId="12" fillId="2" borderId="5" xfId="3" applyFont="1" applyFill="1" applyBorder="1" applyAlignment="1">
      <alignment horizontal="left" vertical="top" wrapText="1"/>
    </xf>
    <xf numFmtId="165" fontId="12" fillId="2" borderId="5" xfId="0" applyNumberFormat="1" applyFont="1" applyFill="1" applyBorder="1" applyAlignment="1">
      <alignment horizontal="left" vertical="top" wrapText="1"/>
    </xf>
    <xf numFmtId="0" fontId="24" fillId="7" borderId="5" xfId="0" applyFont="1" applyFill="1" applyBorder="1" applyAlignment="1">
      <alignment horizontal="left" vertical="top" wrapText="1"/>
    </xf>
    <xf numFmtId="0" fontId="0" fillId="2" borderId="0" xfId="0" applyFill="1" applyAlignment="1">
      <alignment horizontal="center"/>
    </xf>
    <xf numFmtId="171" fontId="0" fillId="2" borderId="5" xfId="0" applyNumberFormat="1" applyFill="1" applyBorder="1" applyAlignment="1">
      <alignment horizontal="center"/>
    </xf>
    <xf numFmtId="0" fontId="14" fillId="7" borderId="5" xfId="0" applyFont="1" applyFill="1" applyBorder="1" applyAlignment="1">
      <alignment horizontal="center"/>
    </xf>
    <xf numFmtId="171" fontId="0" fillId="2" borderId="0" xfId="0" applyNumberFormat="1" applyFill="1"/>
    <xf numFmtId="0" fontId="0" fillId="0" borderId="5" xfId="0" applyBorder="1" applyAlignment="1">
      <alignment wrapText="1"/>
    </xf>
    <xf numFmtId="0" fontId="0" fillId="0" borderId="7" xfId="0" applyBorder="1" applyAlignment="1">
      <alignment wrapText="1"/>
    </xf>
    <xf numFmtId="0" fontId="14" fillId="6" borderId="5" xfId="0" applyFont="1" applyFill="1" applyBorder="1" applyAlignment="1">
      <alignment wrapText="1"/>
    </xf>
    <xf numFmtId="0" fontId="17" fillId="2" borderId="0" xfId="0" applyFont="1" applyFill="1" applyAlignment="1">
      <alignment horizontal="left"/>
    </xf>
    <xf numFmtId="9" fontId="0" fillId="2" borderId="5" xfId="0" applyNumberFormat="1" applyFill="1" applyBorder="1" applyAlignment="1">
      <alignment horizontal="center"/>
    </xf>
    <xf numFmtId="169" fontId="0" fillId="2" borderId="0" xfId="0" applyNumberFormat="1" applyFill="1"/>
    <xf numFmtId="165" fontId="0" fillId="2" borderId="0" xfId="0" applyNumberFormat="1" applyFill="1"/>
    <xf numFmtId="165" fontId="0" fillId="10" borderId="28" xfId="6" applyFont="1" applyFill="1" applyBorder="1"/>
    <xf numFmtId="169" fontId="0" fillId="10" borderId="37" xfId="2" applyNumberFormat="1" applyFont="1" applyFill="1" applyBorder="1"/>
    <xf numFmtId="165" fontId="0" fillId="10" borderId="47" xfId="6" applyFont="1" applyFill="1" applyBorder="1"/>
    <xf numFmtId="165" fontId="0" fillId="10" borderId="26" xfId="6" applyFont="1" applyFill="1" applyBorder="1"/>
    <xf numFmtId="169" fontId="0" fillId="10" borderId="34" xfId="2" applyNumberFormat="1" applyFont="1" applyFill="1" applyBorder="1"/>
    <xf numFmtId="165" fontId="0" fillId="10" borderId="51" xfId="6" applyFont="1" applyFill="1" applyBorder="1"/>
    <xf numFmtId="165" fontId="0" fillId="10" borderId="43" xfId="6" applyFont="1" applyFill="1" applyBorder="1"/>
    <xf numFmtId="169" fontId="0" fillId="10" borderId="39" xfId="2" applyNumberFormat="1" applyFont="1" applyFill="1" applyBorder="1"/>
    <xf numFmtId="165" fontId="0" fillId="10" borderId="48" xfId="6" applyFont="1" applyFill="1" applyBorder="1"/>
    <xf numFmtId="0" fontId="14" fillId="7" borderId="45" xfId="0" applyFont="1" applyFill="1" applyBorder="1" applyAlignment="1">
      <alignment horizontal="center" vertical="center" wrapText="1"/>
    </xf>
    <xf numFmtId="0" fontId="14" fillId="7" borderId="38" xfId="0" applyFont="1" applyFill="1" applyBorder="1" applyAlignment="1">
      <alignment horizontal="center" vertical="center" wrapText="1"/>
    </xf>
    <xf numFmtId="169" fontId="0" fillId="10" borderId="34" xfId="0" applyNumberFormat="1" applyFill="1" applyBorder="1"/>
    <xf numFmtId="169" fontId="0" fillId="10" borderId="37" xfId="0" applyNumberFormat="1" applyFill="1" applyBorder="1"/>
    <xf numFmtId="169" fontId="0" fillId="10" borderId="39" xfId="0" applyNumberFormat="1" applyFill="1" applyBorder="1"/>
    <xf numFmtId="169" fontId="0" fillId="10" borderId="51" xfId="0" applyNumberFormat="1" applyFill="1" applyBorder="1"/>
    <xf numFmtId="169" fontId="0" fillId="10" borderId="47" xfId="0" applyNumberFormat="1" applyFill="1" applyBorder="1"/>
    <xf numFmtId="169" fontId="0" fillId="10" borderId="48" xfId="0" applyNumberFormat="1" applyFill="1" applyBorder="1"/>
    <xf numFmtId="0" fontId="14" fillId="7" borderId="39" xfId="0" applyFont="1" applyFill="1" applyBorder="1" applyAlignment="1">
      <alignment horizontal="center" vertical="center" wrapText="1"/>
    </xf>
    <xf numFmtId="0" fontId="14" fillId="7" borderId="48" xfId="0" applyFont="1" applyFill="1" applyBorder="1" applyAlignment="1">
      <alignment horizontal="center" vertical="center" wrapText="1"/>
    </xf>
    <xf numFmtId="0" fontId="14" fillId="7" borderId="37" xfId="0" applyFont="1" applyFill="1" applyBorder="1" applyAlignment="1">
      <alignment horizontal="center"/>
    </xf>
    <xf numFmtId="0" fontId="14" fillId="7" borderId="47" xfId="0" applyFont="1" applyFill="1" applyBorder="1" applyAlignment="1">
      <alignment horizontal="center"/>
    </xf>
    <xf numFmtId="9" fontId="0" fillId="2" borderId="37" xfId="0" applyNumberFormat="1" applyFill="1" applyBorder="1" applyAlignment="1">
      <alignment horizontal="center"/>
    </xf>
    <xf numFmtId="9" fontId="0" fillId="2" borderId="47" xfId="0" applyNumberFormat="1" applyFill="1" applyBorder="1" applyAlignment="1">
      <alignment horizontal="center"/>
    </xf>
    <xf numFmtId="171" fontId="0" fillId="2" borderId="39" xfId="0" applyNumberFormat="1" applyFill="1" applyBorder="1" applyAlignment="1">
      <alignment horizontal="center"/>
    </xf>
    <xf numFmtId="171" fontId="0" fillId="2" borderId="40" xfId="0" applyNumberFormat="1" applyFill="1" applyBorder="1" applyAlignment="1">
      <alignment horizontal="center"/>
    </xf>
    <xf numFmtId="171" fontId="0" fillId="2" borderId="48" xfId="0" applyNumberFormat="1" applyFill="1" applyBorder="1" applyAlignment="1">
      <alignment horizontal="center"/>
    </xf>
    <xf numFmtId="0" fontId="0" fillId="2" borderId="0" xfId="0" applyFill="1" applyAlignment="1">
      <alignment horizontal="left" vertical="top" wrapText="1"/>
    </xf>
    <xf numFmtId="170" fontId="15" fillId="10" borderId="5" xfId="0" applyNumberFormat="1" applyFont="1" applyFill="1" applyBorder="1"/>
    <xf numFmtId="0" fontId="15" fillId="7" borderId="30" xfId="0" applyFont="1" applyFill="1" applyBorder="1" applyAlignment="1">
      <alignment horizontal="center"/>
    </xf>
    <xf numFmtId="0" fontId="15" fillId="10" borderId="34" xfId="0" applyFont="1" applyFill="1" applyBorder="1"/>
    <xf numFmtId="170" fontId="15" fillId="10" borderId="35" xfId="0" applyNumberFormat="1" applyFont="1" applyFill="1" applyBorder="1"/>
    <xf numFmtId="0" fontId="15" fillId="10" borderId="37" xfId="0" applyFont="1" applyFill="1" applyBorder="1"/>
    <xf numFmtId="0" fontId="0" fillId="10" borderId="47" xfId="0" applyFill="1" applyBorder="1"/>
    <xf numFmtId="0" fontId="15" fillId="10" borderId="39" xfId="0" applyFont="1" applyFill="1" applyBorder="1"/>
    <xf numFmtId="170" fontId="15" fillId="10" borderId="40" xfId="0" applyNumberFormat="1" applyFont="1" applyFill="1" applyBorder="1"/>
    <xf numFmtId="0" fontId="0" fillId="10" borderId="48" xfId="0" applyFill="1" applyBorder="1"/>
    <xf numFmtId="0" fontId="15" fillId="7" borderId="49" xfId="0" applyFont="1" applyFill="1" applyBorder="1" applyAlignment="1">
      <alignment horizontal="center"/>
    </xf>
    <xf numFmtId="0" fontId="15" fillId="7" borderId="50" xfId="0" applyFont="1" applyFill="1" applyBorder="1" applyAlignment="1">
      <alignment horizontal="center"/>
    </xf>
    <xf numFmtId="9" fontId="12" fillId="2" borderId="0" xfId="3" applyFont="1" applyFill="1" applyBorder="1" applyAlignment="1">
      <alignment horizontal="left" vertical="top" wrapText="1"/>
    </xf>
    <xf numFmtId="165" fontId="12" fillId="2" borderId="0" xfId="0" applyNumberFormat="1" applyFont="1" applyFill="1" applyAlignment="1">
      <alignment horizontal="left" vertical="top" wrapText="1"/>
    </xf>
    <xf numFmtId="171" fontId="0" fillId="2" borderId="62" xfId="0" applyNumberFormat="1" applyFill="1" applyBorder="1" applyAlignment="1">
      <alignment horizontal="left" wrapText="1"/>
    </xf>
    <xf numFmtId="0" fontId="23" fillId="2" borderId="0" xfId="0" applyFont="1" applyFill="1" applyAlignment="1">
      <alignment horizontal="center" vertical="center"/>
    </xf>
    <xf numFmtId="0" fontId="0" fillId="2" borderId="0" xfId="0" applyFill="1" applyAlignment="1">
      <alignment horizontal="center" vertical="center"/>
    </xf>
    <xf numFmtId="0" fontId="14" fillId="2" borderId="29" xfId="0" applyFont="1" applyFill="1" applyBorder="1" applyAlignment="1">
      <alignment horizontal="center" vertical="center"/>
    </xf>
    <xf numFmtId="0" fontId="14" fillId="9" borderId="20" xfId="0" applyFont="1" applyFill="1" applyBorder="1" applyAlignment="1">
      <alignment horizontal="center"/>
    </xf>
    <xf numFmtId="0" fontId="14" fillId="9" borderId="57" xfId="0" applyFont="1" applyFill="1" applyBorder="1" applyAlignment="1">
      <alignment horizontal="center"/>
    </xf>
    <xf numFmtId="0" fontId="23" fillId="6" borderId="57" xfId="0" applyFont="1" applyFill="1" applyBorder="1" applyAlignment="1">
      <alignment horizontal="center" vertical="center"/>
    </xf>
    <xf numFmtId="166" fontId="25" fillId="7" borderId="30" xfId="2" applyFont="1" applyFill="1" applyBorder="1" applyAlignment="1">
      <alignment horizontal="center" vertical="center" wrapText="1"/>
    </xf>
    <xf numFmtId="166" fontId="15" fillId="7" borderId="49" xfId="2" applyFont="1" applyFill="1" applyBorder="1" applyAlignment="1">
      <alignment horizontal="center" wrapText="1"/>
    </xf>
    <xf numFmtId="166" fontId="25" fillId="7" borderId="50" xfId="2" applyFont="1" applyFill="1" applyBorder="1" applyAlignment="1">
      <alignment horizontal="center" vertical="center" wrapText="1"/>
    </xf>
    <xf numFmtId="0" fontId="14" fillId="8" borderId="39" xfId="0" applyFont="1" applyFill="1" applyBorder="1" applyAlignment="1">
      <alignment wrapText="1"/>
    </xf>
    <xf numFmtId="165" fontId="14" fillId="8" borderId="40" xfId="0" applyNumberFormat="1" applyFont="1" applyFill="1" applyBorder="1" applyAlignment="1">
      <alignment wrapText="1"/>
    </xf>
    <xf numFmtId="165" fontId="14" fillId="8" borderId="48" xfId="0" applyNumberFormat="1" applyFont="1" applyFill="1" applyBorder="1" applyAlignment="1">
      <alignment wrapText="1"/>
    </xf>
    <xf numFmtId="166" fontId="15" fillId="13" borderId="34" xfId="2" applyFont="1" applyFill="1" applyBorder="1" applyAlignment="1">
      <alignment horizontal="left" wrapText="1"/>
    </xf>
    <xf numFmtId="165" fontId="0" fillId="13" borderId="35" xfId="0" applyNumberFormat="1" applyFill="1" applyBorder="1" applyAlignment="1">
      <alignment wrapText="1"/>
    </xf>
    <xf numFmtId="165" fontId="0" fillId="13" borderId="51" xfId="0" applyNumberFormat="1" applyFill="1" applyBorder="1" applyAlignment="1">
      <alignment wrapText="1"/>
    </xf>
    <xf numFmtId="166" fontId="15" fillId="13" borderId="37" xfId="2" applyFont="1" applyFill="1" applyBorder="1" applyAlignment="1">
      <alignment horizontal="left" wrapText="1"/>
    </xf>
    <xf numFmtId="165" fontId="0" fillId="13" borderId="5" xfId="0" applyNumberFormat="1" applyFill="1" applyBorder="1" applyAlignment="1">
      <alignment wrapText="1"/>
    </xf>
    <xf numFmtId="165" fontId="0" fillId="13" borderId="47" xfId="0" applyNumberFormat="1" applyFill="1" applyBorder="1" applyAlignment="1">
      <alignment wrapText="1"/>
    </xf>
    <xf numFmtId="166" fontId="15" fillId="13" borderId="39" xfId="2" applyFont="1" applyFill="1" applyBorder="1" applyAlignment="1">
      <alignment horizontal="left" wrapText="1"/>
    </xf>
    <xf numFmtId="165" fontId="0" fillId="13" borderId="40" xfId="0" applyNumberFormat="1" applyFill="1" applyBorder="1" applyAlignment="1">
      <alignment wrapText="1"/>
    </xf>
    <xf numFmtId="165" fontId="0" fillId="13" borderId="48" xfId="0" applyNumberFormat="1" applyFill="1" applyBorder="1" applyAlignment="1">
      <alignment wrapText="1"/>
    </xf>
    <xf numFmtId="0" fontId="23" fillId="14" borderId="0" xfId="0" applyFont="1" applyFill="1" applyAlignment="1">
      <alignment horizontal="center" vertical="center"/>
    </xf>
    <xf numFmtId="0" fontId="0" fillId="14" borderId="0" xfId="0" applyFill="1"/>
    <xf numFmtId="171" fontId="0" fillId="14" borderId="0" xfId="0" applyNumberFormat="1" applyFill="1"/>
    <xf numFmtId="0" fontId="0" fillId="14" borderId="0" xfId="0" applyFill="1" applyAlignment="1">
      <alignment horizontal="center" vertical="center"/>
    </xf>
    <xf numFmtId="0" fontId="10" fillId="2" borderId="0" xfId="0" applyFont="1" applyFill="1" applyAlignment="1">
      <alignment horizontal="left" vertical="top" wrapText="1"/>
    </xf>
    <xf numFmtId="165" fontId="14" fillId="2" borderId="50" xfId="0" applyNumberFormat="1" applyFont="1" applyFill="1" applyBorder="1"/>
    <xf numFmtId="169" fontId="14" fillId="14" borderId="49" xfId="0" applyNumberFormat="1" applyFont="1" applyFill="1" applyBorder="1"/>
    <xf numFmtId="165" fontId="14" fillId="2" borderId="50" xfId="6" applyFont="1" applyFill="1" applyBorder="1"/>
    <xf numFmtId="0" fontId="0" fillId="2" borderId="5" xfId="0" applyFill="1" applyBorder="1"/>
    <xf numFmtId="166" fontId="12" fillId="14" borderId="35" xfId="2" applyFont="1" applyFill="1" applyBorder="1" applyAlignment="1"/>
    <xf numFmtId="166" fontId="12" fillId="14" borderId="48" xfId="2" applyFont="1" applyFill="1" applyBorder="1" applyAlignment="1"/>
    <xf numFmtId="172" fontId="15" fillId="10" borderId="27" xfId="2" applyNumberFormat="1" applyFont="1" applyFill="1" applyBorder="1" applyAlignment="1">
      <alignment vertical="center"/>
    </xf>
    <xf numFmtId="172" fontId="15" fillId="10" borderId="58" xfId="2" applyNumberFormat="1" applyFont="1" applyFill="1" applyBorder="1" applyAlignment="1">
      <alignment vertical="center"/>
    </xf>
    <xf numFmtId="0" fontId="0" fillId="2" borderId="0" xfId="0" applyFill="1" applyAlignment="1">
      <alignment wrapText="1"/>
    </xf>
    <xf numFmtId="0" fontId="0" fillId="2" borderId="0" xfId="0" applyFill="1" applyAlignment="1">
      <alignment horizontal="center" vertical="center" wrapText="1"/>
    </xf>
    <xf numFmtId="0" fontId="0" fillId="2" borderId="5" xfId="0" applyFill="1" applyBorder="1" applyAlignment="1">
      <alignment wrapText="1"/>
    </xf>
    <xf numFmtId="0" fontId="0" fillId="2" borderId="5" xfId="0" applyFill="1" applyBorder="1" applyAlignment="1">
      <alignment horizontal="center" wrapText="1"/>
    </xf>
    <xf numFmtId="0" fontId="14" fillId="2" borderId="0" xfId="0" applyFont="1" applyFill="1" applyAlignment="1">
      <alignment horizontal="center"/>
    </xf>
    <xf numFmtId="0" fontId="14" fillId="2" borderId="0" xfId="0" applyFont="1" applyFill="1" applyAlignment="1">
      <alignment horizontal="center" wrapText="1"/>
    </xf>
    <xf numFmtId="0" fontId="0" fillId="14" borderId="0" xfId="0" applyFill="1" applyAlignment="1">
      <alignment horizontal="center" vertical="center" wrapText="1"/>
    </xf>
    <xf numFmtId="0" fontId="14" fillId="14" borderId="0" xfId="0" applyFont="1" applyFill="1" applyAlignment="1">
      <alignment horizontal="center" wrapText="1"/>
    </xf>
    <xf numFmtId="0" fontId="14" fillId="2" borderId="0" xfId="0" applyFont="1" applyFill="1" applyAlignment="1">
      <alignment horizontal="center" vertical="center" wrapText="1"/>
    </xf>
    <xf numFmtId="0" fontId="14" fillId="14" borderId="0" xfId="0" applyFont="1" applyFill="1" applyAlignment="1">
      <alignment horizontal="center" vertical="center" wrapText="1"/>
    </xf>
    <xf numFmtId="0" fontId="0" fillId="14" borderId="0" xfId="0" applyFill="1" applyAlignment="1">
      <alignment wrapText="1"/>
    </xf>
    <xf numFmtId="0" fontId="17" fillId="2" borderId="0" xfId="0" applyFont="1" applyFill="1"/>
    <xf numFmtId="0" fontId="0" fillId="2" borderId="67" xfId="0" applyFill="1" applyBorder="1" applyAlignment="1">
      <alignment wrapText="1"/>
    </xf>
    <xf numFmtId="0" fontId="0" fillId="2" borderId="67" xfId="0" applyFill="1" applyBorder="1" applyAlignment="1">
      <alignment horizontal="center" wrapText="1"/>
    </xf>
    <xf numFmtId="0" fontId="0" fillId="2" borderId="67" xfId="0" applyFill="1" applyBorder="1"/>
    <xf numFmtId="0" fontId="14" fillId="2" borderId="32" xfId="0" applyFont="1" applyFill="1" applyBorder="1" applyAlignment="1">
      <alignment horizontal="center" vertical="center" wrapText="1"/>
    </xf>
    <xf numFmtId="0" fontId="14" fillId="9" borderId="23" xfId="0" applyFont="1" applyFill="1" applyBorder="1" applyAlignment="1">
      <alignment horizontal="center" vertical="center" wrapText="1"/>
    </xf>
    <xf numFmtId="0" fontId="0" fillId="2" borderId="5" xfId="0" applyFill="1" applyBorder="1" applyAlignment="1">
      <alignment horizontal="center" vertical="center"/>
    </xf>
    <xf numFmtId="0" fontId="14" fillId="6" borderId="69" xfId="0" applyFont="1" applyFill="1" applyBorder="1" applyAlignment="1">
      <alignment horizontal="center" vertical="center" wrapText="1"/>
    </xf>
    <xf numFmtId="0" fontId="14" fillId="6" borderId="59" xfId="0" applyFont="1" applyFill="1" applyBorder="1" applyAlignment="1">
      <alignment horizontal="center" vertical="center" wrapText="1"/>
    </xf>
    <xf numFmtId="1" fontId="14" fillId="2" borderId="0" xfId="0" applyNumberFormat="1" applyFont="1" applyFill="1" applyAlignment="1">
      <alignment horizontal="center" vertical="center"/>
    </xf>
    <xf numFmtId="1" fontId="0" fillId="2" borderId="5" xfId="0" applyNumberFormat="1" applyFill="1" applyBorder="1"/>
    <xf numFmtId="0" fontId="14" fillId="6" borderId="5" xfId="0" applyFont="1" applyFill="1" applyBorder="1" applyAlignment="1">
      <alignment horizontal="center" vertical="center" wrapText="1"/>
    </xf>
    <xf numFmtId="2" fontId="14" fillId="9" borderId="5" xfId="0" applyNumberFormat="1" applyFont="1" applyFill="1" applyBorder="1"/>
    <xf numFmtId="0" fontId="14" fillId="2" borderId="59" xfId="0" applyFont="1" applyFill="1" applyBorder="1" applyAlignment="1">
      <alignment horizontal="center" vertical="center" wrapText="1"/>
    </xf>
    <xf numFmtId="0" fontId="14" fillId="9" borderId="24" xfId="0" applyFont="1" applyFill="1" applyBorder="1" applyAlignment="1">
      <alignment horizontal="center" vertical="center" wrapText="1"/>
    </xf>
    <xf numFmtId="169" fontId="10" fillId="2" borderId="5" xfId="2" applyNumberFormat="1" applyFont="1" applyFill="1" applyBorder="1" applyAlignment="1">
      <alignment horizontal="left" vertical="top" wrapText="1"/>
    </xf>
    <xf numFmtId="165" fontId="24" fillId="6" borderId="5" xfId="6" applyFont="1" applyFill="1" applyBorder="1" applyAlignment="1">
      <alignment horizontal="left" vertical="top" wrapText="1"/>
    </xf>
    <xf numFmtId="0" fontId="15" fillId="7" borderId="5" xfId="0" applyFont="1" applyFill="1" applyBorder="1" applyAlignment="1">
      <alignment horizontal="center" vertical="center" wrapText="1"/>
    </xf>
    <xf numFmtId="165" fontId="0" fillId="0" borderId="5" xfId="6" applyFont="1" applyBorder="1" applyAlignment="1">
      <alignment horizontal="center"/>
    </xf>
    <xf numFmtId="0" fontId="0" fillId="0" borderId="16" xfId="0" applyBorder="1"/>
    <xf numFmtId="165" fontId="0" fillId="0" borderId="28" xfId="6" applyFont="1" applyBorder="1" applyAlignment="1">
      <alignment horizontal="center"/>
    </xf>
    <xf numFmtId="0" fontId="0" fillId="2" borderId="53" xfId="0" applyFill="1" applyBorder="1" applyAlignment="1">
      <alignment horizontal="left"/>
    </xf>
    <xf numFmtId="0" fontId="6" fillId="2" borderId="53" xfId="1" applyFill="1" applyBorder="1" applyAlignment="1">
      <alignment horizontal="left"/>
    </xf>
    <xf numFmtId="165" fontId="14" fillId="6" borderId="62" xfId="6" applyFont="1" applyFill="1" applyBorder="1" applyAlignment="1">
      <alignment horizontal="center"/>
    </xf>
    <xf numFmtId="165" fontId="14" fillId="6" borderId="63" xfId="6" applyFont="1" applyFill="1" applyBorder="1" applyAlignment="1">
      <alignment horizontal="center"/>
    </xf>
    <xf numFmtId="0" fontId="14" fillId="6" borderId="23" xfId="0" applyFont="1" applyFill="1" applyBorder="1"/>
    <xf numFmtId="165" fontId="14" fillId="6" borderId="25" xfId="6" applyFont="1" applyFill="1" applyBorder="1" applyAlignment="1">
      <alignment horizontal="center"/>
    </xf>
    <xf numFmtId="165" fontId="14" fillId="6" borderId="74" xfId="6" applyFont="1" applyFill="1" applyBorder="1" applyAlignment="1">
      <alignment horizontal="center"/>
    </xf>
    <xf numFmtId="165" fontId="14" fillId="6" borderId="57" xfId="6" applyFont="1" applyFill="1" applyBorder="1" applyAlignment="1">
      <alignment horizontal="center"/>
    </xf>
    <xf numFmtId="165" fontId="0" fillId="0" borderId="7" xfId="6" applyFont="1" applyBorder="1" applyAlignment="1">
      <alignment horizontal="center"/>
    </xf>
    <xf numFmtId="165" fontId="0" fillId="0" borderId="31" xfId="6" applyFont="1" applyBorder="1" applyAlignment="1">
      <alignment horizontal="center"/>
    </xf>
    <xf numFmtId="0" fontId="14" fillId="6" borderId="25" xfId="0" applyFont="1" applyFill="1" applyBorder="1" applyAlignment="1">
      <alignment horizontal="center"/>
    </xf>
    <xf numFmtId="0" fontId="14" fillId="6" borderId="74" xfId="0" applyFont="1" applyFill="1" applyBorder="1" applyAlignment="1">
      <alignment horizontal="center"/>
    </xf>
    <xf numFmtId="0" fontId="14" fillId="6" borderId="57" xfId="0" applyFont="1" applyFill="1" applyBorder="1" applyAlignment="1">
      <alignment horizontal="center"/>
    </xf>
    <xf numFmtId="0" fontId="14" fillId="6" borderId="11" xfId="0" applyFont="1" applyFill="1" applyBorder="1" applyAlignment="1">
      <alignment horizontal="center"/>
    </xf>
    <xf numFmtId="165" fontId="0" fillId="0" borderId="35" xfId="6" applyFont="1" applyBorder="1" applyAlignment="1">
      <alignment horizontal="center"/>
    </xf>
    <xf numFmtId="165" fontId="0" fillId="0" borderId="26" xfId="6" applyFont="1" applyBorder="1" applyAlignment="1">
      <alignment horizontal="center"/>
    </xf>
    <xf numFmtId="165" fontId="14" fillId="6" borderId="61" xfId="6" applyFont="1" applyFill="1" applyBorder="1" applyAlignment="1">
      <alignment horizontal="center"/>
    </xf>
    <xf numFmtId="0" fontId="0" fillId="2" borderId="36" xfId="0" applyFill="1" applyBorder="1" applyAlignment="1">
      <alignment horizontal="left"/>
    </xf>
    <xf numFmtId="165" fontId="0" fillId="0" borderId="40" xfId="6" applyFont="1" applyBorder="1" applyAlignment="1">
      <alignment horizontal="center"/>
    </xf>
    <xf numFmtId="0" fontId="0" fillId="2" borderId="64" xfId="0" applyFill="1" applyBorder="1" applyAlignment="1">
      <alignment horizontal="left"/>
    </xf>
    <xf numFmtId="165" fontId="0" fillId="0" borderId="35" xfId="6" applyFont="1" applyBorder="1" applyAlignment="1">
      <alignment horizontal="left" vertical="center"/>
    </xf>
    <xf numFmtId="165" fontId="14" fillId="6" borderId="61" xfId="6" applyFont="1" applyFill="1" applyBorder="1" applyAlignment="1">
      <alignment horizontal="left" vertical="center"/>
    </xf>
    <xf numFmtId="0" fontId="24" fillId="6" borderId="57" xfId="0" applyFont="1" applyFill="1" applyBorder="1" applyAlignment="1">
      <alignment horizontal="center"/>
    </xf>
    <xf numFmtId="165" fontId="0" fillId="0" borderId="25" xfId="6" applyFont="1" applyBorder="1" applyAlignment="1">
      <alignment horizontal="center"/>
    </xf>
    <xf numFmtId="165" fontId="0" fillId="0" borderId="74" xfId="6" applyFont="1" applyBorder="1" applyAlignment="1">
      <alignment horizontal="center"/>
    </xf>
    <xf numFmtId="0" fontId="0" fillId="2" borderId="11" xfId="0" applyFill="1" applyBorder="1" applyAlignment="1">
      <alignment horizontal="left"/>
    </xf>
    <xf numFmtId="165" fontId="14" fillId="9" borderId="57" xfId="6" applyFont="1" applyFill="1" applyBorder="1" applyAlignment="1">
      <alignment horizontal="center"/>
    </xf>
    <xf numFmtId="0" fontId="14" fillId="6" borderId="75" xfId="0" applyFont="1" applyFill="1" applyBorder="1" applyAlignment="1">
      <alignment horizontal="center"/>
    </xf>
    <xf numFmtId="165" fontId="0" fillId="0" borderId="27" xfId="6" applyFont="1" applyBorder="1" applyAlignment="1">
      <alignment horizontal="center"/>
    </xf>
    <xf numFmtId="165" fontId="0" fillId="0" borderId="6" xfId="6" applyFont="1" applyBorder="1" applyAlignment="1">
      <alignment horizontal="center"/>
    </xf>
    <xf numFmtId="165" fontId="0" fillId="0" borderId="58" xfId="6" applyFont="1" applyBorder="1" applyAlignment="1">
      <alignment horizontal="center"/>
    </xf>
    <xf numFmtId="165" fontId="0" fillId="0" borderId="75" xfId="6" applyFont="1" applyBorder="1" applyAlignment="1">
      <alignment horizontal="center"/>
    </xf>
    <xf numFmtId="0" fontId="0" fillId="0" borderId="36" xfId="0" applyBorder="1"/>
    <xf numFmtId="0" fontId="0" fillId="0" borderId="53" xfId="0" applyBorder="1"/>
    <xf numFmtId="0" fontId="0" fillId="0" borderId="64" xfId="0" applyBorder="1"/>
    <xf numFmtId="0" fontId="0" fillId="0" borderId="11" xfId="0" applyBorder="1"/>
    <xf numFmtId="171" fontId="0" fillId="2" borderId="0" xfId="0" applyNumberFormat="1" applyFill="1" applyAlignment="1">
      <alignment horizontal="center"/>
    </xf>
    <xf numFmtId="0" fontId="0" fillId="0" borderId="5" xfId="0" applyBorder="1" applyAlignment="1">
      <alignment horizontal="center"/>
    </xf>
    <xf numFmtId="173" fontId="0" fillId="0" borderId="5" xfId="0" applyNumberFormat="1" applyBorder="1" applyAlignment="1">
      <alignment horizontal="center"/>
    </xf>
    <xf numFmtId="9" fontId="0" fillId="2" borderId="0" xfId="0" applyNumberFormat="1" applyFill="1" applyAlignment="1">
      <alignment horizontal="center"/>
    </xf>
    <xf numFmtId="0" fontId="0" fillId="2" borderId="5" xfId="0" applyFill="1" applyBorder="1" applyAlignment="1">
      <alignment horizontal="center"/>
    </xf>
    <xf numFmtId="0" fontId="15" fillId="2" borderId="0" xfId="0" applyFont="1" applyFill="1"/>
    <xf numFmtId="0" fontId="15" fillId="7" borderId="7" xfId="0" applyFont="1" applyFill="1" applyBorder="1" applyAlignment="1">
      <alignment horizontal="center" vertical="center"/>
    </xf>
    <xf numFmtId="1" fontId="0" fillId="0" borderId="5" xfId="0" applyNumberFormat="1" applyBorder="1" applyAlignment="1">
      <alignment horizontal="center"/>
    </xf>
    <xf numFmtId="1" fontId="0" fillId="0" borderId="7" xfId="0" applyNumberFormat="1" applyBorder="1" applyAlignment="1">
      <alignment horizontal="center"/>
    </xf>
    <xf numFmtId="1" fontId="0" fillId="0" borderId="70" xfId="0" applyNumberFormat="1" applyBorder="1" applyAlignment="1">
      <alignment horizontal="center"/>
    </xf>
    <xf numFmtId="1" fontId="0" fillId="0" borderId="6" xfId="0" applyNumberFormat="1" applyBorder="1" applyAlignment="1">
      <alignment horizontal="center"/>
    </xf>
    <xf numFmtId="173" fontId="0" fillId="0" borderId="66" xfId="0" applyNumberFormat="1" applyBorder="1" applyAlignment="1">
      <alignment horizontal="center"/>
    </xf>
    <xf numFmtId="173" fontId="0" fillId="0" borderId="47" xfId="0" applyNumberFormat="1" applyBorder="1" applyAlignment="1">
      <alignment horizontal="center"/>
    </xf>
    <xf numFmtId="0" fontId="0" fillId="0" borderId="37" xfId="0" applyBorder="1" applyAlignment="1">
      <alignment horizontal="left" vertical="center" wrapText="1"/>
    </xf>
    <xf numFmtId="0" fontId="14" fillId="6" borderId="45" xfId="0" applyFont="1" applyFill="1" applyBorder="1" applyAlignment="1">
      <alignment horizontal="center"/>
    </xf>
    <xf numFmtId="0" fontId="14" fillId="6" borderId="38" xfId="0" applyFont="1" applyFill="1" applyBorder="1" applyAlignment="1">
      <alignment horizontal="center"/>
    </xf>
    <xf numFmtId="0" fontId="14" fillId="6" borderId="73" xfId="0" applyFont="1" applyFill="1" applyBorder="1" applyAlignment="1">
      <alignment horizontal="center"/>
    </xf>
    <xf numFmtId="0" fontId="14" fillId="6" borderId="67" xfId="0" applyFont="1" applyFill="1" applyBorder="1" applyAlignment="1">
      <alignment horizontal="center"/>
    </xf>
    <xf numFmtId="0" fontId="14" fillId="6" borderId="33" xfId="0" applyFont="1" applyFill="1" applyBorder="1" applyAlignment="1">
      <alignment horizontal="center"/>
    </xf>
    <xf numFmtId="0" fontId="14" fillId="6" borderId="20" xfId="0" applyFont="1" applyFill="1" applyBorder="1" applyAlignment="1">
      <alignment horizontal="center" vertical="center" wrapText="1"/>
    </xf>
    <xf numFmtId="173" fontId="0" fillId="0" borderId="24" xfId="0" applyNumberFormat="1" applyBorder="1" applyAlignment="1">
      <alignment horizontal="center"/>
    </xf>
    <xf numFmtId="1" fontId="0" fillId="0" borderId="75" xfId="0" applyNumberFormat="1" applyBorder="1" applyAlignment="1">
      <alignment horizontal="center"/>
    </xf>
    <xf numFmtId="0" fontId="0" fillId="0" borderId="39" xfId="0" applyBorder="1" applyAlignment="1">
      <alignment horizontal="left" vertical="center" wrapText="1"/>
    </xf>
    <xf numFmtId="0" fontId="0" fillId="14" borderId="16" xfId="0" applyFill="1" applyBorder="1"/>
    <xf numFmtId="0" fontId="0" fillId="14" borderId="15" xfId="0" applyFill="1" applyBorder="1"/>
    <xf numFmtId="165" fontId="0" fillId="0" borderId="41" xfId="6" applyFont="1" applyBorder="1" applyAlignment="1">
      <alignment horizontal="center"/>
    </xf>
    <xf numFmtId="0" fontId="0" fillId="0" borderId="65" xfId="0" applyBorder="1"/>
    <xf numFmtId="0" fontId="0" fillId="0" borderId="37" xfId="0" applyBorder="1"/>
    <xf numFmtId="174" fontId="14" fillId="9" borderId="10" xfId="0" applyNumberFormat="1" applyFont="1" applyFill="1" applyBorder="1"/>
    <xf numFmtId="0" fontId="14" fillId="7" borderId="19" xfId="0" applyFont="1" applyFill="1" applyBorder="1" applyAlignment="1">
      <alignment horizontal="center"/>
    </xf>
    <xf numFmtId="165" fontId="0" fillId="7" borderId="62" xfId="0" applyNumberFormat="1" applyFill="1" applyBorder="1"/>
    <xf numFmtId="165" fontId="0" fillId="7" borderId="63" xfId="0" applyNumberFormat="1" applyFill="1" applyBorder="1"/>
    <xf numFmtId="165" fontId="0" fillId="7" borderId="57" xfId="0" applyNumberFormat="1" applyFill="1" applyBorder="1"/>
    <xf numFmtId="165" fontId="0" fillId="7" borderId="72" xfId="0" applyNumberFormat="1" applyFill="1" applyBorder="1"/>
    <xf numFmtId="174" fontId="0" fillId="7" borderId="41" xfId="0" applyNumberFormat="1" applyFill="1" applyBorder="1"/>
    <xf numFmtId="1" fontId="0" fillId="0" borderId="25" xfId="0" applyNumberFormat="1" applyBorder="1" applyAlignment="1">
      <alignment horizontal="center"/>
    </xf>
    <xf numFmtId="1" fontId="0" fillId="14" borderId="15" xfId="0" applyNumberFormat="1" applyFill="1" applyBorder="1"/>
    <xf numFmtId="1" fontId="0" fillId="0" borderId="78" xfId="0" applyNumberFormat="1" applyBorder="1" applyAlignment="1">
      <alignment horizontal="center"/>
    </xf>
    <xf numFmtId="1" fontId="0" fillId="0" borderId="41" xfId="0" applyNumberFormat="1" applyBorder="1" applyAlignment="1">
      <alignment horizontal="center"/>
    </xf>
    <xf numFmtId="165" fontId="0" fillId="0" borderId="77" xfId="6" applyFont="1" applyBorder="1" applyAlignment="1">
      <alignment horizontal="center"/>
    </xf>
    <xf numFmtId="165" fontId="0" fillId="7" borderId="10" xfId="0" applyNumberFormat="1" applyFill="1" applyBorder="1"/>
    <xf numFmtId="0" fontId="15" fillId="7" borderId="7" xfId="0" applyFont="1" applyFill="1" applyBorder="1" applyAlignment="1">
      <alignment horizontal="center" vertical="center" wrapText="1"/>
    </xf>
    <xf numFmtId="10" fontId="15" fillId="7" borderId="67" xfId="0" applyNumberFormat="1" applyFont="1" applyFill="1" applyBorder="1" applyAlignment="1">
      <alignment horizontal="center" vertical="center"/>
    </xf>
    <xf numFmtId="9" fontId="15" fillId="7" borderId="67" xfId="0" applyNumberFormat="1" applyFont="1" applyFill="1"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vertical="center"/>
    </xf>
    <xf numFmtId="0" fontId="0" fillId="2" borderId="35" xfId="0" applyFill="1" applyBorder="1"/>
    <xf numFmtId="0" fontId="0" fillId="2" borderId="40" xfId="0" applyFill="1" applyBorder="1"/>
    <xf numFmtId="0" fontId="15" fillId="7" borderId="70" xfId="0" applyFont="1" applyFill="1" applyBorder="1" applyAlignment="1">
      <alignment horizontal="center" vertical="center"/>
    </xf>
    <xf numFmtId="10" fontId="15" fillId="7" borderId="73" xfId="0" applyNumberFormat="1" applyFont="1" applyFill="1" applyBorder="1" applyAlignment="1">
      <alignment horizontal="center" vertical="center"/>
    </xf>
    <xf numFmtId="0" fontId="15" fillId="7" borderId="31" xfId="0" applyFont="1" applyFill="1" applyBorder="1" applyAlignment="1">
      <alignment horizontal="center" vertical="center" wrapText="1"/>
    </xf>
    <xf numFmtId="9" fontId="15" fillId="7" borderId="33" xfId="0" applyNumberFormat="1" applyFont="1" applyFill="1" applyBorder="1" applyAlignment="1">
      <alignment horizontal="center" vertical="center"/>
    </xf>
    <xf numFmtId="0" fontId="15" fillId="7" borderId="5" xfId="0" applyFont="1" applyFill="1" applyBorder="1" applyAlignment="1">
      <alignment horizontal="center" vertical="center"/>
    </xf>
    <xf numFmtId="173" fontId="14" fillId="7" borderId="5" xfId="0" applyNumberFormat="1" applyFont="1" applyFill="1" applyBorder="1" applyAlignment="1">
      <alignment horizontal="center"/>
    </xf>
    <xf numFmtId="171" fontId="0" fillId="2" borderId="5" xfId="0" applyNumberFormat="1" applyFill="1" applyBorder="1" applyAlignment="1">
      <alignment horizontal="right"/>
    </xf>
    <xf numFmtId="0" fontId="14" fillId="7" borderId="5" xfId="0" applyFont="1" applyFill="1" applyBorder="1" applyAlignment="1">
      <alignment horizontal="left"/>
    </xf>
    <xf numFmtId="171" fontId="14" fillId="9" borderId="5" xfId="0" applyNumberFormat="1" applyFont="1" applyFill="1" applyBorder="1" applyAlignment="1">
      <alignment horizontal="right"/>
    </xf>
    <xf numFmtId="171" fontId="0" fillId="0" borderId="5" xfId="0" applyNumberFormat="1" applyBorder="1" applyAlignment="1">
      <alignment horizontal="center"/>
    </xf>
    <xf numFmtId="171" fontId="0" fillId="0" borderId="39" xfId="0" applyNumberFormat="1" applyBorder="1" applyAlignment="1">
      <alignment horizontal="center"/>
    </xf>
    <xf numFmtId="171" fontId="0" fillId="0" borderId="40" xfId="0" applyNumberFormat="1" applyBorder="1" applyAlignment="1">
      <alignment horizontal="center"/>
    </xf>
    <xf numFmtId="171" fontId="0" fillId="0" borderId="48" xfId="0" applyNumberFormat="1" applyBorder="1" applyAlignment="1">
      <alignment horizontal="center"/>
    </xf>
    <xf numFmtId="0" fontId="14" fillId="7" borderId="65" xfId="0" applyFont="1" applyFill="1" applyBorder="1" applyAlignment="1">
      <alignment horizontal="center"/>
    </xf>
    <xf numFmtId="0" fontId="14" fillId="7" borderId="7" xfId="0" applyFont="1" applyFill="1" applyBorder="1" applyAlignment="1">
      <alignment horizontal="center"/>
    </xf>
    <xf numFmtId="0" fontId="14" fillId="7" borderId="66" xfId="0" applyFont="1" applyFill="1" applyBorder="1" applyAlignment="1">
      <alignment horizontal="center"/>
    </xf>
    <xf numFmtId="171" fontId="0" fillId="0" borderId="7" xfId="0" applyNumberFormat="1" applyBorder="1" applyAlignment="1">
      <alignment horizontal="center"/>
    </xf>
    <xf numFmtId="171" fontId="0" fillId="7" borderId="47" xfId="0" applyNumberFormat="1" applyFill="1" applyBorder="1"/>
    <xf numFmtId="0" fontId="15" fillId="7" borderId="39" xfId="0" applyFont="1" applyFill="1" applyBorder="1" applyAlignment="1">
      <alignment horizontal="center" vertical="center"/>
    </xf>
    <xf numFmtId="0" fontId="14" fillId="7" borderId="40" xfId="0" applyFont="1" applyFill="1" applyBorder="1" applyAlignment="1">
      <alignment horizontal="center"/>
    </xf>
    <xf numFmtId="173" fontId="14" fillId="7" borderId="40" xfId="0" applyNumberFormat="1" applyFont="1" applyFill="1" applyBorder="1" applyAlignment="1">
      <alignment horizontal="center"/>
    </xf>
    <xf numFmtId="171" fontId="14" fillId="9" borderId="48" xfId="0" applyNumberFormat="1" applyFont="1" applyFill="1" applyBorder="1"/>
    <xf numFmtId="0" fontId="15" fillId="7" borderId="37" xfId="0" applyFont="1" applyFill="1" applyBorder="1" applyAlignment="1">
      <alignment horizontal="center" vertical="center"/>
    </xf>
    <xf numFmtId="171" fontId="14" fillId="9" borderId="47" xfId="0" applyNumberFormat="1" applyFont="1" applyFill="1" applyBorder="1"/>
    <xf numFmtId="0" fontId="0" fillId="2" borderId="19" xfId="0" applyFill="1" applyBorder="1"/>
    <xf numFmtId="0" fontId="0" fillId="2" borderId="15" xfId="0" applyFill="1" applyBorder="1"/>
    <xf numFmtId="0" fontId="0" fillId="2" borderId="16" xfId="0" applyFill="1" applyBorder="1"/>
    <xf numFmtId="0" fontId="0" fillId="0" borderId="39" xfId="0" applyBorder="1" applyAlignment="1">
      <alignment vertical="center"/>
    </xf>
    <xf numFmtId="0" fontId="0" fillId="0" borderId="40" xfId="0" applyBorder="1" applyAlignment="1">
      <alignment horizontal="center"/>
    </xf>
    <xf numFmtId="171" fontId="14" fillId="9" borderId="10" xfId="0" applyNumberFormat="1" applyFont="1" applyFill="1" applyBorder="1" applyAlignment="1">
      <alignment horizontal="center"/>
    </xf>
    <xf numFmtId="0" fontId="17" fillId="0" borderId="0" xfId="0" applyFont="1"/>
    <xf numFmtId="171" fontId="0" fillId="0" borderId="47" xfId="0" applyNumberFormat="1" applyBorder="1" applyAlignment="1">
      <alignment horizontal="center"/>
    </xf>
    <xf numFmtId="171" fontId="0" fillId="0" borderId="38" xfId="0" applyNumberFormat="1" applyBorder="1" applyAlignment="1">
      <alignment horizontal="center"/>
    </xf>
    <xf numFmtId="0" fontId="0" fillId="0" borderId="70" xfId="0" applyBorder="1" applyAlignment="1">
      <alignment horizontal="center"/>
    </xf>
    <xf numFmtId="171" fontId="0" fillId="15" borderId="5" xfId="0" applyNumberFormat="1" applyFill="1" applyBorder="1" applyAlignment="1">
      <alignment horizontal="center"/>
    </xf>
    <xf numFmtId="171" fontId="0" fillId="15" borderId="5" xfId="0" applyNumberFormat="1" applyFill="1" applyBorder="1"/>
    <xf numFmtId="0" fontId="0" fillId="0" borderId="28" xfId="0" applyBorder="1" applyAlignment="1">
      <alignment horizontal="center"/>
    </xf>
    <xf numFmtId="171" fontId="0" fillId="15" borderId="37" xfId="0" applyNumberFormat="1" applyFill="1" applyBorder="1" applyAlignment="1">
      <alignment horizontal="center"/>
    </xf>
    <xf numFmtId="171" fontId="0" fillId="15" borderId="37" xfId="0" applyNumberFormat="1" applyFill="1" applyBorder="1"/>
    <xf numFmtId="171" fontId="0" fillId="15" borderId="47" xfId="0" applyNumberFormat="1" applyFill="1" applyBorder="1"/>
    <xf numFmtId="171" fontId="15" fillId="9" borderId="25" xfId="0" applyNumberFormat="1" applyFont="1" applyFill="1" applyBorder="1"/>
    <xf numFmtId="171" fontId="15" fillId="9" borderId="24" xfId="0" applyNumberFormat="1" applyFont="1" applyFill="1" applyBorder="1"/>
    <xf numFmtId="0" fontId="0" fillId="0" borderId="35" xfId="0" applyBorder="1" applyAlignment="1">
      <alignment horizontal="center"/>
    </xf>
    <xf numFmtId="171" fontId="0" fillId="0" borderId="35" xfId="0" applyNumberFormat="1" applyBorder="1" applyAlignment="1">
      <alignment horizontal="center"/>
    </xf>
    <xf numFmtId="0" fontId="0" fillId="0" borderId="26" xfId="0" applyBorder="1" applyAlignment="1">
      <alignment horizontal="center"/>
    </xf>
    <xf numFmtId="0" fontId="14" fillId="7" borderId="39" xfId="0" applyFont="1" applyFill="1" applyBorder="1" applyAlignment="1">
      <alignment horizontal="center" vertical="center"/>
    </xf>
    <xf numFmtId="0" fontId="14" fillId="7" borderId="40" xfId="0" applyFont="1" applyFill="1" applyBorder="1" applyAlignment="1">
      <alignment horizontal="center" vertical="center"/>
    </xf>
    <xf numFmtId="0" fontId="14" fillId="7" borderId="48" xfId="0" applyFont="1" applyFill="1" applyBorder="1" applyAlignment="1">
      <alignment horizontal="center" vertical="center"/>
    </xf>
    <xf numFmtId="171" fontId="15" fillId="9" borderId="75" xfId="0" applyNumberFormat="1" applyFont="1" applyFill="1" applyBorder="1"/>
    <xf numFmtId="0" fontId="0" fillId="0" borderId="6" xfId="0" applyBorder="1" applyAlignment="1">
      <alignment horizontal="center"/>
    </xf>
    <xf numFmtId="0" fontId="0" fillId="0" borderId="47" xfId="0" applyBorder="1"/>
    <xf numFmtId="171" fontId="0" fillId="0" borderId="66" xfId="0" applyNumberFormat="1" applyBorder="1" applyAlignment="1">
      <alignment horizontal="center"/>
    </xf>
    <xf numFmtId="0" fontId="14" fillId="7" borderId="75" xfId="0" applyFont="1" applyFill="1" applyBorder="1" applyAlignment="1">
      <alignment horizontal="center"/>
    </xf>
    <xf numFmtId="0" fontId="14" fillId="7" borderId="25" xfId="0" applyFont="1" applyFill="1" applyBorder="1" applyAlignment="1">
      <alignment horizontal="center"/>
    </xf>
    <xf numFmtId="0" fontId="14" fillId="7" borderId="24" xfId="0" applyFont="1" applyFill="1" applyBorder="1" applyAlignment="1">
      <alignment horizontal="center"/>
    </xf>
    <xf numFmtId="0" fontId="0" fillId="0" borderId="38" xfId="0" applyBorder="1"/>
    <xf numFmtId="0" fontId="0" fillId="0" borderId="73" xfId="0" applyBorder="1" applyAlignment="1">
      <alignment horizontal="center"/>
    </xf>
    <xf numFmtId="0" fontId="0" fillId="9" borderId="75" xfId="0" applyFill="1" applyBorder="1" applyAlignment="1">
      <alignment horizontal="center"/>
    </xf>
    <xf numFmtId="171" fontId="0" fillId="9" borderId="25" xfId="0" applyNumberFormat="1" applyFill="1" applyBorder="1" applyAlignment="1">
      <alignment horizontal="center"/>
    </xf>
    <xf numFmtId="171" fontId="0" fillId="9" borderId="24" xfId="0" applyNumberFormat="1" applyFill="1" applyBorder="1" applyAlignment="1">
      <alignment horizontal="center"/>
    </xf>
    <xf numFmtId="171" fontId="0" fillId="0" borderId="79" xfId="0" applyNumberFormat="1" applyBorder="1" applyAlignment="1">
      <alignment horizontal="center"/>
    </xf>
    <xf numFmtId="171" fontId="0" fillId="0" borderId="30" xfId="0" applyNumberFormat="1" applyBorder="1" applyAlignment="1">
      <alignment horizontal="center"/>
    </xf>
    <xf numFmtId="171" fontId="0" fillId="0" borderId="50" xfId="0" applyNumberFormat="1" applyBorder="1" applyAlignment="1">
      <alignment horizontal="center"/>
    </xf>
    <xf numFmtId="165" fontId="0" fillId="2" borderId="0" xfId="6" applyFont="1" applyFill="1"/>
    <xf numFmtId="164" fontId="0" fillId="2" borderId="0" xfId="0" applyNumberFormat="1" applyFill="1"/>
    <xf numFmtId="171" fontId="14" fillId="9" borderId="34" xfId="0" applyNumberFormat="1" applyFont="1" applyFill="1" applyBorder="1"/>
    <xf numFmtId="171" fontId="14" fillId="9" borderId="37" xfId="0" applyNumberFormat="1" applyFont="1" applyFill="1" applyBorder="1"/>
    <xf numFmtId="175" fontId="14" fillId="12" borderId="47" xfId="0" applyNumberFormat="1" applyFont="1" applyFill="1" applyBorder="1" applyAlignment="1">
      <alignment horizontal="center"/>
    </xf>
    <xf numFmtId="171" fontId="14" fillId="9" borderId="39" xfId="0" applyNumberFormat="1" applyFont="1" applyFill="1" applyBorder="1"/>
    <xf numFmtId="165" fontId="14" fillId="2" borderId="0" xfId="6" applyFont="1" applyFill="1" applyBorder="1" applyAlignment="1">
      <alignment horizontal="center"/>
    </xf>
    <xf numFmtId="0" fontId="15" fillId="2" borderId="7" xfId="0" applyFont="1" applyFill="1" applyBorder="1" applyAlignment="1">
      <alignment horizontal="center"/>
    </xf>
    <xf numFmtId="0" fontId="0" fillId="2" borderId="7" xfId="0" applyFill="1" applyBorder="1" applyAlignment="1">
      <alignment horizontal="center" vertical="center"/>
    </xf>
    <xf numFmtId="0" fontId="0" fillId="9" borderId="28" xfId="0" applyFill="1" applyBorder="1"/>
    <xf numFmtId="0" fontId="0" fillId="9" borderId="6" xfId="0" applyFill="1" applyBorder="1"/>
    <xf numFmtId="0" fontId="29" fillId="6" borderId="29" xfId="0" applyFont="1" applyFill="1" applyBorder="1" applyAlignment="1">
      <alignment vertical="center"/>
    </xf>
    <xf numFmtId="0" fontId="29" fillId="6" borderId="6" xfId="0" applyFont="1" applyFill="1" applyBorder="1" applyAlignment="1">
      <alignment vertical="center"/>
    </xf>
    <xf numFmtId="10" fontId="0" fillId="2" borderId="5" xfId="0" applyNumberFormat="1" applyFill="1" applyBorder="1" applyAlignment="1">
      <alignment horizontal="center"/>
    </xf>
    <xf numFmtId="175" fontId="0" fillId="2" borderId="5" xfId="0" applyNumberFormat="1" applyFill="1" applyBorder="1" applyAlignment="1">
      <alignment horizontal="center"/>
    </xf>
    <xf numFmtId="167" fontId="0" fillId="2" borderId="5" xfId="0" applyNumberFormat="1" applyFill="1" applyBorder="1" applyAlignment="1">
      <alignment horizontal="center"/>
    </xf>
    <xf numFmtId="0" fontId="0" fillId="2" borderId="7" xfId="0" applyFill="1" applyBorder="1" applyAlignment="1">
      <alignment horizontal="center"/>
    </xf>
    <xf numFmtId="0" fontId="14" fillId="6" borderId="28" xfId="0" applyFont="1" applyFill="1" applyBorder="1" applyAlignment="1">
      <alignment horizontal="center" vertical="center" wrapText="1"/>
    </xf>
    <xf numFmtId="171" fontId="0" fillId="6" borderId="5" xfId="0" applyNumberFormat="1" applyFill="1" applyBorder="1"/>
    <xf numFmtId="0" fontId="0" fillId="6" borderId="5" xfId="0" applyFill="1" applyBorder="1" applyAlignment="1">
      <alignment horizontal="center"/>
    </xf>
    <xf numFmtId="0" fontId="0" fillId="6" borderId="28" xfId="0" applyFill="1" applyBorder="1" applyAlignment="1">
      <alignment vertical="center"/>
    </xf>
    <xf numFmtId="0" fontId="0" fillId="6" borderId="6" xfId="0" applyFill="1" applyBorder="1" applyAlignment="1">
      <alignment vertical="center"/>
    </xf>
    <xf numFmtId="0" fontId="0" fillId="6" borderId="5" xfId="0" applyFill="1" applyBorder="1"/>
    <xf numFmtId="0" fontId="0" fillId="6" borderId="28" xfId="0" applyFill="1" applyBorder="1"/>
    <xf numFmtId="0" fontId="0" fillId="6" borderId="6" xfId="0" applyFill="1" applyBorder="1"/>
    <xf numFmtId="0" fontId="0" fillId="2" borderId="6" xfId="0" applyFill="1" applyBorder="1" applyAlignment="1">
      <alignment horizontal="center" vertical="center"/>
    </xf>
    <xf numFmtId="171" fontId="0" fillId="2" borderId="5" xfId="0" applyNumberFormat="1" applyFill="1" applyBorder="1" applyAlignment="1">
      <alignment horizontal="center" vertical="center"/>
    </xf>
    <xf numFmtId="0" fontId="0" fillId="9" borderId="5" xfId="0" applyFill="1" applyBorder="1" applyAlignment="1">
      <alignment horizontal="center" vertical="center"/>
    </xf>
    <xf numFmtId="171" fontId="0" fillId="9" borderId="5" xfId="0" applyNumberFormat="1" applyFill="1" applyBorder="1" applyAlignment="1">
      <alignment horizontal="center" vertical="center"/>
    </xf>
    <xf numFmtId="0" fontId="14" fillId="6" borderId="28" xfId="0" applyFont="1" applyFill="1" applyBorder="1"/>
    <xf numFmtId="0" fontId="25" fillId="6" borderId="28" xfId="0" applyFont="1" applyFill="1" applyBorder="1" applyAlignment="1">
      <alignment vertical="center"/>
    </xf>
    <xf numFmtId="171" fontId="0" fillId="6" borderId="5" xfId="0" applyNumberFormat="1" applyFill="1" applyBorder="1" applyAlignment="1">
      <alignment horizontal="center"/>
    </xf>
    <xf numFmtId="171" fontId="0" fillId="2" borderId="37" xfId="0" applyNumberFormat="1" applyFill="1" applyBorder="1" applyAlignment="1">
      <alignment horizontal="center"/>
    </xf>
    <xf numFmtId="171" fontId="0" fillId="2" borderId="47" xfId="0" applyNumberFormat="1" applyFill="1" applyBorder="1" applyAlignment="1">
      <alignment horizontal="center"/>
    </xf>
    <xf numFmtId="0" fontId="18" fillId="2" borderId="0" xfId="0" applyFont="1" applyFill="1" applyAlignment="1">
      <alignment horizontal="center" vertical="center"/>
    </xf>
    <xf numFmtId="0" fontId="19" fillId="2" borderId="0" xfId="0" applyFont="1" applyFill="1" applyAlignment="1">
      <alignment horizontal="center" vertical="center"/>
    </xf>
    <xf numFmtId="0" fontId="0" fillId="2" borderId="17" xfId="0" applyFill="1" applyBorder="1"/>
    <xf numFmtId="0" fontId="0" fillId="2" borderId="12" xfId="0" applyFill="1" applyBorder="1"/>
    <xf numFmtId="0" fontId="0" fillId="2" borderId="13" xfId="0" applyFill="1" applyBorder="1"/>
    <xf numFmtId="0" fontId="0" fillId="2" borderId="18" xfId="0" applyFill="1" applyBorder="1"/>
    <xf numFmtId="0" fontId="0" fillId="2" borderId="14" xfId="0" applyFill="1" applyBorder="1"/>
    <xf numFmtId="171" fontId="14" fillId="16" borderId="5" xfId="0" applyNumberFormat="1" applyFont="1" applyFill="1" applyBorder="1" applyAlignment="1">
      <alignment horizontal="center" vertical="center"/>
    </xf>
    <xf numFmtId="171" fontId="14" fillId="6" borderId="5" xfId="0" applyNumberFormat="1" applyFont="1" applyFill="1" applyBorder="1" applyAlignment="1">
      <alignment horizontal="right"/>
    </xf>
    <xf numFmtId="9" fontId="14" fillId="2" borderId="5" xfId="0" applyNumberFormat="1" applyFont="1" applyFill="1" applyBorder="1" applyAlignment="1">
      <alignment horizontal="center"/>
    </xf>
    <xf numFmtId="175" fontId="14" fillId="2" borderId="5" xfId="0" applyNumberFormat="1" applyFont="1" applyFill="1" applyBorder="1" applyAlignment="1">
      <alignment horizontal="center"/>
    </xf>
    <xf numFmtId="167" fontId="14" fillId="2" borderId="5" xfId="0" applyNumberFormat="1" applyFont="1" applyFill="1" applyBorder="1" applyAlignment="1">
      <alignment horizontal="center"/>
    </xf>
    <xf numFmtId="0" fontId="0" fillId="2" borderId="0" xfId="0" applyFill="1" applyAlignment="1">
      <alignment horizontal="left" vertical="center" wrapText="1"/>
    </xf>
    <xf numFmtId="0" fontId="14" fillId="6" borderId="39" xfId="0" applyFont="1" applyFill="1" applyBorder="1" applyAlignment="1">
      <alignment horizontal="center"/>
    </xf>
    <xf numFmtId="0" fontId="14" fillId="6" borderId="40" xfId="0" applyFont="1" applyFill="1" applyBorder="1" applyAlignment="1">
      <alignment horizontal="center" vertical="center" wrapText="1"/>
    </xf>
    <xf numFmtId="0" fontId="14" fillId="6" borderId="40" xfId="0" applyFont="1" applyFill="1" applyBorder="1" applyAlignment="1">
      <alignment horizontal="center"/>
    </xf>
    <xf numFmtId="0" fontId="14" fillId="6" borderId="48" xfId="0" applyFont="1" applyFill="1" applyBorder="1" applyAlignment="1">
      <alignment horizontal="center"/>
    </xf>
    <xf numFmtId="0" fontId="14" fillId="6" borderId="61" xfId="0" applyFont="1" applyFill="1" applyBorder="1" applyAlignment="1">
      <alignment horizontal="center" vertical="center"/>
    </xf>
    <xf numFmtId="0" fontId="14" fillId="6" borderId="62" xfId="0" applyFont="1" applyFill="1" applyBorder="1" applyAlignment="1">
      <alignment horizontal="center" vertical="center"/>
    </xf>
    <xf numFmtId="0" fontId="14" fillId="6" borderId="71" xfId="0" applyFont="1" applyFill="1" applyBorder="1" applyAlignment="1">
      <alignment horizontal="center" vertical="center"/>
    </xf>
    <xf numFmtId="0" fontId="14" fillId="6" borderId="72" xfId="0" applyFont="1" applyFill="1" applyBorder="1" applyAlignment="1">
      <alignment horizontal="center" vertical="center"/>
    </xf>
    <xf numFmtId="0" fontId="14" fillId="6" borderId="57" xfId="0" applyFont="1" applyFill="1" applyBorder="1" applyAlignment="1">
      <alignment horizontal="center" vertical="center"/>
    </xf>
    <xf numFmtId="171" fontId="14" fillId="11" borderId="5" xfId="0" applyNumberFormat="1" applyFont="1" applyFill="1" applyBorder="1" applyAlignment="1">
      <alignment horizontal="center" vertical="center"/>
    </xf>
    <xf numFmtId="2" fontId="0" fillId="11" borderId="5" xfId="0" applyNumberFormat="1" applyFill="1" applyBorder="1" applyAlignment="1">
      <alignment horizontal="center"/>
    </xf>
    <xf numFmtId="171" fontId="0" fillId="6" borderId="65" xfId="0" applyNumberFormat="1" applyFill="1" applyBorder="1"/>
    <xf numFmtId="9" fontId="0" fillId="2" borderId="66" xfId="0" applyNumberFormat="1" applyFill="1" applyBorder="1" applyAlignment="1">
      <alignment horizontal="center"/>
    </xf>
    <xf numFmtId="171" fontId="0" fillId="6" borderId="37" xfId="0" applyNumberFormat="1" applyFill="1" applyBorder="1"/>
    <xf numFmtId="175" fontId="0" fillId="2" borderId="47" xfId="0" applyNumberFormat="1" applyFill="1" applyBorder="1" applyAlignment="1">
      <alignment horizontal="center"/>
    </xf>
    <xf numFmtId="171" fontId="0" fillId="6" borderId="39" xfId="0" applyNumberFormat="1" applyFill="1" applyBorder="1"/>
    <xf numFmtId="167" fontId="0" fillId="2" borderId="48" xfId="0" applyNumberFormat="1" applyFill="1" applyBorder="1" applyAlignment="1">
      <alignment horizontal="center"/>
    </xf>
    <xf numFmtId="0" fontId="0" fillId="2" borderId="7" xfId="0" applyFill="1" applyBorder="1" applyAlignment="1">
      <alignment horizontal="left"/>
    </xf>
    <xf numFmtId="2" fontId="0" fillId="2" borderId="5" xfId="0" applyNumberFormat="1" applyFill="1" applyBorder="1" applyAlignment="1">
      <alignment horizontal="left"/>
    </xf>
    <xf numFmtId="166" fontId="0" fillId="2" borderId="0" xfId="2" applyFont="1" applyFill="1"/>
    <xf numFmtId="0" fontId="30" fillId="17" borderId="57" xfId="0" applyFont="1" applyFill="1" applyBorder="1" applyAlignment="1">
      <alignment horizontal="center"/>
    </xf>
    <xf numFmtId="171" fontId="14" fillId="18" borderId="5" xfId="0" applyNumberFormat="1" applyFont="1" applyFill="1" applyBorder="1" applyAlignment="1">
      <alignment horizontal="center" vertical="center"/>
    </xf>
    <xf numFmtId="171" fontId="14" fillId="13" borderId="5" xfId="0" applyNumberFormat="1" applyFont="1" applyFill="1" applyBorder="1" applyAlignment="1">
      <alignment horizontal="center" vertical="center"/>
    </xf>
    <xf numFmtId="171" fontId="14" fillId="17" borderId="5" xfId="0" applyNumberFormat="1" applyFont="1" applyFill="1" applyBorder="1" applyAlignment="1">
      <alignment horizontal="center" vertical="center"/>
    </xf>
    <xf numFmtId="0" fontId="11" fillId="0" borderId="1" xfId="0" applyFont="1" applyBorder="1" applyAlignment="1">
      <alignment horizontal="center"/>
    </xf>
    <xf numFmtId="0" fontId="10" fillId="0" borderId="2" xfId="1" applyFont="1" applyFill="1" applyBorder="1" applyAlignment="1">
      <alignment horizontal="center" vertical="center"/>
    </xf>
    <xf numFmtId="0" fontId="10" fillId="0" borderId="3" xfId="1" applyFont="1" applyFill="1" applyBorder="1" applyAlignment="1">
      <alignment horizontal="center" vertical="center"/>
    </xf>
    <xf numFmtId="0" fontId="10" fillId="0" borderId="4" xfId="1" applyFont="1" applyFill="1" applyBorder="1" applyAlignment="1">
      <alignment horizontal="center" vertical="center"/>
    </xf>
    <xf numFmtId="0" fontId="0" fillId="19" borderId="0" xfId="0" applyFill="1"/>
    <xf numFmtId="0" fontId="0" fillId="20" borderId="0" xfId="0" applyFill="1"/>
    <xf numFmtId="0" fontId="0" fillId="21" borderId="0" xfId="0" applyFill="1"/>
    <xf numFmtId="0" fontId="18" fillId="21" borderId="0" xfId="0" applyFont="1" applyFill="1" applyAlignment="1">
      <alignment horizontal="center" vertical="center"/>
    </xf>
    <xf numFmtId="0" fontId="19" fillId="21" borderId="0" xfId="0" applyFont="1" applyFill="1" applyAlignment="1">
      <alignment horizontal="center" vertical="center"/>
    </xf>
    <xf numFmtId="0" fontId="18" fillId="19" borderId="0" xfId="0" applyFont="1" applyFill="1" applyAlignment="1">
      <alignment vertical="center"/>
    </xf>
    <xf numFmtId="0" fontId="8" fillId="19" borderId="0" xfId="0" applyFont="1" applyFill="1" applyAlignment="1">
      <alignment vertical="center"/>
    </xf>
    <xf numFmtId="0" fontId="18" fillId="20" borderId="0" xfId="0" applyFont="1" applyFill="1" applyAlignment="1">
      <alignment vertical="center"/>
    </xf>
    <xf numFmtId="0" fontId="8" fillId="20" borderId="0" xfId="0" applyFont="1" applyFill="1" applyAlignment="1">
      <alignment vertical="center"/>
    </xf>
    <xf numFmtId="0" fontId="18" fillId="21" borderId="0" xfId="0" applyFont="1" applyFill="1" applyAlignment="1">
      <alignment vertical="center"/>
    </xf>
    <xf numFmtId="0" fontId="8" fillId="21" borderId="0" xfId="0" applyFont="1" applyFill="1" applyAlignment="1">
      <alignment vertical="center"/>
    </xf>
    <xf numFmtId="0" fontId="0" fillId="21" borderId="0" xfId="0" applyFill="1" applyAlignment="1">
      <alignment wrapText="1"/>
    </xf>
    <xf numFmtId="0" fontId="9" fillId="21" borderId="0" xfId="0" applyFont="1" applyFill="1" applyAlignment="1">
      <alignment vertical="center"/>
    </xf>
    <xf numFmtId="10" fontId="14" fillId="12" borderId="51" xfId="0" applyNumberFormat="1" applyFont="1" applyFill="1" applyBorder="1" applyAlignment="1">
      <alignment horizontal="center"/>
    </xf>
    <xf numFmtId="0" fontId="10" fillId="2" borderId="0" xfId="0" applyFont="1" applyFill="1"/>
    <xf numFmtId="171" fontId="0" fillId="0" borderId="28" xfId="0" applyNumberFormat="1" applyBorder="1" applyAlignment="1">
      <alignment horizontal="center"/>
    </xf>
    <xf numFmtId="0" fontId="0" fillId="22" borderId="6" xfId="0" applyFill="1" applyBorder="1" applyAlignment="1">
      <alignment horizontal="center"/>
    </xf>
    <xf numFmtId="171" fontId="0" fillId="22" borderId="5" xfId="0" applyNumberFormat="1" applyFill="1" applyBorder="1" applyAlignment="1">
      <alignment horizontal="center"/>
    </xf>
    <xf numFmtId="171" fontId="0" fillId="22" borderId="47" xfId="0" applyNumberFormat="1" applyFill="1" applyBorder="1" applyAlignment="1">
      <alignment horizontal="center"/>
    </xf>
    <xf numFmtId="171" fontId="0" fillId="20" borderId="75" xfId="0" applyNumberFormat="1" applyFill="1" applyBorder="1" applyAlignment="1">
      <alignment horizontal="center"/>
    </xf>
    <xf numFmtId="171" fontId="0" fillId="20" borderId="25" xfId="0" applyNumberFormat="1" applyFill="1" applyBorder="1" applyAlignment="1">
      <alignment horizontal="center"/>
    </xf>
    <xf numFmtId="171" fontId="0" fillId="20" borderId="24" xfId="0" applyNumberFormat="1" applyFill="1" applyBorder="1" applyAlignment="1">
      <alignment horizontal="center"/>
    </xf>
    <xf numFmtId="9" fontId="0" fillId="2" borderId="0" xfId="0" applyNumberFormat="1" applyFill="1"/>
    <xf numFmtId="176" fontId="14" fillId="12" borderId="48" xfId="0" applyNumberFormat="1" applyFont="1" applyFill="1" applyBorder="1" applyAlignment="1">
      <alignment horizontal="center"/>
    </xf>
    <xf numFmtId="0" fontId="22" fillId="7" borderId="0" xfId="0" applyFont="1" applyFill="1" applyAlignment="1">
      <alignment vertical="center" wrapText="1"/>
    </xf>
    <xf numFmtId="0" fontId="22" fillId="2" borderId="0" xfId="0" applyFont="1" applyFill="1" applyAlignment="1">
      <alignment horizontal="center" vertical="center" wrapText="1"/>
    </xf>
    <xf numFmtId="0" fontId="22" fillId="2" borderId="0" xfId="0" applyFont="1" applyFill="1" applyAlignment="1">
      <alignment vertical="center" wrapText="1"/>
    </xf>
    <xf numFmtId="170" fontId="15" fillId="2" borderId="0" xfId="0" applyNumberFormat="1" applyFont="1" applyFill="1"/>
    <xf numFmtId="0" fontId="15" fillId="2" borderId="0" xfId="0" applyFont="1" applyFill="1" applyAlignment="1">
      <alignment vertical="center" wrapText="1"/>
    </xf>
    <xf numFmtId="170" fontId="15" fillId="2" borderId="0" xfId="0" applyNumberFormat="1" applyFont="1" applyFill="1" applyAlignment="1">
      <alignment vertical="center"/>
    </xf>
    <xf numFmtId="166" fontId="3" fillId="10" borderId="34" xfId="2" applyFont="1" applyFill="1" applyBorder="1" applyAlignment="1"/>
    <xf numFmtId="0" fontId="14" fillId="2" borderId="22" xfId="0" applyFont="1" applyFill="1" applyBorder="1" applyAlignment="1">
      <alignment horizontal="center" vertical="center"/>
    </xf>
    <xf numFmtId="0" fontId="0" fillId="2" borderId="61" xfId="0" applyFill="1" applyBorder="1" applyAlignment="1">
      <alignment horizontal="left" wrapText="1"/>
    </xf>
    <xf numFmtId="171" fontId="0" fillId="2" borderId="71" xfId="0" applyNumberFormat="1" applyFill="1" applyBorder="1" applyAlignment="1">
      <alignment horizontal="left" wrapText="1"/>
    </xf>
    <xf numFmtId="171" fontId="0" fillId="2" borderId="61" xfId="0" applyNumberFormat="1" applyFill="1" applyBorder="1" applyAlignment="1">
      <alignment horizontal="left" wrapText="1"/>
    </xf>
    <xf numFmtId="171" fontId="0" fillId="2" borderId="61" xfId="0" applyNumberFormat="1" applyFill="1" applyBorder="1"/>
    <xf numFmtId="0" fontId="14" fillId="2" borderId="60" xfId="0" applyFont="1" applyFill="1" applyBorder="1" applyAlignment="1">
      <alignment horizontal="center" vertical="center"/>
    </xf>
    <xf numFmtId="171" fontId="0" fillId="2" borderId="63" xfId="0" applyNumberFormat="1" applyFill="1" applyBorder="1"/>
    <xf numFmtId="8" fontId="0" fillId="2" borderId="0" xfId="0" applyNumberFormat="1" applyFill="1"/>
    <xf numFmtId="0" fontId="14" fillId="6" borderId="32" xfId="0" applyFont="1" applyFill="1" applyBorder="1" applyAlignment="1">
      <alignment horizontal="center" vertical="center" wrapText="1"/>
    </xf>
    <xf numFmtId="171" fontId="0" fillId="2" borderId="63" xfId="0" applyNumberFormat="1" applyFill="1" applyBorder="1" applyAlignment="1">
      <alignment horizontal="left" wrapText="1"/>
    </xf>
    <xf numFmtId="0" fontId="24" fillId="6" borderId="62" xfId="0" applyFont="1" applyFill="1" applyBorder="1" applyAlignment="1">
      <alignment horizontal="center" vertical="center" wrapText="1"/>
    </xf>
    <xf numFmtId="0" fontId="24" fillId="6" borderId="8" xfId="0" applyFont="1" applyFill="1" applyBorder="1" applyAlignment="1">
      <alignment horizontal="center" vertical="center"/>
    </xf>
    <xf numFmtId="0" fontId="24" fillId="6" borderId="10" xfId="0" applyFont="1" applyFill="1" applyBorder="1" applyAlignment="1">
      <alignment horizontal="center" vertical="center"/>
    </xf>
    <xf numFmtId="0" fontId="0" fillId="10" borderId="51" xfId="0" applyFill="1" applyBorder="1" applyAlignment="1">
      <alignment wrapText="1"/>
    </xf>
    <xf numFmtId="0" fontId="15" fillId="10" borderId="45" xfId="0" applyFont="1" applyFill="1" applyBorder="1"/>
    <xf numFmtId="170" fontId="15" fillId="10" borderId="67" xfId="0" applyNumberFormat="1" applyFont="1" applyFill="1" applyBorder="1"/>
    <xf numFmtId="0" fontId="0" fillId="10" borderId="38" xfId="0" applyFill="1" applyBorder="1"/>
    <xf numFmtId="165" fontId="0" fillId="10" borderId="31" xfId="6" applyFont="1" applyFill="1" applyBorder="1"/>
    <xf numFmtId="165" fontId="0" fillId="10" borderId="33" xfId="6" applyFont="1" applyFill="1" applyBorder="1"/>
    <xf numFmtId="166" fontId="2" fillId="10" borderId="65" xfId="2" applyFont="1" applyFill="1" applyBorder="1" applyAlignment="1"/>
    <xf numFmtId="166" fontId="2" fillId="10" borderId="37" xfId="2" applyFont="1" applyFill="1" applyBorder="1" applyAlignment="1"/>
    <xf numFmtId="166" fontId="2" fillId="10" borderId="45" xfId="2" applyFont="1" applyFill="1" applyBorder="1" applyAlignment="1"/>
    <xf numFmtId="166" fontId="2" fillId="10" borderId="39" xfId="2" applyFont="1" applyFill="1" applyBorder="1" applyAlignment="1"/>
    <xf numFmtId="169" fontId="0" fillId="10" borderId="27" xfId="0" applyNumberFormat="1" applyFill="1" applyBorder="1"/>
    <xf numFmtId="169" fontId="0" fillId="10" borderId="6" xfId="0" applyNumberFormat="1" applyFill="1" applyBorder="1"/>
    <xf numFmtId="169" fontId="0" fillId="10" borderId="58" xfId="0" applyNumberFormat="1" applyFill="1" applyBorder="1"/>
    <xf numFmtId="166" fontId="15" fillId="13" borderId="65" xfId="2" applyFont="1" applyFill="1" applyBorder="1" applyAlignment="1">
      <alignment horizontal="left" wrapText="1"/>
    </xf>
    <xf numFmtId="165" fontId="0" fillId="13" borderId="7" xfId="0" applyNumberFormat="1" applyFill="1" applyBorder="1" applyAlignment="1">
      <alignment wrapText="1"/>
    </xf>
    <xf numFmtId="166" fontId="15" fillId="13" borderId="45" xfId="2" applyFont="1" applyFill="1" applyBorder="1" applyAlignment="1">
      <alignment horizontal="left" wrapText="1"/>
    </xf>
    <xf numFmtId="165" fontId="0" fillId="13" borderId="67" xfId="0" applyNumberFormat="1" applyFill="1" applyBorder="1" applyAlignment="1">
      <alignment wrapText="1"/>
    </xf>
    <xf numFmtId="0" fontId="14" fillId="6" borderId="57" xfId="0" applyFont="1" applyFill="1" applyBorder="1" applyAlignment="1">
      <alignment horizontal="center" vertical="center" wrapText="1"/>
    </xf>
    <xf numFmtId="0" fontId="0" fillId="0" borderId="57" xfId="0" applyBorder="1"/>
    <xf numFmtId="165" fontId="0" fillId="2" borderId="5" xfId="6" applyFont="1" applyFill="1" applyBorder="1"/>
    <xf numFmtId="165" fontId="0" fillId="2" borderId="35" xfId="6" applyFont="1" applyFill="1" applyBorder="1"/>
    <xf numFmtId="165" fontId="14" fillId="7" borderId="51" xfId="6" applyFont="1" applyFill="1" applyBorder="1"/>
    <xf numFmtId="165" fontId="14" fillId="7" borderId="47" xfId="6" applyFont="1" applyFill="1" applyBorder="1"/>
    <xf numFmtId="165" fontId="0" fillId="2" borderId="40" xfId="6" applyFont="1" applyFill="1" applyBorder="1"/>
    <xf numFmtId="165" fontId="14" fillId="7" borderId="48" xfId="6" applyFont="1" applyFill="1" applyBorder="1"/>
    <xf numFmtId="165" fontId="0" fillId="0" borderId="25" xfId="6" applyFont="1" applyBorder="1" applyAlignment="1">
      <alignment horizontal="left" vertical="center"/>
    </xf>
    <xf numFmtId="165" fontId="14" fillId="7" borderId="24" xfId="6" applyFont="1" applyFill="1" applyBorder="1"/>
    <xf numFmtId="165" fontId="29" fillId="24" borderId="5" xfId="0" applyNumberFormat="1" applyFont="1" applyFill="1" applyBorder="1"/>
    <xf numFmtId="165" fontId="29" fillId="24" borderId="40" xfId="0" applyNumberFormat="1" applyFont="1" applyFill="1" applyBorder="1"/>
    <xf numFmtId="171" fontId="0" fillId="0" borderId="51" xfId="0" applyNumberFormat="1" applyBorder="1" applyAlignment="1">
      <alignment horizontal="center"/>
    </xf>
    <xf numFmtId="0" fontId="0" fillId="2" borderId="35" xfId="0" applyFill="1" applyBorder="1" applyAlignment="1">
      <alignment horizontal="center" vertical="center"/>
    </xf>
    <xf numFmtId="171" fontId="0" fillId="0" borderId="26" xfId="0" applyNumberFormat="1" applyBorder="1" applyAlignment="1">
      <alignment horizontal="center"/>
    </xf>
    <xf numFmtId="171" fontId="0" fillId="0" borderId="43" xfId="0" applyNumberFormat="1" applyBorder="1" applyAlignment="1">
      <alignment horizontal="center"/>
    </xf>
    <xf numFmtId="0" fontId="6" fillId="0" borderId="63" xfId="1" applyBorder="1"/>
    <xf numFmtId="0" fontId="6" fillId="2" borderId="61" xfId="1" applyFill="1" applyBorder="1" applyAlignment="1">
      <alignment vertical="center"/>
    </xf>
    <xf numFmtId="0" fontId="6" fillId="2" borderId="72" xfId="1" applyFill="1" applyBorder="1" applyAlignment="1">
      <alignment vertical="center"/>
    </xf>
    <xf numFmtId="177" fontId="34" fillId="2" borderId="0" xfId="0" applyNumberFormat="1" applyFont="1" applyFill="1"/>
    <xf numFmtId="1" fontId="34" fillId="2" borderId="0" xfId="0" applyNumberFormat="1" applyFont="1" applyFill="1"/>
    <xf numFmtId="1" fontId="34" fillId="2" borderId="0" xfId="0" applyNumberFormat="1" applyFont="1" applyFill="1" applyAlignment="1">
      <alignment wrapText="1"/>
    </xf>
    <xf numFmtId="0" fontId="14" fillId="6" borderId="8" xfId="0" applyFont="1" applyFill="1" applyBorder="1" applyAlignment="1">
      <alignment horizontal="center" vertical="center" wrapText="1"/>
    </xf>
    <xf numFmtId="177" fontId="34" fillId="2" borderId="46" xfId="0" applyNumberFormat="1" applyFont="1" applyFill="1" applyBorder="1"/>
    <xf numFmtId="1" fontId="34" fillId="2" borderId="40" xfId="0" applyNumberFormat="1" applyFont="1" applyFill="1" applyBorder="1"/>
    <xf numFmtId="1" fontId="34" fillId="2" borderId="40" xfId="0" applyNumberFormat="1" applyFont="1" applyFill="1" applyBorder="1" applyAlignment="1">
      <alignment wrapText="1"/>
    </xf>
    <xf numFmtId="1" fontId="34" fillId="2" borderId="48" xfId="0" applyNumberFormat="1" applyFont="1" applyFill="1" applyBorder="1" applyAlignment="1">
      <alignment wrapText="1"/>
    </xf>
    <xf numFmtId="171" fontId="0" fillId="0" borderId="33" xfId="0" applyNumberFormat="1" applyBorder="1" applyAlignment="1">
      <alignment horizontal="center"/>
    </xf>
    <xf numFmtId="0" fontId="0" fillId="0" borderId="25" xfId="0" applyBorder="1" applyAlignment="1">
      <alignment horizontal="left" vertical="center" wrapText="1"/>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79" xfId="0" applyBorder="1" applyAlignment="1">
      <alignment horizontal="left" vertical="center" wrapText="1"/>
    </xf>
    <xf numFmtId="0" fontId="0" fillId="0" borderId="30" xfId="0" applyBorder="1" applyAlignment="1">
      <alignment horizontal="left" vertical="center" wrapText="1"/>
    </xf>
    <xf numFmtId="0" fontId="0" fillId="0" borderId="30" xfId="0" applyBorder="1" applyAlignment="1">
      <alignment horizontal="center" vertical="center"/>
    </xf>
    <xf numFmtId="0" fontId="0" fillId="0" borderId="50" xfId="0" applyBorder="1" applyAlignment="1">
      <alignment horizontal="center" vertical="center"/>
    </xf>
    <xf numFmtId="0" fontId="0" fillId="0" borderId="75" xfId="0" applyBorder="1" applyAlignment="1">
      <alignment horizontal="left" vertical="center" wrapText="1"/>
    </xf>
    <xf numFmtId="0" fontId="0" fillId="0" borderId="70"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center" vertical="center"/>
    </xf>
    <xf numFmtId="0" fontId="0" fillId="0" borderId="66" xfId="0" applyBorder="1" applyAlignment="1">
      <alignment horizontal="center"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47" xfId="0" applyBorder="1" applyAlignment="1">
      <alignment horizontal="center" vertical="center"/>
    </xf>
    <xf numFmtId="0" fontId="0" fillId="0" borderId="5" xfId="0" applyBorder="1" applyAlignment="1">
      <alignment vertical="center" wrapText="1"/>
    </xf>
    <xf numFmtId="0" fontId="0" fillId="0" borderId="73" xfId="0" applyBorder="1" applyAlignment="1">
      <alignment horizontal="left" vertical="center" wrapText="1"/>
    </xf>
    <xf numFmtId="0" fontId="0" fillId="0" borderId="67" xfId="0" applyBorder="1" applyAlignment="1">
      <alignment horizontal="left" vertical="center" wrapText="1"/>
    </xf>
    <xf numFmtId="0" fontId="0" fillId="0" borderId="67" xfId="0" applyBorder="1" applyAlignment="1">
      <alignment horizontal="center" vertical="center"/>
    </xf>
    <xf numFmtId="0" fontId="0" fillId="0" borderId="38" xfId="0" applyBorder="1" applyAlignment="1">
      <alignment horizontal="center" vertical="center"/>
    </xf>
    <xf numFmtId="0" fontId="0" fillId="25" borderId="23" xfId="0" applyFill="1" applyBorder="1" applyAlignment="1">
      <alignment horizontal="left" vertical="center" wrapText="1"/>
    </xf>
    <xf numFmtId="0" fontId="0" fillId="25" borderId="25" xfId="0" applyFill="1" applyBorder="1" applyAlignment="1">
      <alignment horizontal="left" vertical="center" wrapText="1"/>
    </xf>
    <xf numFmtId="0" fontId="0" fillId="25" borderId="25" xfId="0" applyFill="1" applyBorder="1" applyAlignment="1">
      <alignment horizontal="center" vertical="center"/>
    </xf>
    <xf numFmtId="0" fontId="0" fillId="25" borderId="24" xfId="0" applyFill="1" applyBorder="1" applyAlignment="1">
      <alignment horizontal="center" vertical="center"/>
    </xf>
    <xf numFmtId="0" fontId="0" fillId="25" borderId="6" xfId="0" applyFill="1" applyBorder="1" applyAlignment="1">
      <alignment horizontal="left" vertical="center" wrapText="1"/>
    </xf>
    <xf numFmtId="0" fontId="0" fillId="25" borderId="5" xfId="0" applyFill="1" applyBorder="1" applyAlignment="1">
      <alignment horizontal="left" vertical="center" wrapText="1"/>
    </xf>
    <xf numFmtId="0" fontId="0" fillId="25" borderId="5" xfId="0" applyFill="1" applyBorder="1" applyAlignment="1">
      <alignment horizontal="center" vertical="center"/>
    </xf>
    <xf numFmtId="0" fontId="0" fillId="25" borderId="47" xfId="0" applyFill="1" applyBorder="1" applyAlignment="1">
      <alignment horizontal="center" vertical="center"/>
    </xf>
    <xf numFmtId="0" fontId="0" fillId="25" borderId="75" xfId="0" applyFill="1" applyBorder="1" applyAlignment="1">
      <alignment horizontal="left" vertical="center" wrapText="1"/>
    </xf>
    <xf numFmtId="171" fontId="0" fillId="0" borderId="5" xfId="0" applyNumberFormat="1" applyBorder="1" applyAlignment="1">
      <alignment horizontal="center" vertical="center"/>
    </xf>
    <xf numFmtId="0" fontId="0" fillId="2" borderId="37" xfId="0" applyFill="1" applyBorder="1"/>
    <xf numFmtId="0" fontId="0" fillId="16" borderId="37" xfId="0" applyFill="1" applyBorder="1"/>
    <xf numFmtId="0" fontId="14" fillId="0" borderId="0" xfId="0" applyFont="1"/>
    <xf numFmtId="0" fontId="0" fillId="0" borderId="0" xfId="0" applyAlignment="1">
      <alignment horizontal="center"/>
    </xf>
    <xf numFmtId="0" fontId="14" fillId="6" borderId="5" xfId="0" applyFont="1" applyFill="1" applyBorder="1"/>
    <xf numFmtId="2" fontId="37" fillId="0" borderId="0" xfId="0" applyNumberFormat="1" applyFont="1" applyAlignment="1">
      <alignment horizontal="center"/>
    </xf>
    <xf numFmtId="1" fontId="0" fillId="0" borderId="0" xfId="0" applyNumberFormat="1" applyAlignment="1">
      <alignment horizontal="center"/>
    </xf>
    <xf numFmtId="0" fontId="0" fillId="0" borderId="57" xfId="0" applyBorder="1" applyAlignment="1">
      <alignment horizontal="left" vertical="center" wrapText="1"/>
    </xf>
    <xf numFmtId="9" fontId="0" fillId="0" borderId="14" xfId="3" applyFont="1" applyBorder="1" applyAlignment="1">
      <alignment horizontal="center"/>
    </xf>
    <xf numFmtId="171" fontId="29" fillId="24" borderId="5" xfId="0" applyNumberFormat="1" applyFont="1" applyFill="1" applyBorder="1" applyAlignment="1">
      <alignment horizontal="center" vertical="center"/>
    </xf>
    <xf numFmtId="171" fontId="25" fillId="26" borderId="5" xfId="0" applyNumberFormat="1" applyFont="1" applyFill="1" applyBorder="1" applyAlignment="1">
      <alignment horizontal="center" vertical="center"/>
    </xf>
    <xf numFmtId="171" fontId="0" fillId="27" borderId="5" xfId="0" applyNumberFormat="1" applyFill="1" applyBorder="1" applyAlignment="1">
      <alignment horizontal="center" vertical="center"/>
    </xf>
    <xf numFmtId="0" fontId="37" fillId="2" borderId="0" xfId="0" applyFont="1" applyFill="1"/>
    <xf numFmtId="171" fontId="37" fillId="2" borderId="0" xfId="0" applyNumberFormat="1" applyFont="1" applyFill="1"/>
    <xf numFmtId="0" fontId="17" fillId="6" borderId="20" xfId="0" applyFont="1" applyFill="1" applyBorder="1" applyAlignment="1">
      <alignment horizontal="left"/>
    </xf>
    <xf numFmtId="0" fontId="17" fillId="6" borderId="21" xfId="0" applyFont="1" applyFill="1" applyBorder="1" applyAlignment="1">
      <alignment horizontal="left"/>
    </xf>
    <xf numFmtId="0" fontId="17" fillId="6" borderId="11" xfId="0" applyFont="1" applyFill="1" applyBorder="1" applyAlignment="1">
      <alignment horizontal="left"/>
    </xf>
    <xf numFmtId="0" fontId="23" fillId="8" borderId="28" xfId="0" applyFont="1" applyFill="1" applyBorder="1" applyAlignment="1">
      <alignment horizontal="left" vertical="top" wrapText="1"/>
    </xf>
    <xf numFmtId="0" fontId="23" fillId="8" borderId="29" xfId="0" applyFont="1" applyFill="1" applyBorder="1" applyAlignment="1">
      <alignment horizontal="left" vertical="top" wrapText="1"/>
    </xf>
    <xf numFmtId="0" fontId="23" fillId="8" borderId="6" xfId="0" applyFont="1" applyFill="1" applyBorder="1" applyAlignment="1">
      <alignment horizontal="left" vertical="top" wrapText="1"/>
    </xf>
    <xf numFmtId="0" fontId="22" fillId="2" borderId="0" xfId="0" applyFont="1" applyFill="1" applyAlignment="1">
      <alignment horizontal="center" vertical="center" wrapText="1"/>
    </xf>
    <xf numFmtId="0" fontId="32" fillId="2" borderId="26" xfId="0" applyFont="1" applyFill="1" applyBorder="1" applyAlignment="1">
      <alignment horizontal="left" vertical="top" wrapText="1"/>
    </xf>
    <xf numFmtId="0" fontId="31" fillId="2" borderId="22" xfId="0" applyFont="1" applyFill="1" applyBorder="1" applyAlignment="1">
      <alignment horizontal="left" vertical="top" wrapText="1"/>
    </xf>
    <xf numFmtId="0" fontId="31" fillId="2" borderId="27" xfId="0" applyFont="1" applyFill="1" applyBorder="1" applyAlignment="1">
      <alignment horizontal="left" vertical="top" wrapText="1"/>
    </xf>
    <xf numFmtId="0" fontId="17" fillId="6" borderId="23" xfId="0" applyFont="1" applyFill="1" applyBorder="1" applyAlignment="1">
      <alignment horizontal="left"/>
    </xf>
    <xf numFmtId="0" fontId="17" fillId="6" borderId="25" xfId="0" applyFont="1" applyFill="1" applyBorder="1" applyAlignment="1">
      <alignment horizontal="left"/>
    </xf>
    <xf numFmtId="0" fontId="17" fillId="6" borderId="24" xfId="0" applyFont="1" applyFill="1" applyBorder="1" applyAlignment="1">
      <alignment horizontal="left"/>
    </xf>
    <xf numFmtId="0" fontId="33" fillId="2" borderId="7" xfId="0" applyFont="1" applyFill="1" applyBorder="1" applyAlignment="1">
      <alignment horizontal="left" vertical="top" wrapText="1"/>
    </xf>
    <xf numFmtId="0" fontId="22" fillId="10" borderId="17"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22" fillId="10" borderId="18" xfId="0" applyFont="1" applyFill="1" applyBorder="1" applyAlignment="1">
      <alignment horizontal="center" vertical="center" wrapText="1"/>
    </xf>
    <xf numFmtId="0" fontId="22" fillId="10" borderId="14" xfId="0" applyFont="1" applyFill="1" applyBorder="1" applyAlignment="1">
      <alignment horizontal="center" vertical="center" wrapText="1"/>
    </xf>
    <xf numFmtId="0" fontId="22" fillId="10" borderId="19" xfId="0" applyFont="1" applyFill="1" applyBorder="1" applyAlignment="1">
      <alignment horizontal="center" vertical="center" wrapText="1"/>
    </xf>
    <xf numFmtId="0" fontId="22" fillId="10" borderId="16" xfId="0" applyFont="1" applyFill="1" applyBorder="1" applyAlignment="1">
      <alignment horizontal="center" vertical="center" wrapText="1"/>
    </xf>
    <xf numFmtId="0" fontId="22" fillId="7" borderId="8" xfId="0" applyFont="1" applyFill="1" applyBorder="1" applyAlignment="1">
      <alignment horizontal="center" vertical="center" textRotation="90" wrapText="1"/>
    </xf>
    <xf numFmtId="0" fontId="22" fillId="7" borderId="9" xfId="0" applyFont="1" applyFill="1" applyBorder="1" applyAlignment="1">
      <alignment horizontal="center" vertical="center" textRotation="90" wrapText="1"/>
    </xf>
    <xf numFmtId="0" fontId="22" fillId="7" borderId="10" xfId="0" applyFont="1" applyFill="1" applyBorder="1" applyAlignment="1">
      <alignment horizontal="center" vertical="center" textRotation="90" wrapText="1"/>
    </xf>
    <xf numFmtId="0" fontId="17" fillId="6" borderId="20" xfId="0" applyFont="1" applyFill="1" applyBorder="1" applyAlignment="1">
      <alignment horizontal="center"/>
    </xf>
    <xf numFmtId="0" fontId="17" fillId="6" borderId="21" xfId="0" applyFont="1" applyFill="1" applyBorder="1" applyAlignment="1">
      <alignment horizontal="center"/>
    </xf>
    <xf numFmtId="0" fontId="17" fillId="6" borderId="11" xfId="0" applyFont="1" applyFill="1" applyBorder="1" applyAlignment="1">
      <alignment horizontal="center"/>
    </xf>
    <xf numFmtId="0" fontId="10" fillId="2" borderId="7" xfId="0" applyFont="1" applyFill="1" applyBorder="1" applyAlignment="1">
      <alignment horizontal="left" vertical="top" wrapText="1"/>
    </xf>
    <xf numFmtId="0" fontId="22" fillId="7" borderId="17" xfId="0" applyFont="1" applyFill="1" applyBorder="1" applyAlignment="1">
      <alignment horizontal="center" vertical="center" wrapText="1"/>
    </xf>
    <xf numFmtId="0" fontId="22" fillId="7" borderId="13" xfId="0" applyFont="1" applyFill="1" applyBorder="1" applyAlignment="1">
      <alignment horizontal="center" vertical="center" wrapText="1"/>
    </xf>
    <xf numFmtId="0" fontId="22" fillId="7" borderId="18"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5" borderId="20" xfId="0" applyFont="1" applyFill="1" applyBorder="1" applyAlignment="1">
      <alignment horizontal="center" vertical="center" wrapText="1"/>
    </xf>
    <xf numFmtId="0" fontId="22" fillId="5" borderId="11" xfId="0" applyFont="1" applyFill="1" applyBorder="1" applyAlignment="1">
      <alignment horizontal="center" vertical="center" wrapText="1"/>
    </xf>
    <xf numFmtId="0" fontId="14" fillId="7" borderId="44" xfId="0" applyFont="1" applyFill="1" applyBorder="1" applyAlignment="1">
      <alignment horizontal="center" vertical="center"/>
    </xf>
    <xf numFmtId="0" fontId="14" fillId="7" borderId="36" xfId="0" applyFont="1" applyFill="1" applyBorder="1" applyAlignment="1">
      <alignment horizontal="center" vertical="center"/>
    </xf>
    <xf numFmtId="9" fontId="14" fillId="9" borderId="52" xfId="3" applyFont="1" applyFill="1" applyBorder="1" applyAlignment="1">
      <alignment horizontal="center" vertical="center"/>
    </xf>
    <xf numFmtId="9" fontId="14" fillId="9" borderId="53" xfId="3" applyFont="1" applyFill="1" applyBorder="1" applyAlignment="1">
      <alignment horizontal="center" vertical="center"/>
    </xf>
    <xf numFmtId="0" fontId="24" fillId="2" borderId="20" xfId="0" applyFont="1" applyFill="1" applyBorder="1" applyAlignment="1">
      <alignment horizontal="left" vertical="top" wrapText="1"/>
    </xf>
    <xf numFmtId="0" fontId="24" fillId="2" borderId="21" xfId="0" applyFont="1" applyFill="1" applyBorder="1" applyAlignment="1">
      <alignment horizontal="left" vertical="top"/>
    </xf>
    <xf numFmtId="0" fontId="24" fillId="2" borderId="11" xfId="0" applyFont="1" applyFill="1" applyBorder="1" applyAlignment="1">
      <alignment horizontal="left" vertical="top"/>
    </xf>
    <xf numFmtId="0" fontId="3" fillId="2" borderId="17" xfId="0" applyFont="1" applyFill="1" applyBorder="1" applyAlignment="1">
      <alignment horizontal="left" vertical="top" wrapText="1"/>
    </xf>
    <xf numFmtId="0" fontId="12" fillId="2" borderId="12" xfId="0" applyFont="1" applyFill="1" applyBorder="1" applyAlignment="1">
      <alignment horizontal="left" vertical="top" wrapText="1"/>
    </xf>
    <xf numFmtId="0" fontId="12" fillId="2" borderId="13" xfId="0" applyFont="1" applyFill="1" applyBorder="1" applyAlignment="1">
      <alignment horizontal="left" vertical="top" wrapText="1"/>
    </xf>
    <xf numFmtId="0" fontId="12" fillId="2" borderId="18"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14" xfId="0" applyFont="1" applyFill="1" applyBorder="1" applyAlignment="1">
      <alignment horizontal="left" vertical="top" wrapText="1"/>
    </xf>
    <xf numFmtId="0" fontId="12" fillId="2" borderId="19" xfId="0" applyFont="1" applyFill="1" applyBorder="1" applyAlignment="1">
      <alignment horizontal="left" vertical="top" wrapText="1"/>
    </xf>
    <xf numFmtId="0" fontId="12" fillId="2" borderId="15" xfId="0" applyFont="1" applyFill="1" applyBorder="1" applyAlignment="1">
      <alignment horizontal="left" vertical="top" wrapText="1"/>
    </xf>
    <xf numFmtId="0" fontId="12" fillId="2" borderId="16" xfId="0" applyFont="1" applyFill="1" applyBorder="1" applyAlignment="1">
      <alignment horizontal="left" vertical="top" wrapText="1"/>
    </xf>
    <xf numFmtId="0" fontId="23" fillId="8" borderId="20" xfId="0" applyFont="1" applyFill="1" applyBorder="1" applyAlignment="1">
      <alignment horizontal="left"/>
    </xf>
    <xf numFmtId="0" fontId="23" fillId="8" borderId="21" xfId="0" applyFont="1" applyFill="1" applyBorder="1" applyAlignment="1">
      <alignment horizontal="left"/>
    </xf>
    <xf numFmtId="0" fontId="23" fillId="8" borderId="11" xfId="0" applyFont="1" applyFill="1" applyBorder="1" applyAlignment="1">
      <alignment horizontal="left"/>
    </xf>
    <xf numFmtId="0" fontId="11" fillId="6" borderId="45" xfId="0" applyFont="1" applyFill="1" applyBorder="1" applyAlignment="1">
      <alignment horizontal="center" vertical="center"/>
    </xf>
    <xf numFmtId="0" fontId="11" fillId="6" borderId="38" xfId="0" applyFont="1" applyFill="1" applyBorder="1" applyAlignment="1">
      <alignment horizontal="center" vertical="center"/>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7" xfId="0" applyFont="1" applyFill="1" applyBorder="1" applyAlignment="1">
      <alignment horizontal="center" vertical="center"/>
    </xf>
    <xf numFmtId="166" fontId="25" fillId="7" borderId="55" xfId="2" applyFont="1" applyFill="1" applyBorder="1" applyAlignment="1">
      <alignment horizontal="center" vertical="center"/>
    </xf>
    <xf numFmtId="166" fontId="25" fillId="7" borderId="52" xfId="2" applyFont="1" applyFill="1" applyBorder="1" applyAlignment="1">
      <alignment horizontal="center" vertical="center"/>
    </xf>
    <xf numFmtId="166" fontId="25" fillId="7" borderId="54" xfId="2" applyFont="1" applyFill="1" applyBorder="1" applyAlignment="1">
      <alignment horizontal="center" vertical="center"/>
    </xf>
    <xf numFmtId="166" fontId="25" fillId="7" borderId="31" xfId="2" applyFont="1" applyFill="1" applyBorder="1" applyAlignment="1">
      <alignment horizontal="center" vertical="center"/>
    </xf>
    <xf numFmtId="166" fontId="25" fillId="7" borderId="28" xfId="2" applyFont="1" applyFill="1" applyBorder="1" applyAlignment="1">
      <alignment horizontal="center" vertical="center"/>
    </xf>
    <xf numFmtId="166" fontId="25" fillId="7" borderId="43" xfId="2" applyFont="1" applyFill="1" applyBorder="1" applyAlignment="1">
      <alignment horizontal="center" vertical="center"/>
    </xf>
    <xf numFmtId="166" fontId="25" fillId="7" borderId="56" xfId="2" applyFont="1" applyFill="1" applyBorder="1" applyAlignment="1">
      <alignment horizontal="center" vertical="center"/>
    </xf>
    <xf numFmtId="166" fontId="25" fillId="7" borderId="45" xfId="2" applyFont="1" applyFill="1" applyBorder="1" applyAlignment="1">
      <alignment horizontal="center" vertical="center"/>
    </xf>
    <xf numFmtId="166" fontId="25" fillId="7" borderId="49" xfId="2" applyFont="1" applyFill="1" applyBorder="1" applyAlignment="1">
      <alignment horizontal="center" vertical="center"/>
    </xf>
    <xf numFmtId="166" fontId="25" fillId="7" borderId="38" xfId="2" applyFont="1" applyFill="1" applyBorder="1" applyAlignment="1">
      <alignment horizontal="center" vertical="center"/>
    </xf>
    <xf numFmtId="166" fontId="25" fillId="7" borderId="50" xfId="2" applyFont="1" applyFill="1" applyBorder="1" applyAlignment="1">
      <alignment horizontal="center" vertical="center"/>
    </xf>
    <xf numFmtId="0" fontId="14" fillId="7" borderId="55" xfId="0" applyFont="1" applyFill="1" applyBorder="1" applyAlignment="1">
      <alignment horizontal="center" vertical="center"/>
    </xf>
    <xf numFmtId="166" fontId="25" fillId="7" borderId="44" xfId="2" applyFont="1" applyFill="1" applyBorder="1" applyAlignment="1">
      <alignment horizontal="center" vertical="center"/>
    </xf>
    <xf numFmtId="166" fontId="25" fillId="7" borderId="36" xfId="2" applyFont="1" applyFill="1" applyBorder="1" applyAlignment="1">
      <alignment horizontal="center" vertical="center"/>
    </xf>
    <xf numFmtId="0" fontId="0" fillId="7" borderId="5" xfId="0" applyFill="1" applyBorder="1" applyAlignment="1">
      <alignment horizontal="center" vertical="center"/>
    </xf>
    <xf numFmtId="0" fontId="0" fillId="7" borderId="35" xfId="0" applyFill="1" applyBorder="1" applyAlignment="1">
      <alignment horizontal="center" vertical="center"/>
    </xf>
    <xf numFmtId="166" fontId="25" fillId="7" borderId="26" xfId="2" applyFont="1" applyFill="1" applyBorder="1" applyAlignment="1">
      <alignment horizontal="center" vertical="center"/>
    </xf>
    <xf numFmtId="166" fontId="25" fillId="7" borderId="46" xfId="2" applyFont="1" applyFill="1" applyBorder="1" applyAlignment="1">
      <alignment horizontal="center" vertical="center"/>
    </xf>
    <xf numFmtId="166" fontId="25" fillId="7" borderId="42" xfId="2" applyFont="1" applyFill="1" applyBorder="1" applyAlignment="1">
      <alignment horizontal="center" vertical="center"/>
    </xf>
    <xf numFmtId="0" fontId="11" fillId="9" borderId="32" xfId="0" applyFont="1" applyFill="1" applyBorder="1" applyAlignment="1">
      <alignment horizontal="center" vertical="center"/>
    </xf>
    <xf numFmtId="0" fontId="11" fillId="9" borderId="59"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13" xfId="0" applyFont="1" applyFill="1" applyBorder="1" applyAlignment="1">
      <alignment horizontal="center" vertical="center"/>
    </xf>
    <xf numFmtId="0" fontId="23" fillId="6" borderId="18" xfId="0" applyFont="1" applyFill="1" applyBorder="1" applyAlignment="1">
      <alignment horizontal="center" vertical="center"/>
    </xf>
    <xf numFmtId="0" fontId="23" fillId="6" borderId="14" xfId="0" applyFont="1" applyFill="1" applyBorder="1" applyAlignment="1">
      <alignment horizontal="center" vertical="center"/>
    </xf>
    <xf numFmtId="0" fontId="23" fillId="6" borderId="19" xfId="0" applyFont="1" applyFill="1" applyBorder="1" applyAlignment="1">
      <alignment horizontal="center" vertical="center"/>
    </xf>
    <xf numFmtId="0" fontId="23" fillId="6" borderId="16" xfId="0" applyFont="1" applyFill="1" applyBorder="1" applyAlignment="1">
      <alignment horizontal="center" vertical="center"/>
    </xf>
    <xf numFmtId="0" fontId="0" fillId="7" borderId="34" xfId="0" applyFill="1" applyBorder="1" applyAlignment="1">
      <alignment horizontal="center" vertical="center"/>
    </xf>
    <xf numFmtId="0" fontId="14" fillId="6" borderId="20" xfId="0" applyFont="1" applyFill="1" applyBorder="1" applyAlignment="1">
      <alignment horizontal="center" vertical="center"/>
    </xf>
    <xf numFmtId="0" fontId="14" fillId="6" borderId="11" xfId="0" applyFont="1" applyFill="1" applyBorder="1" applyAlignment="1">
      <alignment horizontal="center" vertical="center"/>
    </xf>
    <xf numFmtId="0" fontId="17" fillId="8" borderId="20" xfId="0" applyFont="1" applyFill="1" applyBorder="1" applyAlignment="1">
      <alignment horizontal="left"/>
    </xf>
    <xf numFmtId="0" fontId="17" fillId="8" borderId="21" xfId="0" applyFont="1" applyFill="1" applyBorder="1" applyAlignment="1">
      <alignment horizontal="left"/>
    </xf>
    <xf numFmtId="0" fontId="17" fillId="8" borderId="11" xfId="0" applyFont="1" applyFill="1" applyBorder="1" applyAlignment="1">
      <alignment horizontal="left"/>
    </xf>
    <xf numFmtId="166" fontId="25" fillId="7" borderId="33" xfId="2" applyFont="1" applyFill="1" applyBorder="1" applyAlignment="1">
      <alignment horizontal="center" vertical="center"/>
    </xf>
    <xf numFmtId="0" fontId="0" fillId="7" borderId="37" xfId="0" applyFill="1" applyBorder="1" applyAlignment="1">
      <alignment horizontal="center" vertical="center"/>
    </xf>
    <xf numFmtId="0" fontId="0" fillId="7" borderId="70" xfId="0" applyFill="1" applyBorder="1" applyAlignment="1">
      <alignment horizontal="center" vertical="center"/>
    </xf>
    <xf numFmtId="0" fontId="0" fillId="7" borderId="7" xfId="0" applyFill="1" applyBorder="1" applyAlignment="1">
      <alignment horizontal="center" vertical="center"/>
    </xf>
    <xf numFmtId="0" fontId="0" fillId="7" borderId="51" xfId="0" applyFill="1" applyBorder="1" applyAlignment="1">
      <alignment horizontal="center" vertical="center"/>
    </xf>
    <xf numFmtId="0" fontId="0" fillId="7" borderId="47" xfId="0" applyFill="1" applyBorder="1" applyAlignment="1">
      <alignment horizontal="center" vertical="center"/>
    </xf>
    <xf numFmtId="0" fontId="0" fillId="7" borderId="67" xfId="0" applyFill="1" applyBorder="1" applyAlignment="1">
      <alignment horizontal="center" vertical="center"/>
    </xf>
    <xf numFmtId="0" fontId="11" fillId="6" borderId="15" xfId="0" applyFont="1" applyFill="1" applyBorder="1" applyAlignment="1">
      <alignment horizontal="left"/>
    </xf>
    <xf numFmtId="0" fontId="11" fillId="6" borderId="16" xfId="0" applyFont="1" applyFill="1" applyBorder="1" applyAlignment="1">
      <alignment horizontal="left"/>
    </xf>
    <xf numFmtId="0" fontId="11" fillId="6" borderId="34" xfId="0" applyFont="1" applyFill="1" applyBorder="1" applyAlignment="1">
      <alignment horizontal="center" vertical="center"/>
    </xf>
    <xf numFmtId="0" fontId="11" fillId="6" borderId="51"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51" xfId="0" applyFont="1" applyFill="1" applyBorder="1" applyAlignment="1">
      <alignment horizontal="center" vertical="center"/>
    </xf>
    <xf numFmtId="0" fontId="23" fillId="6" borderId="37" xfId="0" applyFont="1" applyFill="1" applyBorder="1" applyAlignment="1">
      <alignment horizontal="center" vertical="center"/>
    </xf>
    <xf numFmtId="0" fontId="23" fillId="6" borderId="47" xfId="0" applyFont="1" applyFill="1" applyBorder="1" applyAlignment="1">
      <alignment horizontal="center" vertical="center"/>
    </xf>
    <xf numFmtId="0" fontId="23" fillId="6" borderId="45" xfId="0" applyFont="1" applyFill="1" applyBorder="1" applyAlignment="1">
      <alignment horizontal="center" vertical="center"/>
    </xf>
    <xf numFmtId="0" fontId="23" fillId="6" borderId="38" xfId="0" applyFont="1" applyFill="1" applyBorder="1" applyAlignment="1">
      <alignment horizontal="center" vertical="center"/>
    </xf>
    <xf numFmtId="0" fontId="0" fillId="7" borderId="6" xfId="0" applyFill="1" applyBorder="1" applyAlignment="1">
      <alignment horizontal="center" vertical="center"/>
    </xf>
    <xf numFmtId="0" fontId="0" fillId="7" borderId="30" xfId="0" applyFill="1" applyBorder="1" applyAlignment="1">
      <alignment horizontal="center" vertical="center"/>
    </xf>
    <xf numFmtId="0" fontId="0" fillId="7" borderId="73" xfId="0" applyFill="1" applyBorder="1" applyAlignment="1">
      <alignment horizontal="center" vertical="center"/>
    </xf>
    <xf numFmtId="0" fontId="0" fillId="7" borderId="39" xfId="0" applyFill="1" applyBorder="1" applyAlignment="1">
      <alignment horizontal="center" vertical="center"/>
    </xf>
    <xf numFmtId="0" fontId="0" fillId="7" borderId="40" xfId="0" applyFill="1" applyBorder="1" applyAlignment="1">
      <alignment horizontal="center" vertical="center"/>
    </xf>
    <xf numFmtId="0" fontId="0" fillId="7" borderId="48" xfId="0" applyFill="1" applyBorder="1" applyAlignment="1">
      <alignment horizontal="center" vertical="center"/>
    </xf>
    <xf numFmtId="0" fontId="23" fillId="6" borderId="39" xfId="0" applyFont="1" applyFill="1" applyBorder="1" applyAlignment="1">
      <alignment horizontal="center" vertical="center"/>
    </xf>
    <xf numFmtId="0" fontId="23" fillId="6" borderId="48" xfId="0" applyFont="1" applyFill="1" applyBorder="1" applyAlignment="1">
      <alignment horizontal="center" vertical="center"/>
    </xf>
    <xf numFmtId="0" fontId="0" fillId="7" borderId="44" xfId="0" applyFill="1" applyBorder="1" applyAlignment="1">
      <alignment horizontal="center" vertical="center"/>
    </xf>
    <xf numFmtId="0" fontId="0" fillId="7" borderId="27" xfId="0" applyFill="1" applyBorder="1" applyAlignment="1">
      <alignment horizontal="center" vertical="center"/>
    </xf>
    <xf numFmtId="0" fontId="0" fillId="7" borderId="26" xfId="0" applyFill="1" applyBorder="1" applyAlignment="1">
      <alignment horizontal="center" vertical="center"/>
    </xf>
    <xf numFmtId="0" fontId="0" fillId="7" borderId="52" xfId="0" applyFill="1" applyBorder="1" applyAlignment="1">
      <alignment horizontal="center" vertical="center"/>
    </xf>
    <xf numFmtId="0" fontId="25" fillId="23" borderId="52" xfId="0" applyFont="1" applyFill="1" applyBorder="1" applyAlignment="1">
      <alignment horizontal="center" vertical="center"/>
    </xf>
    <xf numFmtId="0" fontId="25" fillId="23" borderId="6" xfId="0" applyFont="1" applyFill="1" applyBorder="1" applyAlignment="1">
      <alignment horizontal="center" vertical="center"/>
    </xf>
    <xf numFmtId="0" fontId="0" fillId="7" borderId="28" xfId="0" applyFill="1" applyBorder="1" applyAlignment="1">
      <alignment horizontal="center" vertical="center"/>
    </xf>
    <xf numFmtId="0" fontId="25" fillId="23" borderId="31" xfId="0" applyFont="1" applyFill="1" applyBorder="1" applyAlignment="1">
      <alignment horizontal="center" vertical="center"/>
    </xf>
    <xf numFmtId="0" fontId="25" fillId="23" borderId="70" xfId="0" applyFont="1" applyFill="1" applyBorder="1" applyAlignment="1">
      <alignment horizontal="center" vertical="center"/>
    </xf>
    <xf numFmtId="0" fontId="25" fillId="23" borderId="28" xfId="0" applyFont="1" applyFill="1" applyBorder="1" applyAlignment="1">
      <alignment horizontal="center" vertical="center"/>
    </xf>
    <xf numFmtId="0" fontId="0" fillId="7" borderId="58" xfId="0" applyFill="1" applyBorder="1" applyAlignment="1">
      <alignment horizontal="center" vertical="center"/>
    </xf>
    <xf numFmtId="0" fontId="0" fillId="7" borderId="43" xfId="0" applyFill="1" applyBorder="1" applyAlignment="1">
      <alignment horizontal="center" vertical="center"/>
    </xf>
    <xf numFmtId="0" fontId="25" fillId="23" borderId="33" xfId="0" applyFont="1" applyFill="1" applyBorder="1" applyAlignment="1">
      <alignment horizontal="center" vertical="center"/>
    </xf>
    <xf numFmtId="0" fontId="25" fillId="23" borderId="73" xfId="0" applyFont="1" applyFill="1" applyBorder="1" applyAlignment="1">
      <alignment horizontal="center" vertical="center"/>
    </xf>
    <xf numFmtId="0" fontId="0" fillId="7" borderId="38" xfId="0" applyFill="1" applyBorder="1" applyAlignment="1">
      <alignment horizontal="center" vertical="center"/>
    </xf>
    <xf numFmtId="0" fontId="25" fillId="23" borderId="44" xfId="0" applyFont="1" applyFill="1" applyBorder="1" applyAlignment="1">
      <alignment horizontal="center" vertical="center"/>
    </xf>
    <xf numFmtId="0" fontId="25" fillId="23" borderId="27" xfId="0" applyFont="1" applyFill="1" applyBorder="1" applyAlignment="1">
      <alignment horizontal="center" vertical="center"/>
    </xf>
    <xf numFmtId="0" fontId="25" fillId="23" borderId="54" xfId="0" applyFont="1" applyFill="1" applyBorder="1" applyAlignment="1">
      <alignment horizontal="center" vertical="center"/>
    </xf>
    <xf numFmtId="0" fontId="25" fillId="23" borderId="58" xfId="0" applyFont="1" applyFill="1" applyBorder="1" applyAlignment="1">
      <alignment horizontal="center" vertical="center"/>
    </xf>
    <xf numFmtId="166" fontId="15" fillId="10" borderId="34" xfId="2" applyFont="1" applyFill="1" applyBorder="1" applyAlignment="1">
      <alignment horizontal="left"/>
    </xf>
    <xf numFmtId="166" fontId="15" fillId="10" borderId="51" xfId="2" applyFont="1" applyFill="1" applyBorder="1" applyAlignment="1">
      <alignment horizontal="left"/>
    </xf>
    <xf numFmtId="0" fontId="15" fillId="9" borderId="23" xfId="0" applyFont="1" applyFill="1" applyBorder="1" applyAlignment="1">
      <alignment horizontal="left"/>
    </xf>
    <xf numFmtId="0" fontId="15" fillId="9" borderId="24" xfId="0" applyFont="1" applyFill="1" applyBorder="1" applyAlignment="1">
      <alignment horizontal="left"/>
    </xf>
    <xf numFmtId="0" fontId="15" fillId="9" borderId="34" xfId="0" applyFont="1" applyFill="1" applyBorder="1" applyAlignment="1">
      <alignment horizontal="left"/>
    </xf>
    <xf numFmtId="0" fontId="15" fillId="9" borderId="51" xfId="0" applyFont="1" applyFill="1" applyBorder="1" applyAlignment="1">
      <alignment horizontal="left"/>
    </xf>
    <xf numFmtId="166" fontId="15" fillId="10" borderId="54" xfId="2" applyFont="1" applyFill="1" applyBorder="1" applyAlignment="1">
      <alignment horizontal="left"/>
    </xf>
    <xf numFmtId="166" fontId="15" fillId="10" borderId="64" xfId="2" applyFont="1" applyFill="1" applyBorder="1" applyAlignment="1">
      <alignment horizontal="left"/>
    </xf>
    <xf numFmtId="0" fontId="14" fillId="9" borderId="68" xfId="0" applyFont="1" applyFill="1" applyBorder="1" applyAlignment="1">
      <alignment horizontal="left"/>
    </xf>
    <xf numFmtId="0" fontId="14" fillId="9" borderId="59" xfId="0" applyFont="1" applyFill="1" applyBorder="1" applyAlignment="1">
      <alignment horizontal="left"/>
    </xf>
    <xf numFmtId="0" fontId="25" fillId="23" borderId="5" xfId="0" applyFont="1" applyFill="1" applyBorder="1" applyAlignment="1">
      <alignment horizontal="center" vertical="center"/>
    </xf>
    <xf numFmtId="0" fontId="14" fillId="9" borderId="5" xfId="0" applyFont="1" applyFill="1" applyBorder="1" applyAlignment="1">
      <alignment horizontal="left"/>
    </xf>
    <xf numFmtId="0" fontId="17" fillId="8" borderId="20" xfId="0" applyFont="1" applyFill="1" applyBorder="1" applyAlignment="1">
      <alignment horizontal="center"/>
    </xf>
    <xf numFmtId="0" fontId="17" fillId="8" borderId="21" xfId="0" applyFont="1" applyFill="1" applyBorder="1" applyAlignment="1">
      <alignment horizontal="center"/>
    </xf>
    <xf numFmtId="0" fontId="17" fillId="8" borderId="11" xfId="0" applyFont="1" applyFill="1" applyBorder="1" applyAlignment="1">
      <alignment horizontal="center"/>
    </xf>
    <xf numFmtId="0" fontId="0" fillId="2" borderId="7" xfId="0" applyFill="1" applyBorder="1" applyAlignment="1">
      <alignment horizontal="left" vertical="center" wrapText="1"/>
    </xf>
    <xf numFmtId="0" fontId="14" fillId="6" borderId="5" xfId="0" applyFont="1" applyFill="1" applyBorder="1" applyAlignment="1">
      <alignment horizontal="center" vertical="center"/>
    </xf>
    <xf numFmtId="0" fontId="7" fillId="6" borderId="5" xfId="0" applyFont="1" applyFill="1" applyBorder="1" applyAlignment="1">
      <alignment horizontal="center" vertical="center"/>
    </xf>
    <xf numFmtId="166" fontId="15" fillId="10" borderId="28" xfId="2" applyFont="1" applyFill="1" applyBorder="1" applyAlignment="1">
      <alignment horizontal="center"/>
    </xf>
    <xf numFmtId="166" fontId="15" fillId="10" borderId="6" xfId="2" applyFont="1" applyFill="1" applyBorder="1" applyAlignment="1">
      <alignment horizontal="center"/>
    </xf>
    <xf numFmtId="0" fontId="17" fillId="8" borderId="8" xfId="0" applyFont="1" applyFill="1" applyBorder="1" applyAlignment="1">
      <alignment horizontal="center"/>
    </xf>
    <xf numFmtId="0" fontId="17" fillId="8" borderId="10" xfId="0" applyFont="1" applyFill="1" applyBorder="1" applyAlignment="1">
      <alignment horizontal="center"/>
    </xf>
    <xf numFmtId="0" fontId="17" fillId="2" borderId="0" xfId="0" applyFont="1" applyFill="1" applyAlignment="1">
      <alignment horizontal="center" wrapText="1"/>
    </xf>
    <xf numFmtId="0" fontId="17" fillId="2" borderId="0" xfId="0" applyFont="1" applyFill="1" applyAlignment="1">
      <alignment horizontal="center"/>
    </xf>
    <xf numFmtId="1" fontId="35" fillId="2" borderId="0" xfId="0" applyNumberFormat="1" applyFont="1" applyFill="1" applyAlignment="1">
      <alignment horizontal="center" wrapText="1"/>
    </xf>
    <xf numFmtId="0" fontId="0" fillId="2" borderId="61" xfId="0" applyFill="1" applyBorder="1" applyAlignment="1">
      <alignment horizontal="center" vertical="center" wrapText="1"/>
    </xf>
    <xf numFmtId="0" fontId="0" fillId="2" borderId="63" xfId="0" applyFill="1" applyBorder="1" applyAlignment="1">
      <alignment horizontal="center" vertical="center" wrapText="1"/>
    </xf>
    <xf numFmtId="1" fontId="35" fillId="2" borderId="18" xfId="0" applyNumberFormat="1" applyFont="1" applyFill="1" applyBorder="1" applyAlignment="1">
      <alignment horizontal="center" wrapText="1"/>
    </xf>
    <xf numFmtId="0" fontId="17" fillId="6" borderId="20" xfId="0" applyFont="1" applyFill="1" applyBorder="1" applyAlignment="1">
      <alignment horizontal="left" wrapText="1"/>
    </xf>
    <xf numFmtId="0" fontId="17" fillId="6" borderId="21" xfId="0" applyFont="1" applyFill="1" applyBorder="1" applyAlignment="1">
      <alignment horizontal="left" wrapText="1"/>
    </xf>
    <xf numFmtId="0" fontId="17" fillId="6" borderId="11" xfId="0" applyFont="1" applyFill="1" applyBorder="1" applyAlignment="1">
      <alignment horizontal="left" wrapText="1"/>
    </xf>
    <xf numFmtId="0" fontId="24" fillId="6" borderId="20" xfId="0" applyFont="1" applyFill="1" applyBorder="1" applyAlignment="1">
      <alignment horizontal="center" vertical="center"/>
    </xf>
    <xf numFmtId="0" fontId="24" fillId="6" borderId="11" xfId="0" applyFont="1" applyFill="1" applyBorder="1" applyAlignment="1">
      <alignment horizontal="center" vertical="center"/>
    </xf>
    <xf numFmtId="0" fontId="24" fillId="6" borderId="61" xfId="0" applyFont="1" applyFill="1" applyBorder="1" applyAlignment="1">
      <alignment horizontal="center" vertical="center"/>
    </xf>
    <xf numFmtId="0" fontId="24" fillId="6" borderId="62" xfId="0" applyFont="1" applyFill="1" applyBorder="1" applyAlignment="1">
      <alignment horizontal="center" vertical="center"/>
    </xf>
    <xf numFmtId="0" fontId="36" fillId="2" borderId="17" xfId="0" applyFont="1" applyFill="1" applyBorder="1" applyAlignment="1">
      <alignment horizontal="center"/>
    </xf>
    <xf numFmtId="0" fontId="36" fillId="2" borderId="12" xfId="0" applyFont="1" applyFill="1" applyBorder="1" applyAlignment="1">
      <alignment horizontal="center"/>
    </xf>
    <xf numFmtId="0" fontId="36" fillId="2" borderId="13" xfId="0" applyFont="1" applyFill="1" applyBorder="1" applyAlignment="1">
      <alignment horizontal="center"/>
    </xf>
    <xf numFmtId="0" fontId="36" fillId="2" borderId="19" xfId="0" applyFont="1" applyFill="1" applyBorder="1" applyAlignment="1">
      <alignment horizontal="center"/>
    </xf>
    <xf numFmtId="0" fontId="36" fillId="2" borderId="15" xfId="0" applyFont="1" applyFill="1" applyBorder="1" applyAlignment="1">
      <alignment horizontal="center"/>
    </xf>
    <xf numFmtId="0" fontId="36" fillId="2" borderId="16" xfId="0" applyFont="1" applyFill="1" applyBorder="1" applyAlignment="1">
      <alignment horizontal="center"/>
    </xf>
    <xf numFmtId="0" fontId="14" fillId="6" borderId="72" xfId="0" applyFont="1" applyFill="1" applyBorder="1" applyAlignment="1">
      <alignment horizontal="center" vertical="center" wrapText="1"/>
    </xf>
    <xf numFmtId="0" fontId="14" fillId="6" borderId="62" xfId="0" applyFont="1" applyFill="1" applyBorder="1" applyAlignment="1">
      <alignment horizontal="center" vertical="center" wrapText="1"/>
    </xf>
    <xf numFmtId="0" fontId="14" fillId="6" borderId="63" xfId="0" applyFont="1" applyFill="1" applyBorder="1" applyAlignment="1">
      <alignment horizontal="center" vertical="center" wrapText="1"/>
    </xf>
    <xf numFmtId="0" fontId="14" fillId="6" borderId="31" xfId="0" applyFont="1" applyFill="1" applyBorder="1" applyAlignment="1">
      <alignment horizontal="center"/>
    </xf>
    <xf numFmtId="0" fontId="14" fillId="6" borderId="70" xfId="0" applyFont="1" applyFill="1" applyBorder="1" applyAlignment="1">
      <alignment horizontal="center"/>
    </xf>
    <xf numFmtId="0" fontId="14" fillId="6" borderId="76" xfId="0" applyFont="1" applyFill="1" applyBorder="1" applyAlignment="1">
      <alignment horizontal="center"/>
    </xf>
    <xf numFmtId="0" fontId="14" fillId="6" borderId="44" xfId="0" applyFont="1" applyFill="1" applyBorder="1" applyAlignment="1">
      <alignment horizontal="center"/>
    </xf>
    <xf numFmtId="0" fontId="14" fillId="6" borderId="36" xfId="0" applyFont="1" applyFill="1" applyBorder="1" applyAlignment="1">
      <alignment horizont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61" xfId="0" applyFont="1" applyFill="1" applyBorder="1" applyAlignment="1">
      <alignment horizontal="center" vertical="center" wrapText="1"/>
    </xf>
    <xf numFmtId="0" fontId="15" fillId="7" borderId="65" xfId="0" applyFont="1" applyFill="1" applyBorder="1" applyAlignment="1">
      <alignment horizontal="center" vertical="center"/>
    </xf>
    <xf numFmtId="0" fontId="15" fillId="7" borderId="37"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66" xfId="0" applyFont="1" applyFill="1" applyBorder="1" applyAlignment="1">
      <alignment horizontal="center" vertical="center"/>
    </xf>
    <xf numFmtId="0" fontId="15" fillId="7" borderId="47" xfId="0" applyFont="1" applyFill="1" applyBorder="1" applyAlignment="1">
      <alignment horizontal="center" vertical="center"/>
    </xf>
    <xf numFmtId="0" fontId="0" fillId="2" borderId="68" xfId="0" applyFill="1" applyBorder="1" applyAlignment="1">
      <alignment horizontal="center" vertical="center"/>
    </xf>
    <xf numFmtId="0" fontId="0" fillId="2" borderId="49" xfId="0" applyFill="1" applyBorder="1" applyAlignment="1">
      <alignment horizontal="center" vertical="center"/>
    </xf>
    <xf numFmtId="0" fontId="0" fillId="2" borderId="46" xfId="0" applyFill="1" applyBorder="1" applyAlignment="1">
      <alignment horizontal="center" vertical="center"/>
    </xf>
    <xf numFmtId="0" fontId="15" fillId="7" borderId="61" xfId="0" applyFont="1" applyFill="1" applyBorder="1" applyAlignment="1">
      <alignment horizontal="center" vertical="center" wrapText="1"/>
    </xf>
    <xf numFmtId="0" fontId="15" fillId="7" borderId="71" xfId="0" applyFont="1" applyFill="1" applyBorder="1" applyAlignment="1">
      <alignment horizontal="center" vertical="center" wrapText="1"/>
    </xf>
    <xf numFmtId="0" fontId="15" fillId="7" borderId="51" xfId="0" applyFont="1" applyFill="1" applyBorder="1" applyAlignment="1">
      <alignment horizontal="center" vertical="center" wrapText="1"/>
    </xf>
    <xf numFmtId="0" fontId="15" fillId="7" borderId="38" xfId="0" applyFont="1" applyFill="1" applyBorder="1" applyAlignment="1">
      <alignment horizontal="center" vertical="center" wrapText="1"/>
    </xf>
    <xf numFmtId="0" fontId="15" fillId="7" borderId="35" xfId="0" applyFont="1" applyFill="1" applyBorder="1" applyAlignment="1">
      <alignment horizontal="center" vertical="center"/>
    </xf>
    <xf numFmtId="0" fontId="15" fillId="7" borderId="67" xfId="0" applyFont="1" applyFill="1" applyBorder="1" applyAlignment="1">
      <alignment horizontal="center" vertical="center"/>
    </xf>
    <xf numFmtId="0" fontId="15" fillId="7" borderId="34" xfId="0" applyFont="1" applyFill="1" applyBorder="1" applyAlignment="1">
      <alignment horizontal="center" vertical="center"/>
    </xf>
    <xf numFmtId="0" fontId="15" fillId="7" borderId="45" xfId="0" applyFont="1" applyFill="1" applyBorder="1" applyAlignment="1">
      <alignment horizontal="center" vertical="center"/>
    </xf>
    <xf numFmtId="0" fontId="14" fillId="7" borderId="46" xfId="0" applyFont="1" applyFill="1" applyBorder="1" applyAlignment="1">
      <alignment horizontal="center"/>
    </xf>
    <xf numFmtId="0" fontId="14" fillId="7" borderId="41" xfId="0" applyFont="1" applyFill="1" applyBorder="1" applyAlignment="1">
      <alignment horizontal="center"/>
    </xf>
    <xf numFmtId="0" fontId="14" fillId="7" borderId="77" xfId="0" applyFont="1" applyFill="1" applyBorder="1" applyAlignment="1">
      <alignment horizontal="center"/>
    </xf>
    <xf numFmtId="0" fontId="14" fillId="2" borderId="0" xfId="0" applyFont="1" applyFill="1" applyAlignment="1">
      <alignment horizontal="center" vertical="center"/>
    </xf>
    <xf numFmtId="0" fontId="15" fillId="6" borderId="23" xfId="0" applyFont="1" applyFill="1" applyBorder="1" applyAlignment="1">
      <alignment horizontal="right"/>
    </xf>
    <xf numFmtId="0" fontId="15" fillId="6" borderId="25" xfId="0" applyFont="1" applyFill="1" applyBorder="1" applyAlignment="1">
      <alignment horizontal="right"/>
    </xf>
    <xf numFmtId="0" fontId="15" fillId="6" borderId="24" xfId="0" applyFont="1" applyFill="1" applyBorder="1" applyAlignment="1">
      <alignment horizontal="right"/>
    </xf>
    <xf numFmtId="0" fontId="14" fillId="7" borderId="26" xfId="0" applyFont="1" applyFill="1" applyBorder="1" applyAlignment="1">
      <alignment horizontal="center" vertical="center" wrapText="1"/>
    </xf>
    <xf numFmtId="0" fontId="14" fillId="7" borderId="43" xfId="0" applyFont="1" applyFill="1" applyBorder="1" applyAlignment="1">
      <alignment horizontal="center" vertical="center"/>
    </xf>
    <xf numFmtId="0" fontId="14" fillId="7" borderId="69" xfId="0" applyFont="1" applyFill="1" applyBorder="1" applyAlignment="1">
      <alignment horizontal="center" vertical="center"/>
    </xf>
    <xf numFmtId="0" fontId="14" fillId="7" borderId="41" xfId="0" applyFont="1" applyFill="1" applyBorder="1" applyAlignment="1">
      <alignment horizontal="center" vertical="center"/>
    </xf>
    <xf numFmtId="0" fontId="0" fillId="0" borderId="68" xfId="0" applyBorder="1" applyAlignment="1">
      <alignment horizontal="center" vertical="center" wrapText="1"/>
    </xf>
    <xf numFmtId="0" fontId="0" fillId="0" borderId="49" xfId="0" applyBorder="1" applyAlignment="1">
      <alignment horizontal="center" vertical="center" wrapText="1"/>
    </xf>
    <xf numFmtId="0" fontId="14" fillId="7" borderId="34" xfId="0" applyFont="1" applyFill="1" applyBorder="1" applyAlignment="1">
      <alignment horizontal="center" vertical="center"/>
    </xf>
    <xf numFmtId="0" fontId="14" fillId="7" borderId="35" xfId="0" applyFont="1" applyFill="1" applyBorder="1" applyAlignment="1">
      <alignment horizontal="center" vertical="center"/>
    </xf>
    <xf numFmtId="0" fontId="14" fillId="7" borderId="51" xfId="0" applyFont="1" applyFill="1" applyBorder="1" applyAlignment="1">
      <alignment horizontal="center" vertical="center"/>
    </xf>
    <xf numFmtId="0" fontId="17" fillId="6" borderId="17" xfId="0" applyFont="1" applyFill="1" applyBorder="1" applyAlignment="1">
      <alignment horizontal="left"/>
    </xf>
    <xf numFmtId="0" fontId="17" fillId="6" borderId="12" xfId="0" applyFont="1" applyFill="1" applyBorder="1" applyAlignment="1">
      <alignment horizontal="left"/>
    </xf>
    <xf numFmtId="0" fontId="17" fillId="6" borderId="13" xfId="0" applyFont="1" applyFill="1" applyBorder="1" applyAlignment="1">
      <alignment horizontal="left"/>
    </xf>
    <xf numFmtId="0" fontId="14" fillId="7" borderId="39" xfId="0" applyFont="1" applyFill="1" applyBorder="1" applyAlignment="1">
      <alignment horizontal="center" vertical="center"/>
    </xf>
    <xf numFmtId="0" fontId="14" fillId="7" borderId="40" xfId="0" applyFont="1" applyFill="1" applyBorder="1" applyAlignment="1">
      <alignment horizontal="center" vertical="center"/>
    </xf>
    <xf numFmtId="0" fontId="0" fillId="20" borderId="20" xfId="0" applyFill="1" applyBorder="1" applyAlignment="1">
      <alignment horizontal="left"/>
    </xf>
    <xf numFmtId="0" fontId="0" fillId="20" borderId="11" xfId="0" applyFill="1" applyBorder="1" applyAlignment="1">
      <alignment horizontal="left"/>
    </xf>
    <xf numFmtId="0" fontId="0" fillId="0" borderId="65" xfId="0" applyBorder="1" applyAlignment="1">
      <alignment horizontal="left" vertical="center"/>
    </xf>
    <xf numFmtId="0" fontId="0" fillId="0" borderId="66" xfId="0" applyBorder="1" applyAlignment="1">
      <alignment horizontal="left" vertical="center"/>
    </xf>
    <xf numFmtId="0" fontId="0" fillId="0" borderId="37" xfId="0" applyBorder="1" applyAlignment="1">
      <alignment horizontal="center" vertical="center"/>
    </xf>
    <xf numFmtId="0" fontId="0" fillId="0" borderId="45" xfId="0" applyBorder="1" applyAlignment="1">
      <alignment horizontal="center" vertical="center"/>
    </xf>
    <xf numFmtId="0" fontId="0" fillId="22" borderId="37" xfId="0" applyFill="1" applyBorder="1" applyAlignment="1">
      <alignment horizontal="left"/>
    </xf>
    <xf numFmtId="0" fontId="0" fillId="22" borderId="47" xfId="0" applyFill="1" applyBorder="1" applyAlignment="1">
      <alignment horizontal="left"/>
    </xf>
    <xf numFmtId="0" fontId="14" fillId="7" borderId="23" xfId="0" applyFont="1" applyFill="1" applyBorder="1" applyAlignment="1">
      <alignment horizontal="left"/>
    </xf>
    <xf numFmtId="0" fontId="14" fillId="7" borderId="24" xfId="0" applyFont="1" applyFill="1" applyBorder="1" applyAlignment="1">
      <alignment horizontal="left"/>
    </xf>
    <xf numFmtId="0" fontId="0" fillId="0" borderId="49" xfId="0" applyBorder="1" applyAlignment="1">
      <alignment horizontal="left"/>
    </xf>
    <xf numFmtId="0" fontId="0" fillId="0" borderId="50" xfId="0" applyBorder="1" applyAlignment="1">
      <alignment horizontal="left"/>
    </xf>
    <xf numFmtId="0" fontId="0" fillId="9" borderId="23" xfId="0" applyFill="1" applyBorder="1" applyAlignment="1">
      <alignment horizontal="left"/>
    </xf>
    <xf numFmtId="0" fontId="0" fillId="9" borderId="24" xfId="0" applyFill="1" applyBorder="1" applyAlignment="1">
      <alignment horizontal="left"/>
    </xf>
    <xf numFmtId="0" fontId="0" fillId="0" borderId="65" xfId="0" applyBorder="1" applyAlignment="1">
      <alignment horizontal="left"/>
    </xf>
    <xf numFmtId="0" fontId="0" fillId="0" borderId="66" xfId="0" applyBorder="1" applyAlignment="1">
      <alignment horizontal="left"/>
    </xf>
    <xf numFmtId="0" fontId="0" fillId="0" borderId="45" xfId="0" applyBorder="1" applyAlignment="1">
      <alignment horizontal="left"/>
    </xf>
    <xf numFmtId="0" fontId="0" fillId="0" borderId="38" xfId="0" applyBorder="1" applyAlignment="1">
      <alignment horizontal="left"/>
    </xf>
    <xf numFmtId="0" fontId="18" fillId="21" borderId="0" xfId="0" applyFont="1" applyFill="1" applyAlignment="1">
      <alignment horizontal="center" vertical="center"/>
    </xf>
    <xf numFmtId="0" fontId="19" fillId="21" borderId="0" xfId="0" applyFont="1" applyFill="1" applyAlignment="1">
      <alignment horizontal="center" vertical="center"/>
    </xf>
    <xf numFmtId="0" fontId="0" fillId="2" borderId="28" xfId="0" applyFill="1" applyBorder="1" applyAlignment="1">
      <alignment horizontal="center"/>
    </xf>
    <xf numFmtId="0" fontId="0" fillId="2" borderId="6" xfId="0" applyFill="1" applyBorder="1" applyAlignment="1">
      <alignment horizontal="center"/>
    </xf>
    <xf numFmtId="2" fontId="14" fillId="11" borderId="28" xfId="0" applyNumberFormat="1" applyFont="1" applyFill="1" applyBorder="1" applyAlignment="1">
      <alignment horizontal="center"/>
    </xf>
    <xf numFmtId="2" fontId="14" fillId="11" borderId="6" xfId="0" applyNumberFormat="1" applyFont="1" applyFill="1" applyBorder="1" applyAlignment="1">
      <alignment horizontal="center"/>
    </xf>
    <xf numFmtId="0" fontId="0" fillId="6" borderId="28" xfId="0" applyFill="1" applyBorder="1" applyAlignment="1">
      <alignment horizontal="left"/>
    </xf>
    <xf numFmtId="0" fontId="0" fillId="6" borderId="6" xfId="0" applyFill="1" applyBorder="1" applyAlignment="1">
      <alignment horizontal="left"/>
    </xf>
    <xf numFmtId="0" fontId="0" fillId="2" borderId="61" xfId="0" applyFill="1" applyBorder="1" applyAlignment="1">
      <alignment horizontal="left" vertical="center" wrapText="1"/>
    </xf>
    <xf numFmtId="0" fontId="0" fillId="2" borderId="62" xfId="0" applyFill="1" applyBorder="1" applyAlignment="1">
      <alignment horizontal="left" vertical="center" wrapText="1"/>
    </xf>
    <xf numFmtId="0" fontId="0" fillId="2" borderId="71" xfId="0" applyFill="1" applyBorder="1" applyAlignment="1">
      <alignment horizontal="left" vertical="center" wrapText="1"/>
    </xf>
    <xf numFmtId="0" fontId="14" fillId="6" borderId="20" xfId="0" applyFont="1" applyFill="1" applyBorder="1" applyAlignment="1">
      <alignment horizontal="center"/>
    </xf>
    <xf numFmtId="0" fontId="14" fillId="6" borderId="21" xfId="0" applyFont="1" applyFill="1" applyBorder="1" applyAlignment="1">
      <alignment horizontal="center"/>
    </xf>
    <xf numFmtId="0" fontId="14" fillId="6" borderId="11" xfId="0" applyFont="1" applyFill="1" applyBorder="1" applyAlignment="1">
      <alignment horizontal="center"/>
    </xf>
    <xf numFmtId="0" fontId="14" fillId="6" borderId="28" xfId="0" applyFont="1" applyFill="1" applyBorder="1" applyAlignment="1">
      <alignment horizontal="center"/>
    </xf>
    <xf numFmtId="0" fontId="14" fillId="6" borderId="6" xfId="0" applyFont="1" applyFill="1" applyBorder="1" applyAlignment="1">
      <alignment horizontal="center"/>
    </xf>
    <xf numFmtId="0" fontId="0" fillId="2" borderId="8" xfId="0" applyFill="1" applyBorder="1" applyAlignment="1">
      <alignment horizontal="center" vertical="center" wrapText="1"/>
    </xf>
    <xf numFmtId="0" fontId="0" fillId="2" borderId="10" xfId="0" applyFill="1" applyBorder="1" applyAlignment="1">
      <alignment horizontal="center" vertical="center" wrapText="1"/>
    </xf>
    <xf numFmtId="0" fontId="0" fillId="6" borderId="67" xfId="0" applyFill="1" applyBorder="1" applyAlignment="1">
      <alignment horizontal="center" vertical="center"/>
    </xf>
    <xf numFmtId="0" fontId="0" fillId="6" borderId="30" xfId="0" applyFill="1" applyBorder="1" applyAlignment="1">
      <alignment horizontal="center" vertical="center"/>
    </xf>
    <xf numFmtId="0" fontId="0" fillId="6" borderId="7" xfId="0" applyFill="1" applyBorder="1" applyAlignment="1">
      <alignment horizontal="center" vertical="center"/>
    </xf>
    <xf numFmtId="0" fontId="0" fillId="2" borderId="72" xfId="0" applyFill="1" applyBorder="1" applyAlignment="1">
      <alignment horizontal="left" vertical="center" wrapText="1"/>
    </xf>
    <xf numFmtId="0" fontId="14" fillId="6" borderId="28" xfId="0" applyFont="1" applyFill="1" applyBorder="1" applyAlignment="1">
      <alignment horizontal="center" vertical="center" wrapText="1"/>
    </xf>
    <xf numFmtId="0" fontId="14" fillId="6" borderId="29" xfId="0" applyFont="1" applyFill="1" applyBorder="1" applyAlignment="1">
      <alignment horizontal="center" vertical="center" wrapText="1"/>
    </xf>
    <xf numFmtId="0" fontId="14" fillId="6" borderId="6" xfId="0" applyFont="1" applyFill="1" applyBorder="1" applyAlignment="1">
      <alignment horizontal="center" vertical="center" wrapText="1"/>
    </xf>
    <xf numFmtId="0" fontId="0" fillId="2" borderId="63" xfId="0" applyFill="1" applyBorder="1" applyAlignment="1">
      <alignment horizontal="left" vertical="center" wrapText="1"/>
    </xf>
    <xf numFmtId="0" fontId="14" fillId="6" borderId="21" xfId="0" applyFont="1" applyFill="1" applyBorder="1" applyAlignment="1">
      <alignment horizontal="center" vertical="center"/>
    </xf>
    <xf numFmtId="0" fontId="14" fillId="6" borderId="5" xfId="0" applyFont="1" applyFill="1" applyBorder="1" applyAlignment="1">
      <alignment horizontal="center"/>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0" fillId="2" borderId="11" xfId="0" applyFill="1" applyBorder="1" applyAlignment="1">
      <alignment horizontal="left" vertical="center" wrapText="1"/>
    </xf>
    <xf numFmtId="0" fontId="11" fillId="7" borderId="20" xfId="0" applyFont="1" applyFill="1" applyBorder="1" applyAlignment="1">
      <alignment horizontal="center"/>
    </xf>
    <xf numFmtId="0" fontId="11" fillId="7" borderId="21" xfId="0" applyFont="1" applyFill="1" applyBorder="1" applyAlignment="1">
      <alignment horizontal="center"/>
    </xf>
    <xf numFmtId="0" fontId="11" fillId="7" borderId="11" xfId="0" applyFont="1" applyFill="1" applyBorder="1" applyAlignment="1">
      <alignment horizontal="center"/>
    </xf>
    <xf numFmtId="0" fontId="0" fillId="7" borderId="2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14" fillId="18" borderId="17" xfId="0" applyFont="1" applyFill="1" applyBorder="1" applyAlignment="1">
      <alignment horizontal="center"/>
    </xf>
    <xf numFmtId="0" fontId="14" fillId="18" borderId="12" xfId="0" applyFont="1" applyFill="1" applyBorder="1" applyAlignment="1">
      <alignment horizontal="center"/>
    </xf>
    <xf numFmtId="0" fontId="14" fillId="18" borderId="13" xfId="0" applyFont="1" applyFill="1" applyBorder="1" applyAlignment="1">
      <alignment horizontal="center"/>
    </xf>
    <xf numFmtId="0" fontId="14" fillId="18" borderId="19" xfId="0" applyFont="1" applyFill="1" applyBorder="1" applyAlignment="1">
      <alignment horizontal="center"/>
    </xf>
    <xf numFmtId="0" fontId="14" fillId="18" borderId="15" xfId="0" applyFont="1" applyFill="1" applyBorder="1" applyAlignment="1">
      <alignment horizontal="center"/>
    </xf>
    <xf numFmtId="0" fontId="14" fillId="18" borderId="16" xfId="0" applyFont="1" applyFill="1" applyBorder="1" applyAlignment="1">
      <alignment horizontal="center"/>
    </xf>
    <xf numFmtId="0" fontId="10" fillId="2" borderId="26" xfId="0" applyFont="1" applyFill="1" applyBorder="1" applyAlignment="1">
      <alignment horizontal="left" vertical="top" wrapText="1"/>
    </xf>
    <xf numFmtId="0" fontId="10" fillId="2" borderId="22" xfId="0" applyFont="1" applyFill="1" applyBorder="1" applyAlignment="1">
      <alignment horizontal="left" vertical="top" wrapText="1"/>
    </xf>
    <xf numFmtId="0" fontId="10" fillId="2" borderId="27" xfId="0" applyFont="1" applyFill="1" applyBorder="1" applyAlignment="1">
      <alignment horizontal="left" vertical="top" wrapText="1"/>
    </xf>
  </cellXfs>
  <cellStyles count="7">
    <cellStyle name="Comma" xfId="2" builtinId="3"/>
    <cellStyle name="Currency" xfId="6" builtinId="4"/>
    <cellStyle name="Hyperlink" xfId="1" builtinId="8"/>
    <cellStyle name="Normal" xfId="0" builtinId="0"/>
    <cellStyle name="Normal 2 14" xfId="4" xr:uid="{00000000-0005-0000-0000-000004000000}"/>
    <cellStyle name="Normal 2 15" xfId="5" xr:uid="{00000000-0005-0000-0000-000005000000}"/>
    <cellStyle name="Percent" xfId="3"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s-AR" sz="1800" b="1"/>
              <a:t>Evolución de la participación en el mercado</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A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Hipótesis!$B$24</c:f>
              <c:strCache>
                <c:ptCount val="1"/>
                <c:pt idx="0">
                  <c:v>2025</c:v>
                </c:pt>
              </c:strCache>
            </c:strRef>
          </c:tx>
          <c:spPr>
            <a:solidFill>
              <a:schemeClr val="accent1"/>
            </a:solidFill>
            <a:ln>
              <a:noFill/>
            </a:ln>
            <a:effectLst/>
            <a:sp3d/>
          </c:spPr>
          <c:invertIfNegative val="0"/>
          <c:cat>
            <c:strRef>
              <c:f>Hipótesis!$D$23</c:f>
              <c:strCache>
                <c:ptCount val="1"/>
                <c:pt idx="0">
                  <c:v>Total</c:v>
                </c:pt>
              </c:strCache>
            </c:strRef>
          </c:cat>
          <c:val>
            <c:numRef>
              <c:f>Hipótesis!$D$24</c:f>
              <c:numCache>
                <c:formatCode>_-"$"\ * #,##0.00_-;\-"$"\ * #,##0.00_-;_-"$"\ * "-"??_-;_-@_-</c:formatCode>
                <c:ptCount val="1"/>
                <c:pt idx="0">
                  <c:v>177120000</c:v>
                </c:pt>
              </c:numCache>
            </c:numRef>
          </c:val>
          <c:extLst>
            <c:ext xmlns:c16="http://schemas.microsoft.com/office/drawing/2014/chart" uri="{C3380CC4-5D6E-409C-BE32-E72D297353CC}">
              <c16:uniqueId val="{00000000-8197-4CDA-AB2D-833E93D514F5}"/>
            </c:ext>
          </c:extLst>
        </c:ser>
        <c:ser>
          <c:idx val="1"/>
          <c:order val="1"/>
          <c:tx>
            <c:strRef>
              <c:f>Hipótesis!$B$25</c:f>
              <c:strCache>
                <c:ptCount val="1"/>
                <c:pt idx="0">
                  <c:v>2026</c:v>
                </c:pt>
              </c:strCache>
            </c:strRef>
          </c:tx>
          <c:spPr>
            <a:solidFill>
              <a:schemeClr val="accent2"/>
            </a:solidFill>
            <a:ln>
              <a:noFill/>
            </a:ln>
            <a:effectLst/>
            <a:sp3d/>
          </c:spPr>
          <c:invertIfNegative val="0"/>
          <c:cat>
            <c:strRef>
              <c:f>Hipótesis!$D$23</c:f>
              <c:strCache>
                <c:ptCount val="1"/>
                <c:pt idx="0">
                  <c:v>Total</c:v>
                </c:pt>
              </c:strCache>
            </c:strRef>
          </c:cat>
          <c:val>
            <c:numRef>
              <c:f>Hipótesis!$D$25</c:f>
              <c:numCache>
                <c:formatCode>_-"$"\ * #,##0.00_-;\-"$"\ * #,##0.00_-;_-"$"\ * "-"??_-;_-@_-</c:formatCode>
                <c:ptCount val="1"/>
                <c:pt idx="0">
                  <c:v>265680000</c:v>
                </c:pt>
              </c:numCache>
            </c:numRef>
          </c:val>
          <c:extLst>
            <c:ext xmlns:c16="http://schemas.microsoft.com/office/drawing/2014/chart" uri="{C3380CC4-5D6E-409C-BE32-E72D297353CC}">
              <c16:uniqueId val="{00000001-8197-4CDA-AB2D-833E93D514F5}"/>
            </c:ext>
          </c:extLst>
        </c:ser>
        <c:ser>
          <c:idx val="2"/>
          <c:order val="2"/>
          <c:tx>
            <c:strRef>
              <c:f>Hipótesis!$B$26</c:f>
              <c:strCache>
                <c:ptCount val="1"/>
                <c:pt idx="0">
                  <c:v>2027</c:v>
                </c:pt>
              </c:strCache>
            </c:strRef>
          </c:tx>
          <c:spPr>
            <a:solidFill>
              <a:schemeClr val="accent3"/>
            </a:solidFill>
            <a:ln>
              <a:noFill/>
            </a:ln>
            <a:effectLst/>
            <a:sp3d/>
          </c:spPr>
          <c:invertIfNegative val="0"/>
          <c:cat>
            <c:strRef>
              <c:f>Hipótesis!$D$23</c:f>
              <c:strCache>
                <c:ptCount val="1"/>
                <c:pt idx="0">
                  <c:v>Total</c:v>
                </c:pt>
              </c:strCache>
            </c:strRef>
          </c:cat>
          <c:val>
            <c:numRef>
              <c:f>Hipótesis!$D$26</c:f>
              <c:numCache>
                <c:formatCode>_-"$"\ * #,##0.00_-;\-"$"\ * #,##0.00_-;_-"$"\ * "-"??_-;_-@_-</c:formatCode>
                <c:ptCount val="1"/>
                <c:pt idx="0">
                  <c:v>398520000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5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91798656"/>
        <c:crosses val="autoZero"/>
        <c:auto val="1"/>
        <c:lblAlgn val="ctr"/>
        <c:lblOffset val="100"/>
        <c:noMultiLvlLbl val="0"/>
      </c:catAx>
      <c:valAx>
        <c:axId val="917986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AR"/>
          </a:p>
        </c:txPr>
        <c:crossAx val="2517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s-AR" sz="1600" b="1"/>
              <a:t>Proyección mensual de ventas 2025</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AR"/>
        </a:p>
      </c:txPr>
    </c:title>
    <c:autoTitleDeleted val="0"/>
    <c:plotArea>
      <c:layout>
        <c:manualLayout>
          <c:layoutTarget val="inner"/>
          <c:xMode val="edge"/>
          <c:yMode val="edge"/>
          <c:x val="0.10072347391190987"/>
          <c:y val="8.3947929945699024E-2"/>
          <c:w val="0.88416923240132761"/>
          <c:h val="0.78659194141361466"/>
        </c:manualLayout>
      </c:layout>
      <c:barChart>
        <c:barDir val="col"/>
        <c:grouping val="clustered"/>
        <c:varyColors val="0"/>
        <c:ser>
          <c:idx val="0"/>
          <c:order val="0"/>
          <c:tx>
            <c:strRef>
              <c:f>'Proy. ventas'!$E$16:$F$16</c:f>
              <c:strCache>
                <c:ptCount val="1"/>
                <c:pt idx="0">
                  <c:v>Enero</c:v>
                </c:pt>
              </c:strCache>
            </c:strRef>
          </c:tx>
          <c:spPr>
            <a:solidFill>
              <a:schemeClr val="accent1"/>
            </a:solidFill>
            <a:ln>
              <a:noFill/>
            </a:ln>
            <a:effectLst/>
          </c:spPr>
          <c:invertIfNegative val="0"/>
          <c:val>
            <c:numRef>
              <c:f>'Proy. ventas'!$F$24</c:f>
              <c:numCache>
                <c:formatCode>_-"$"\ * #,##0.00_-;\-"$"\ * #,##0.00_-;_-"$"\ * "-"??_-;_-@_-</c:formatCode>
                <c:ptCount val="1"/>
                <c:pt idx="0">
                  <c:v>7098400</c:v>
                </c:pt>
              </c:numCache>
            </c:numRef>
          </c:val>
          <c:extLst>
            <c:ext xmlns:c16="http://schemas.microsoft.com/office/drawing/2014/chart" uri="{C3380CC4-5D6E-409C-BE32-E72D297353CC}">
              <c16:uniqueId val="{00000000-4DA9-477F-8514-E5E1C16EC836}"/>
            </c:ext>
          </c:extLst>
        </c:ser>
        <c:ser>
          <c:idx val="1"/>
          <c:order val="1"/>
          <c:tx>
            <c:strRef>
              <c:f>'Proy. ventas'!$G$16:$H$16</c:f>
              <c:strCache>
                <c:ptCount val="1"/>
                <c:pt idx="0">
                  <c:v>Febrero</c:v>
                </c:pt>
              </c:strCache>
            </c:strRef>
          </c:tx>
          <c:spPr>
            <a:solidFill>
              <a:schemeClr val="accent2"/>
            </a:solidFill>
            <a:ln>
              <a:noFill/>
            </a:ln>
            <a:effectLst/>
          </c:spPr>
          <c:invertIfNegative val="0"/>
          <c:val>
            <c:numRef>
              <c:f>'Proy. ventas'!$H$24</c:f>
              <c:numCache>
                <c:formatCode>_-"$"\ * #,##0.00_-;\-"$"\ * #,##0.00_-;_-"$"\ * "-"??_-;_-@_-</c:formatCode>
                <c:ptCount val="1"/>
                <c:pt idx="0">
                  <c:v>7098400</c:v>
                </c:pt>
              </c:numCache>
            </c:numRef>
          </c:val>
          <c:extLst>
            <c:ext xmlns:c16="http://schemas.microsoft.com/office/drawing/2014/chart" uri="{C3380CC4-5D6E-409C-BE32-E72D297353CC}">
              <c16:uniqueId val="{00000001-4DA9-477F-8514-E5E1C16EC836}"/>
            </c:ext>
          </c:extLst>
        </c:ser>
        <c:ser>
          <c:idx val="2"/>
          <c:order val="2"/>
          <c:tx>
            <c:strRef>
              <c:f>'Proy. ventas'!$I$16:$J$16</c:f>
              <c:strCache>
                <c:ptCount val="1"/>
                <c:pt idx="0">
                  <c:v>Marzo</c:v>
                </c:pt>
              </c:strCache>
            </c:strRef>
          </c:tx>
          <c:spPr>
            <a:solidFill>
              <a:schemeClr val="accent3"/>
            </a:solidFill>
            <a:ln>
              <a:noFill/>
            </a:ln>
            <a:effectLst/>
          </c:spPr>
          <c:invertIfNegative val="0"/>
          <c:val>
            <c:numRef>
              <c:f>'Proy. ventas'!$J$24</c:f>
              <c:numCache>
                <c:formatCode>_-"$"\ * #,##0.00_-;\-"$"\ * #,##0.00_-;_-"$"\ * "-"??_-;_-@_-</c:formatCode>
                <c:ptCount val="1"/>
                <c:pt idx="0">
                  <c:v>14196800</c:v>
                </c:pt>
              </c:numCache>
            </c:numRef>
          </c:val>
          <c:extLst>
            <c:ext xmlns:c16="http://schemas.microsoft.com/office/drawing/2014/chart" uri="{C3380CC4-5D6E-409C-BE32-E72D297353CC}">
              <c16:uniqueId val="{00000002-4DA9-477F-8514-E5E1C16EC836}"/>
            </c:ext>
          </c:extLst>
        </c:ser>
        <c:ser>
          <c:idx val="3"/>
          <c:order val="3"/>
          <c:tx>
            <c:strRef>
              <c:f>'Proy. ventas'!$K$16:$L$16</c:f>
              <c:strCache>
                <c:ptCount val="1"/>
                <c:pt idx="0">
                  <c:v>Abril</c:v>
                </c:pt>
              </c:strCache>
            </c:strRef>
          </c:tx>
          <c:spPr>
            <a:solidFill>
              <a:schemeClr val="accent4"/>
            </a:solidFill>
            <a:ln>
              <a:noFill/>
            </a:ln>
            <a:effectLst/>
          </c:spPr>
          <c:invertIfNegative val="0"/>
          <c:val>
            <c:numRef>
              <c:f>'Proy. ventas'!$L$24</c:f>
              <c:numCache>
                <c:formatCode>_-"$"\ * #,##0.00_-;\-"$"\ * #,##0.00_-;_-"$"\ * "-"??_-;_-@_-</c:formatCode>
                <c:ptCount val="1"/>
                <c:pt idx="0">
                  <c:v>14196800</c:v>
                </c:pt>
              </c:numCache>
            </c:numRef>
          </c:val>
          <c:extLst>
            <c:ext xmlns:c16="http://schemas.microsoft.com/office/drawing/2014/chart" uri="{C3380CC4-5D6E-409C-BE32-E72D297353CC}">
              <c16:uniqueId val="{00000003-4DA9-477F-8514-E5E1C16EC836}"/>
            </c:ext>
          </c:extLst>
        </c:ser>
        <c:ser>
          <c:idx val="4"/>
          <c:order val="4"/>
          <c:tx>
            <c:strRef>
              <c:f>'Proy. ventas'!$M$16:$N$16</c:f>
              <c:strCache>
                <c:ptCount val="1"/>
                <c:pt idx="0">
                  <c:v>Mayo</c:v>
                </c:pt>
              </c:strCache>
            </c:strRef>
          </c:tx>
          <c:spPr>
            <a:solidFill>
              <a:schemeClr val="accent5"/>
            </a:solidFill>
            <a:ln>
              <a:noFill/>
            </a:ln>
            <a:effectLst/>
          </c:spPr>
          <c:invertIfNegative val="0"/>
          <c:val>
            <c:numRef>
              <c:f>'Proy. ventas'!$N$24</c:f>
              <c:numCache>
                <c:formatCode>_-"$"\ * #,##0.00_-;\-"$"\ * #,##0.00_-;_-"$"\ * "-"??_-;_-@_-</c:formatCode>
                <c:ptCount val="1"/>
                <c:pt idx="0">
                  <c:v>14196800</c:v>
                </c:pt>
              </c:numCache>
            </c:numRef>
          </c:val>
          <c:extLst>
            <c:ext xmlns:c16="http://schemas.microsoft.com/office/drawing/2014/chart" uri="{C3380CC4-5D6E-409C-BE32-E72D297353CC}">
              <c16:uniqueId val="{00000004-4DA9-477F-8514-E5E1C16EC836}"/>
            </c:ext>
          </c:extLst>
        </c:ser>
        <c:ser>
          <c:idx val="5"/>
          <c:order val="5"/>
          <c:tx>
            <c:strRef>
              <c:f>'Proy. ventas'!$O$16:$P$16</c:f>
              <c:strCache>
                <c:ptCount val="1"/>
                <c:pt idx="0">
                  <c:v>Junio</c:v>
                </c:pt>
              </c:strCache>
            </c:strRef>
          </c:tx>
          <c:spPr>
            <a:solidFill>
              <a:schemeClr val="accent6"/>
            </a:solidFill>
            <a:ln>
              <a:noFill/>
            </a:ln>
            <a:effectLst/>
          </c:spPr>
          <c:invertIfNegative val="0"/>
          <c:val>
            <c:numRef>
              <c:f>'Proy. ventas'!$P$24</c:f>
              <c:numCache>
                <c:formatCode>_-"$"\ * #,##0.00_-;\-"$"\ * #,##0.00_-;_-"$"\ * "-"??_-;_-@_-</c:formatCode>
                <c:ptCount val="1"/>
                <c:pt idx="0">
                  <c:v>14196800</c:v>
                </c:pt>
              </c:numCache>
            </c:numRef>
          </c:val>
          <c:extLst>
            <c:ext xmlns:c16="http://schemas.microsoft.com/office/drawing/2014/chart" uri="{C3380CC4-5D6E-409C-BE32-E72D297353CC}">
              <c16:uniqueId val="{00000005-4DA9-477F-8514-E5E1C16EC836}"/>
            </c:ext>
          </c:extLst>
        </c:ser>
        <c:ser>
          <c:idx val="6"/>
          <c:order val="6"/>
          <c:tx>
            <c:strRef>
              <c:f>'Proy. ventas'!$Q$16:$R$16</c:f>
              <c:strCache>
                <c:ptCount val="1"/>
                <c:pt idx="0">
                  <c:v>Julio</c:v>
                </c:pt>
              </c:strCache>
            </c:strRef>
          </c:tx>
          <c:spPr>
            <a:solidFill>
              <a:schemeClr val="accent1">
                <a:lumMod val="60000"/>
              </a:schemeClr>
            </a:solidFill>
            <a:ln>
              <a:noFill/>
            </a:ln>
            <a:effectLst/>
          </c:spPr>
          <c:invertIfNegative val="0"/>
          <c:val>
            <c:numRef>
              <c:f>'Proy. ventas'!$R$24</c:f>
              <c:numCache>
                <c:formatCode>_-"$"\ * #,##0.00_-;\-"$"\ * #,##0.00_-;_-"$"\ * "-"??_-;_-@_-</c:formatCode>
                <c:ptCount val="1"/>
                <c:pt idx="0">
                  <c:v>17746000</c:v>
                </c:pt>
              </c:numCache>
            </c:numRef>
          </c:val>
          <c:extLst>
            <c:ext xmlns:c16="http://schemas.microsoft.com/office/drawing/2014/chart" uri="{C3380CC4-5D6E-409C-BE32-E72D297353CC}">
              <c16:uniqueId val="{00000006-4DA9-477F-8514-E5E1C16EC836}"/>
            </c:ext>
          </c:extLst>
        </c:ser>
        <c:ser>
          <c:idx val="7"/>
          <c:order val="7"/>
          <c:tx>
            <c:strRef>
              <c:f>'Proy. ventas'!$S$16:$T$16</c:f>
              <c:strCache>
                <c:ptCount val="1"/>
                <c:pt idx="0">
                  <c:v>Agosto</c:v>
                </c:pt>
              </c:strCache>
            </c:strRef>
          </c:tx>
          <c:spPr>
            <a:solidFill>
              <a:schemeClr val="accent2">
                <a:lumMod val="60000"/>
              </a:schemeClr>
            </a:solidFill>
            <a:ln>
              <a:noFill/>
            </a:ln>
            <a:effectLst/>
          </c:spPr>
          <c:invertIfNegative val="0"/>
          <c:val>
            <c:numRef>
              <c:f>'Proy. ventas'!$T$24</c:f>
              <c:numCache>
                <c:formatCode>_-"$"\ * #,##0.00_-;\-"$"\ * #,##0.00_-;_-"$"\ * "-"??_-;_-@_-</c:formatCode>
                <c:ptCount val="1"/>
                <c:pt idx="0">
                  <c:v>17746000</c:v>
                </c:pt>
              </c:numCache>
            </c:numRef>
          </c:val>
          <c:extLst>
            <c:ext xmlns:c16="http://schemas.microsoft.com/office/drawing/2014/chart" uri="{C3380CC4-5D6E-409C-BE32-E72D297353CC}">
              <c16:uniqueId val="{00000007-4DA9-477F-8514-E5E1C16EC836}"/>
            </c:ext>
          </c:extLst>
        </c:ser>
        <c:ser>
          <c:idx val="8"/>
          <c:order val="8"/>
          <c:tx>
            <c:strRef>
              <c:f>'Proy. ventas'!$U$16:$V$16</c:f>
              <c:strCache>
                <c:ptCount val="1"/>
                <c:pt idx="0">
                  <c:v>Septiembre</c:v>
                </c:pt>
              </c:strCache>
            </c:strRef>
          </c:tx>
          <c:spPr>
            <a:solidFill>
              <a:schemeClr val="accent3">
                <a:lumMod val="60000"/>
              </a:schemeClr>
            </a:solidFill>
            <a:ln>
              <a:noFill/>
            </a:ln>
            <a:effectLst/>
          </c:spPr>
          <c:invertIfNegative val="0"/>
          <c:val>
            <c:numRef>
              <c:f>'Proy. ventas'!$V$24</c:f>
              <c:numCache>
                <c:formatCode>_-"$"\ * #,##0.00_-;\-"$"\ * #,##0.00_-;_-"$"\ * "-"??_-;_-@_-</c:formatCode>
                <c:ptCount val="1"/>
                <c:pt idx="0">
                  <c:v>17746000</c:v>
                </c:pt>
              </c:numCache>
            </c:numRef>
          </c:val>
          <c:extLst>
            <c:ext xmlns:c16="http://schemas.microsoft.com/office/drawing/2014/chart" uri="{C3380CC4-5D6E-409C-BE32-E72D297353CC}">
              <c16:uniqueId val="{00000008-4DA9-477F-8514-E5E1C16EC836}"/>
            </c:ext>
          </c:extLst>
        </c:ser>
        <c:ser>
          <c:idx val="9"/>
          <c:order val="9"/>
          <c:tx>
            <c:strRef>
              <c:f>'Proy. ventas'!$W$16:$X$16</c:f>
              <c:strCache>
                <c:ptCount val="1"/>
                <c:pt idx="0">
                  <c:v>Octubre</c:v>
                </c:pt>
              </c:strCache>
            </c:strRef>
          </c:tx>
          <c:spPr>
            <a:solidFill>
              <a:schemeClr val="accent4">
                <a:lumMod val="60000"/>
              </a:schemeClr>
            </a:solidFill>
            <a:ln>
              <a:noFill/>
            </a:ln>
            <a:effectLst/>
          </c:spPr>
          <c:invertIfNegative val="0"/>
          <c:val>
            <c:numRef>
              <c:f>'Proy. ventas'!$X$24</c:f>
              <c:numCache>
                <c:formatCode>_-"$"\ * #,##0.00_-;\-"$"\ * #,##0.00_-;_-"$"\ * "-"??_-;_-@_-</c:formatCode>
                <c:ptCount val="1"/>
                <c:pt idx="0">
                  <c:v>21295200</c:v>
                </c:pt>
              </c:numCache>
            </c:numRef>
          </c:val>
          <c:extLst>
            <c:ext xmlns:c16="http://schemas.microsoft.com/office/drawing/2014/chart" uri="{C3380CC4-5D6E-409C-BE32-E72D297353CC}">
              <c16:uniqueId val="{00000009-4DA9-477F-8514-E5E1C16EC836}"/>
            </c:ext>
          </c:extLst>
        </c:ser>
        <c:ser>
          <c:idx val="10"/>
          <c:order val="10"/>
          <c:tx>
            <c:strRef>
              <c:f>'Proy. ventas'!$Y$16:$Z$16</c:f>
              <c:strCache>
                <c:ptCount val="1"/>
                <c:pt idx="0">
                  <c:v>Noviembre</c:v>
                </c:pt>
              </c:strCache>
            </c:strRef>
          </c:tx>
          <c:spPr>
            <a:solidFill>
              <a:schemeClr val="accent5">
                <a:lumMod val="60000"/>
              </a:schemeClr>
            </a:solidFill>
            <a:ln>
              <a:noFill/>
            </a:ln>
            <a:effectLst/>
          </c:spPr>
          <c:invertIfNegative val="0"/>
          <c:val>
            <c:numRef>
              <c:f>'Proy. ventas'!$Z$24</c:f>
              <c:numCache>
                <c:formatCode>_-"$"\ * #,##0.00_-;\-"$"\ * #,##0.00_-;_-"$"\ * "-"??_-;_-@_-</c:formatCode>
                <c:ptCount val="1"/>
                <c:pt idx="0">
                  <c:v>21295200</c:v>
                </c:pt>
              </c:numCache>
            </c:numRef>
          </c:val>
          <c:extLst>
            <c:ext xmlns:c16="http://schemas.microsoft.com/office/drawing/2014/chart" uri="{C3380CC4-5D6E-409C-BE32-E72D297353CC}">
              <c16:uniqueId val="{0000000A-4DA9-477F-8514-E5E1C16EC836}"/>
            </c:ext>
          </c:extLst>
        </c:ser>
        <c:ser>
          <c:idx val="11"/>
          <c:order val="11"/>
          <c:tx>
            <c:strRef>
              <c:f>'Proy. ventas'!$AA$16:$AB$16</c:f>
              <c:strCache>
                <c:ptCount val="1"/>
                <c:pt idx="0">
                  <c:v>Diciembre</c:v>
                </c:pt>
              </c:strCache>
            </c:strRef>
          </c:tx>
          <c:spPr>
            <a:solidFill>
              <a:schemeClr val="accent6">
                <a:lumMod val="60000"/>
              </a:schemeClr>
            </a:solidFill>
            <a:ln>
              <a:noFill/>
            </a:ln>
            <a:effectLst/>
          </c:spPr>
          <c:invertIfNegative val="0"/>
          <c:val>
            <c:numRef>
              <c:f>'Proy. ventas'!$AB$24</c:f>
              <c:numCache>
                <c:formatCode>_-"$"\ * #,##0.00_-;\-"$"\ * #,##0.00_-;_-"$"\ * "-"??_-;_-@_-</c:formatCode>
                <c:ptCount val="1"/>
                <c:pt idx="0">
                  <c:v>10647600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219"/>
        <c:overlap val="-27"/>
        <c:axId val="281132207"/>
        <c:axId val="283847231"/>
      </c:barChart>
      <c:catAx>
        <c:axId val="28113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AR"/>
          </a:p>
        </c:txPr>
        <c:crossAx val="281132207"/>
        <c:crosses val="autoZero"/>
        <c:crossBetween val="between"/>
      </c:valAx>
      <c:spPr>
        <a:noFill/>
        <a:ln>
          <a:noFill/>
        </a:ln>
        <a:effectLst/>
      </c:spPr>
    </c:plotArea>
    <c:legend>
      <c:legendPos val="b"/>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s-AR" sz="1600" b="1"/>
              <a:t>Proyección mensual</a:t>
            </a:r>
            <a:r>
              <a:rPr lang="es-AR" sz="1600" b="1" baseline="0"/>
              <a:t> de ventas 2026</a:t>
            </a:r>
            <a:endParaRPr lang="es-AR"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AR"/>
        </a:p>
      </c:txPr>
    </c:title>
    <c:autoTitleDeleted val="0"/>
    <c:plotArea>
      <c:layout/>
      <c:barChart>
        <c:barDir val="col"/>
        <c:grouping val="clustered"/>
        <c:varyColors val="0"/>
        <c:ser>
          <c:idx val="0"/>
          <c:order val="0"/>
          <c:tx>
            <c:strRef>
              <c:f>'Proy. ventas'!$E$68:$F$68</c:f>
              <c:strCache>
                <c:ptCount val="1"/>
                <c:pt idx="0">
                  <c:v>Enero</c:v>
                </c:pt>
              </c:strCache>
            </c:strRef>
          </c:tx>
          <c:spPr>
            <a:solidFill>
              <a:schemeClr val="accent1"/>
            </a:solidFill>
            <a:ln>
              <a:noFill/>
            </a:ln>
            <a:effectLst/>
          </c:spPr>
          <c:invertIfNegative val="0"/>
          <c:val>
            <c:numRef>
              <c:f>'Proy. ventas'!$F$76</c:f>
              <c:numCache>
                <c:formatCode>_-"$"\ * #,##0.00_-;\-"$"\ * #,##0.00_-;_-"$"\ * "-"??_-;_-@_-</c:formatCode>
                <c:ptCount val="1"/>
                <c:pt idx="0">
                  <c:v>10601600</c:v>
                </c:pt>
              </c:numCache>
            </c:numRef>
          </c:val>
          <c:extLst>
            <c:ext xmlns:c16="http://schemas.microsoft.com/office/drawing/2014/chart" uri="{C3380CC4-5D6E-409C-BE32-E72D297353CC}">
              <c16:uniqueId val="{00000000-916A-4904-8F5A-19D256CB58D9}"/>
            </c:ext>
          </c:extLst>
        </c:ser>
        <c:ser>
          <c:idx val="1"/>
          <c:order val="1"/>
          <c:tx>
            <c:strRef>
              <c:f>'Proy. ventas'!$G$68:$H$68</c:f>
              <c:strCache>
                <c:ptCount val="1"/>
                <c:pt idx="0">
                  <c:v>Febrero</c:v>
                </c:pt>
              </c:strCache>
            </c:strRef>
          </c:tx>
          <c:spPr>
            <a:solidFill>
              <a:schemeClr val="accent2"/>
            </a:solidFill>
            <a:ln>
              <a:noFill/>
            </a:ln>
            <a:effectLst/>
          </c:spPr>
          <c:invertIfNegative val="0"/>
          <c:val>
            <c:numRef>
              <c:f>'Proy. ventas'!$H$76</c:f>
              <c:numCache>
                <c:formatCode>_-"$"\ * #,##0.00_-;\-"$"\ * #,##0.00_-;_-"$"\ * "-"??_-;_-@_-</c:formatCode>
                <c:ptCount val="1"/>
                <c:pt idx="0">
                  <c:v>10601600</c:v>
                </c:pt>
              </c:numCache>
            </c:numRef>
          </c:val>
          <c:extLst>
            <c:ext xmlns:c16="http://schemas.microsoft.com/office/drawing/2014/chart" uri="{C3380CC4-5D6E-409C-BE32-E72D297353CC}">
              <c16:uniqueId val="{00000001-916A-4904-8F5A-19D256CB58D9}"/>
            </c:ext>
          </c:extLst>
        </c:ser>
        <c:ser>
          <c:idx val="2"/>
          <c:order val="2"/>
          <c:tx>
            <c:strRef>
              <c:f>'Proy. ventas'!$I$68:$J$68</c:f>
              <c:strCache>
                <c:ptCount val="1"/>
                <c:pt idx="0">
                  <c:v>Marzo</c:v>
                </c:pt>
              </c:strCache>
            </c:strRef>
          </c:tx>
          <c:spPr>
            <a:solidFill>
              <a:schemeClr val="accent3"/>
            </a:solidFill>
            <a:ln>
              <a:noFill/>
            </a:ln>
            <a:effectLst/>
          </c:spPr>
          <c:invertIfNegative val="0"/>
          <c:val>
            <c:numRef>
              <c:f>'Proy. ventas'!$J$76</c:f>
              <c:numCache>
                <c:formatCode>_-"$"\ * #,##0.00_-;\-"$"\ * #,##0.00_-;_-"$"\ * "-"??_-;_-@_-</c:formatCode>
                <c:ptCount val="1"/>
                <c:pt idx="0">
                  <c:v>21203200</c:v>
                </c:pt>
              </c:numCache>
            </c:numRef>
          </c:val>
          <c:extLst>
            <c:ext xmlns:c16="http://schemas.microsoft.com/office/drawing/2014/chart" uri="{C3380CC4-5D6E-409C-BE32-E72D297353CC}">
              <c16:uniqueId val="{00000002-916A-4904-8F5A-19D256CB58D9}"/>
            </c:ext>
          </c:extLst>
        </c:ser>
        <c:ser>
          <c:idx val="3"/>
          <c:order val="3"/>
          <c:tx>
            <c:strRef>
              <c:f>'Proy. ventas'!$K$68:$L$68</c:f>
              <c:strCache>
                <c:ptCount val="1"/>
                <c:pt idx="0">
                  <c:v>Abril</c:v>
                </c:pt>
              </c:strCache>
            </c:strRef>
          </c:tx>
          <c:spPr>
            <a:solidFill>
              <a:schemeClr val="accent4"/>
            </a:solidFill>
            <a:ln>
              <a:noFill/>
            </a:ln>
            <a:effectLst/>
          </c:spPr>
          <c:invertIfNegative val="0"/>
          <c:val>
            <c:numRef>
              <c:f>'Proy. ventas'!$L$76</c:f>
              <c:numCache>
                <c:formatCode>_-"$"\ * #,##0.00_-;\-"$"\ * #,##0.00_-;_-"$"\ * "-"??_-;_-@_-</c:formatCode>
                <c:ptCount val="1"/>
                <c:pt idx="0">
                  <c:v>21203200</c:v>
                </c:pt>
              </c:numCache>
            </c:numRef>
          </c:val>
          <c:extLst>
            <c:ext xmlns:c16="http://schemas.microsoft.com/office/drawing/2014/chart" uri="{C3380CC4-5D6E-409C-BE32-E72D297353CC}">
              <c16:uniqueId val="{00000003-916A-4904-8F5A-19D256CB58D9}"/>
            </c:ext>
          </c:extLst>
        </c:ser>
        <c:ser>
          <c:idx val="4"/>
          <c:order val="4"/>
          <c:tx>
            <c:strRef>
              <c:f>'Proy. ventas'!$M$68:$N$68</c:f>
              <c:strCache>
                <c:ptCount val="1"/>
                <c:pt idx="0">
                  <c:v>Mayo</c:v>
                </c:pt>
              </c:strCache>
            </c:strRef>
          </c:tx>
          <c:spPr>
            <a:solidFill>
              <a:schemeClr val="accent5"/>
            </a:solidFill>
            <a:ln>
              <a:noFill/>
            </a:ln>
            <a:effectLst/>
          </c:spPr>
          <c:invertIfNegative val="0"/>
          <c:val>
            <c:numRef>
              <c:f>'Proy. ventas'!$N$76</c:f>
              <c:numCache>
                <c:formatCode>_-"$"\ * #,##0.00_-;\-"$"\ * #,##0.00_-;_-"$"\ * "-"??_-;_-@_-</c:formatCode>
                <c:ptCount val="1"/>
                <c:pt idx="0">
                  <c:v>21203200</c:v>
                </c:pt>
              </c:numCache>
            </c:numRef>
          </c:val>
          <c:extLst>
            <c:ext xmlns:c16="http://schemas.microsoft.com/office/drawing/2014/chart" uri="{C3380CC4-5D6E-409C-BE32-E72D297353CC}">
              <c16:uniqueId val="{00000004-916A-4904-8F5A-19D256CB58D9}"/>
            </c:ext>
          </c:extLst>
        </c:ser>
        <c:ser>
          <c:idx val="5"/>
          <c:order val="5"/>
          <c:tx>
            <c:strRef>
              <c:f>'Proy. ventas'!$O$68:$P$68</c:f>
              <c:strCache>
                <c:ptCount val="1"/>
                <c:pt idx="0">
                  <c:v>Junio</c:v>
                </c:pt>
              </c:strCache>
            </c:strRef>
          </c:tx>
          <c:spPr>
            <a:solidFill>
              <a:schemeClr val="accent6"/>
            </a:solidFill>
            <a:ln>
              <a:noFill/>
            </a:ln>
            <a:effectLst/>
          </c:spPr>
          <c:invertIfNegative val="0"/>
          <c:val>
            <c:numRef>
              <c:f>'Proy. ventas'!$P$76</c:f>
              <c:numCache>
                <c:formatCode>_-"$"\ * #,##0.00_-;\-"$"\ * #,##0.00_-;_-"$"\ * "-"??_-;_-@_-</c:formatCode>
                <c:ptCount val="1"/>
                <c:pt idx="0">
                  <c:v>21203200</c:v>
                </c:pt>
              </c:numCache>
            </c:numRef>
          </c:val>
          <c:extLst>
            <c:ext xmlns:c16="http://schemas.microsoft.com/office/drawing/2014/chart" uri="{C3380CC4-5D6E-409C-BE32-E72D297353CC}">
              <c16:uniqueId val="{00000005-916A-4904-8F5A-19D256CB58D9}"/>
            </c:ext>
          </c:extLst>
        </c:ser>
        <c:ser>
          <c:idx val="6"/>
          <c:order val="6"/>
          <c:tx>
            <c:strRef>
              <c:f>'Proy. ventas'!$Q$68:$R$68</c:f>
              <c:strCache>
                <c:ptCount val="1"/>
                <c:pt idx="0">
                  <c:v>Julio</c:v>
                </c:pt>
              </c:strCache>
            </c:strRef>
          </c:tx>
          <c:spPr>
            <a:solidFill>
              <a:schemeClr val="accent1">
                <a:lumMod val="60000"/>
              </a:schemeClr>
            </a:solidFill>
            <a:ln>
              <a:noFill/>
            </a:ln>
            <a:effectLst/>
          </c:spPr>
          <c:invertIfNegative val="0"/>
          <c:val>
            <c:numRef>
              <c:f>'Proy. ventas'!$R$76</c:f>
              <c:numCache>
                <c:formatCode>_-"$"\ * #,##0.00_-;\-"$"\ * #,##0.00_-;_-"$"\ * "-"??_-;_-@_-</c:formatCode>
                <c:ptCount val="1"/>
                <c:pt idx="0">
                  <c:v>26504000</c:v>
                </c:pt>
              </c:numCache>
            </c:numRef>
          </c:val>
          <c:extLst>
            <c:ext xmlns:c16="http://schemas.microsoft.com/office/drawing/2014/chart" uri="{C3380CC4-5D6E-409C-BE32-E72D297353CC}">
              <c16:uniqueId val="{00000006-916A-4904-8F5A-19D256CB58D9}"/>
            </c:ext>
          </c:extLst>
        </c:ser>
        <c:ser>
          <c:idx val="7"/>
          <c:order val="7"/>
          <c:tx>
            <c:strRef>
              <c:f>'Proy. ventas'!$S$68:$T$68</c:f>
              <c:strCache>
                <c:ptCount val="1"/>
                <c:pt idx="0">
                  <c:v>Agosto</c:v>
                </c:pt>
              </c:strCache>
            </c:strRef>
          </c:tx>
          <c:spPr>
            <a:solidFill>
              <a:schemeClr val="accent2">
                <a:lumMod val="60000"/>
              </a:schemeClr>
            </a:solidFill>
            <a:ln>
              <a:noFill/>
            </a:ln>
            <a:effectLst/>
          </c:spPr>
          <c:invertIfNegative val="0"/>
          <c:val>
            <c:numRef>
              <c:f>'Proy. ventas'!$T$76</c:f>
              <c:numCache>
                <c:formatCode>_-"$"\ * #,##0.00_-;\-"$"\ * #,##0.00_-;_-"$"\ * "-"??_-;_-@_-</c:formatCode>
                <c:ptCount val="1"/>
                <c:pt idx="0">
                  <c:v>26504000</c:v>
                </c:pt>
              </c:numCache>
            </c:numRef>
          </c:val>
          <c:extLst>
            <c:ext xmlns:c16="http://schemas.microsoft.com/office/drawing/2014/chart" uri="{C3380CC4-5D6E-409C-BE32-E72D297353CC}">
              <c16:uniqueId val="{00000007-916A-4904-8F5A-19D256CB58D9}"/>
            </c:ext>
          </c:extLst>
        </c:ser>
        <c:ser>
          <c:idx val="8"/>
          <c:order val="8"/>
          <c:tx>
            <c:strRef>
              <c:f>'Proy. ventas'!$U$68:$V$68</c:f>
              <c:strCache>
                <c:ptCount val="1"/>
                <c:pt idx="0">
                  <c:v>Septiembre</c:v>
                </c:pt>
              </c:strCache>
            </c:strRef>
          </c:tx>
          <c:spPr>
            <a:solidFill>
              <a:schemeClr val="accent3">
                <a:lumMod val="60000"/>
              </a:schemeClr>
            </a:solidFill>
            <a:ln>
              <a:noFill/>
            </a:ln>
            <a:effectLst/>
          </c:spPr>
          <c:invertIfNegative val="0"/>
          <c:val>
            <c:numRef>
              <c:f>'Proy. ventas'!$V$76</c:f>
              <c:numCache>
                <c:formatCode>_-"$"\ * #,##0.00_-;\-"$"\ * #,##0.00_-;_-"$"\ * "-"??_-;_-@_-</c:formatCode>
                <c:ptCount val="1"/>
                <c:pt idx="0">
                  <c:v>26504000</c:v>
                </c:pt>
              </c:numCache>
            </c:numRef>
          </c:val>
          <c:extLst>
            <c:ext xmlns:c16="http://schemas.microsoft.com/office/drawing/2014/chart" uri="{C3380CC4-5D6E-409C-BE32-E72D297353CC}">
              <c16:uniqueId val="{00000008-916A-4904-8F5A-19D256CB58D9}"/>
            </c:ext>
          </c:extLst>
        </c:ser>
        <c:ser>
          <c:idx val="9"/>
          <c:order val="9"/>
          <c:tx>
            <c:strRef>
              <c:f>'Proy. ventas'!$W$68:$X$68</c:f>
              <c:strCache>
                <c:ptCount val="1"/>
                <c:pt idx="0">
                  <c:v>Octubre</c:v>
                </c:pt>
              </c:strCache>
            </c:strRef>
          </c:tx>
          <c:spPr>
            <a:solidFill>
              <a:schemeClr val="accent4">
                <a:lumMod val="60000"/>
              </a:schemeClr>
            </a:solidFill>
            <a:ln>
              <a:noFill/>
            </a:ln>
            <a:effectLst/>
          </c:spPr>
          <c:invertIfNegative val="0"/>
          <c:val>
            <c:numRef>
              <c:f>'Proy. ventas'!$X$76</c:f>
              <c:numCache>
                <c:formatCode>_-"$"\ * #,##0.00_-;\-"$"\ * #,##0.00_-;_-"$"\ * "-"??_-;_-@_-</c:formatCode>
                <c:ptCount val="1"/>
                <c:pt idx="0">
                  <c:v>31804800</c:v>
                </c:pt>
              </c:numCache>
            </c:numRef>
          </c:val>
          <c:extLst>
            <c:ext xmlns:c16="http://schemas.microsoft.com/office/drawing/2014/chart" uri="{C3380CC4-5D6E-409C-BE32-E72D297353CC}">
              <c16:uniqueId val="{00000009-916A-4904-8F5A-19D256CB58D9}"/>
            </c:ext>
          </c:extLst>
        </c:ser>
        <c:ser>
          <c:idx val="10"/>
          <c:order val="10"/>
          <c:tx>
            <c:strRef>
              <c:f>'Proy. ventas'!$Y$68:$Z$68</c:f>
              <c:strCache>
                <c:ptCount val="1"/>
                <c:pt idx="0">
                  <c:v>Noviembre</c:v>
                </c:pt>
              </c:strCache>
            </c:strRef>
          </c:tx>
          <c:spPr>
            <a:solidFill>
              <a:schemeClr val="accent5">
                <a:lumMod val="60000"/>
              </a:schemeClr>
            </a:solidFill>
            <a:ln>
              <a:noFill/>
            </a:ln>
            <a:effectLst/>
          </c:spPr>
          <c:invertIfNegative val="0"/>
          <c:val>
            <c:numRef>
              <c:f>'Proy. ventas'!$Z$76</c:f>
              <c:numCache>
                <c:formatCode>_-"$"\ * #,##0.00_-;\-"$"\ * #,##0.00_-;_-"$"\ * "-"??_-;_-@_-</c:formatCode>
                <c:ptCount val="1"/>
                <c:pt idx="0">
                  <c:v>31804800</c:v>
                </c:pt>
              </c:numCache>
            </c:numRef>
          </c:val>
          <c:extLst>
            <c:ext xmlns:c16="http://schemas.microsoft.com/office/drawing/2014/chart" uri="{C3380CC4-5D6E-409C-BE32-E72D297353CC}">
              <c16:uniqueId val="{0000000A-916A-4904-8F5A-19D256CB58D9}"/>
            </c:ext>
          </c:extLst>
        </c:ser>
        <c:ser>
          <c:idx val="11"/>
          <c:order val="11"/>
          <c:tx>
            <c:strRef>
              <c:f>'Proy. ventas'!$AA$68:$AB$68</c:f>
              <c:strCache>
                <c:ptCount val="1"/>
                <c:pt idx="0">
                  <c:v>Diciembre</c:v>
                </c:pt>
              </c:strCache>
            </c:strRef>
          </c:tx>
          <c:spPr>
            <a:solidFill>
              <a:schemeClr val="accent6">
                <a:lumMod val="60000"/>
              </a:schemeClr>
            </a:solidFill>
            <a:ln>
              <a:noFill/>
            </a:ln>
            <a:effectLst/>
          </c:spPr>
          <c:invertIfNegative val="0"/>
          <c:val>
            <c:numRef>
              <c:f>'Proy. ventas'!$AB$76</c:f>
              <c:numCache>
                <c:formatCode>_-"$"\ * #,##0.00_-;\-"$"\ * #,##0.00_-;_-"$"\ * "-"??_-;_-@_-</c:formatCode>
                <c:ptCount val="1"/>
                <c:pt idx="0">
                  <c:v>15902400</c:v>
                </c:pt>
              </c:numCache>
            </c:numRef>
          </c:val>
          <c:extLst>
            <c:ext xmlns:c16="http://schemas.microsoft.com/office/drawing/2014/chart" uri="{C3380CC4-5D6E-409C-BE32-E72D297353CC}">
              <c16:uniqueId val="{0000000B-916A-4904-8F5A-19D256CB58D9}"/>
            </c:ext>
          </c:extLst>
        </c:ser>
        <c:dLbls>
          <c:showLegendKey val="0"/>
          <c:showVal val="0"/>
          <c:showCatName val="0"/>
          <c:showSerName val="0"/>
          <c:showPercent val="0"/>
          <c:showBubbleSize val="0"/>
        </c:dLbls>
        <c:gapWidth val="219"/>
        <c:overlap val="-27"/>
        <c:axId val="281125407"/>
        <c:axId val="271408143"/>
      </c:barChart>
      <c:catAx>
        <c:axId val="281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271408143"/>
        <c:crosses val="autoZero"/>
        <c:auto val="1"/>
        <c:lblAlgn val="ctr"/>
        <c:lblOffset val="100"/>
        <c:noMultiLvlLbl val="0"/>
      </c:catAx>
      <c:valAx>
        <c:axId val="2714081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AR"/>
          </a:p>
        </c:txPr>
        <c:crossAx val="281125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s-AR" sz="1800" b="1"/>
              <a:t>Proyección mensual</a:t>
            </a:r>
            <a:r>
              <a:rPr lang="es-AR" sz="1800" b="1" baseline="0"/>
              <a:t> de ventas 2027</a:t>
            </a:r>
            <a:endParaRPr lang="es-AR"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AR"/>
        </a:p>
      </c:txPr>
    </c:title>
    <c:autoTitleDeleted val="0"/>
    <c:plotArea>
      <c:layout/>
      <c:barChart>
        <c:barDir val="col"/>
        <c:grouping val="clustered"/>
        <c:varyColors val="0"/>
        <c:ser>
          <c:idx val="0"/>
          <c:order val="0"/>
          <c:tx>
            <c:strRef>
              <c:f>'Proy. ventas'!$E$119:$F$119</c:f>
              <c:strCache>
                <c:ptCount val="1"/>
                <c:pt idx="0">
                  <c:v>Enero</c:v>
                </c:pt>
              </c:strCache>
            </c:strRef>
          </c:tx>
          <c:spPr>
            <a:solidFill>
              <a:schemeClr val="accent1"/>
            </a:solidFill>
            <a:ln>
              <a:noFill/>
            </a:ln>
            <a:effectLst/>
          </c:spPr>
          <c:invertIfNegative val="0"/>
          <c:val>
            <c:numRef>
              <c:f>'Proy. ventas'!$F$127</c:f>
              <c:numCache>
                <c:formatCode>_-"$"\ * #,##0.00_-;\-"$"\ * #,##0.00_-;_-"$"\ * "-"??_-;_-@_-</c:formatCode>
                <c:ptCount val="1"/>
                <c:pt idx="0">
                  <c:v>15939600</c:v>
                </c:pt>
              </c:numCache>
            </c:numRef>
          </c:val>
          <c:extLst>
            <c:ext xmlns:c16="http://schemas.microsoft.com/office/drawing/2014/chart" uri="{C3380CC4-5D6E-409C-BE32-E72D297353CC}">
              <c16:uniqueId val="{00000000-9191-4473-B9A1-489F425F65C4}"/>
            </c:ext>
          </c:extLst>
        </c:ser>
        <c:ser>
          <c:idx val="1"/>
          <c:order val="1"/>
          <c:tx>
            <c:strRef>
              <c:f>'Proy. ventas'!$G$119:$H$119</c:f>
              <c:strCache>
                <c:ptCount val="1"/>
                <c:pt idx="0">
                  <c:v>Febrero</c:v>
                </c:pt>
              </c:strCache>
            </c:strRef>
          </c:tx>
          <c:spPr>
            <a:solidFill>
              <a:schemeClr val="accent2"/>
            </a:solidFill>
            <a:ln>
              <a:noFill/>
            </a:ln>
            <a:effectLst/>
          </c:spPr>
          <c:invertIfNegative val="0"/>
          <c:val>
            <c:numRef>
              <c:f>'Proy. ventas'!$H$127</c:f>
              <c:numCache>
                <c:formatCode>_-"$"\ * #,##0.00_-;\-"$"\ * #,##0.00_-;_-"$"\ * "-"??_-;_-@_-</c:formatCode>
                <c:ptCount val="1"/>
                <c:pt idx="0">
                  <c:v>15939600</c:v>
                </c:pt>
              </c:numCache>
            </c:numRef>
          </c:val>
          <c:extLst>
            <c:ext xmlns:c16="http://schemas.microsoft.com/office/drawing/2014/chart" uri="{C3380CC4-5D6E-409C-BE32-E72D297353CC}">
              <c16:uniqueId val="{00000001-9191-4473-B9A1-489F425F65C4}"/>
            </c:ext>
          </c:extLst>
        </c:ser>
        <c:ser>
          <c:idx val="2"/>
          <c:order val="2"/>
          <c:tx>
            <c:strRef>
              <c:f>'Proy. ventas'!$I$119:$J$119</c:f>
              <c:strCache>
                <c:ptCount val="1"/>
                <c:pt idx="0">
                  <c:v>Marzo</c:v>
                </c:pt>
              </c:strCache>
            </c:strRef>
          </c:tx>
          <c:spPr>
            <a:solidFill>
              <a:schemeClr val="accent3"/>
            </a:solidFill>
            <a:ln>
              <a:noFill/>
            </a:ln>
            <a:effectLst/>
          </c:spPr>
          <c:invertIfNegative val="0"/>
          <c:val>
            <c:numRef>
              <c:f>'Proy. ventas'!$J$127</c:f>
              <c:numCache>
                <c:formatCode>_-"$"\ * #,##0.00_-;\-"$"\ * #,##0.00_-;_-"$"\ * "-"??_-;_-@_-</c:formatCode>
                <c:ptCount val="1"/>
                <c:pt idx="0">
                  <c:v>31879200</c:v>
                </c:pt>
              </c:numCache>
            </c:numRef>
          </c:val>
          <c:extLst>
            <c:ext xmlns:c16="http://schemas.microsoft.com/office/drawing/2014/chart" uri="{C3380CC4-5D6E-409C-BE32-E72D297353CC}">
              <c16:uniqueId val="{00000002-9191-4473-B9A1-489F425F65C4}"/>
            </c:ext>
          </c:extLst>
        </c:ser>
        <c:ser>
          <c:idx val="3"/>
          <c:order val="3"/>
          <c:tx>
            <c:strRef>
              <c:f>'Proy. ventas'!$K$119:$L$119</c:f>
              <c:strCache>
                <c:ptCount val="1"/>
                <c:pt idx="0">
                  <c:v>Abril</c:v>
                </c:pt>
              </c:strCache>
            </c:strRef>
          </c:tx>
          <c:spPr>
            <a:solidFill>
              <a:schemeClr val="accent4"/>
            </a:solidFill>
            <a:ln>
              <a:noFill/>
            </a:ln>
            <a:effectLst/>
          </c:spPr>
          <c:invertIfNegative val="0"/>
          <c:val>
            <c:numRef>
              <c:f>'Proy. ventas'!$L$127</c:f>
              <c:numCache>
                <c:formatCode>_-"$"\ * #,##0.00_-;\-"$"\ * #,##0.00_-;_-"$"\ * "-"??_-;_-@_-</c:formatCode>
                <c:ptCount val="1"/>
                <c:pt idx="0">
                  <c:v>31879200</c:v>
                </c:pt>
              </c:numCache>
            </c:numRef>
          </c:val>
          <c:extLst>
            <c:ext xmlns:c16="http://schemas.microsoft.com/office/drawing/2014/chart" uri="{C3380CC4-5D6E-409C-BE32-E72D297353CC}">
              <c16:uniqueId val="{00000003-9191-4473-B9A1-489F425F65C4}"/>
            </c:ext>
          </c:extLst>
        </c:ser>
        <c:ser>
          <c:idx val="4"/>
          <c:order val="4"/>
          <c:tx>
            <c:strRef>
              <c:f>'Proy. ventas'!$M$119:$N$119</c:f>
              <c:strCache>
                <c:ptCount val="1"/>
                <c:pt idx="0">
                  <c:v>Mayo</c:v>
                </c:pt>
              </c:strCache>
            </c:strRef>
          </c:tx>
          <c:spPr>
            <a:solidFill>
              <a:schemeClr val="accent5"/>
            </a:solidFill>
            <a:ln>
              <a:noFill/>
            </a:ln>
            <a:effectLst/>
          </c:spPr>
          <c:invertIfNegative val="0"/>
          <c:val>
            <c:numRef>
              <c:f>'Proy. ventas'!$N$127</c:f>
              <c:numCache>
                <c:formatCode>_-"$"\ * #,##0.00_-;\-"$"\ * #,##0.00_-;_-"$"\ * "-"??_-;_-@_-</c:formatCode>
                <c:ptCount val="1"/>
                <c:pt idx="0">
                  <c:v>31879200</c:v>
                </c:pt>
              </c:numCache>
            </c:numRef>
          </c:val>
          <c:extLst>
            <c:ext xmlns:c16="http://schemas.microsoft.com/office/drawing/2014/chart" uri="{C3380CC4-5D6E-409C-BE32-E72D297353CC}">
              <c16:uniqueId val="{00000004-9191-4473-B9A1-489F425F65C4}"/>
            </c:ext>
          </c:extLst>
        </c:ser>
        <c:ser>
          <c:idx val="5"/>
          <c:order val="5"/>
          <c:tx>
            <c:strRef>
              <c:f>'Proy. ventas'!$O$119:$P$119</c:f>
              <c:strCache>
                <c:ptCount val="1"/>
                <c:pt idx="0">
                  <c:v>Junio</c:v>
                </c:pt>
              </c:strCache>
            </c:strRef>
          </c:tx>
          <c:spPr>
            <a:solidFill>
              <a:schemeClr val="accent6"/>
            </a:solidFill>
            <a:ln>
              <a:noFill/>
            </a:ln>
            <a:effectLst/>
          </c:spPr>
          <c:invertIfNegative val="0"/>
          <c:val>
            <c:numRef>
              <c:f>'Proy. ventas'!$P$127</c:f>
              <c:numCache>
                <c:formatCode>_-"$"\ * #,##0.00_-;\-"$"\ * #,##0.00_-;_-"$"\ * "-"??_-;_-@_-</c:formatCode>
                <c:ptCount val="1"/>
                <c:pt idx="0">
                  <c:v>31879200</c:v>
                </c:pt>
              </c:numCache>
            </c:numRef>
          </c:val>
          <c:extLst>
            <c:ext xmlns:c16="http://schemas.microsoft.com/office/drawing/2014/chart" uri="{C3380CC4-5D6E-409C-BE32-E72D297353CC}">
              <c16:uniqueId val="{00000005-9191-4473-B9A1-489F425F65C4}"/>
            </c:ext>
          </c:extLst>
        </c:ser>
        <c:ser>
          <c:idx val="6"/>
          <c:order val="6"/>
          <c:tx>
            <c:strRef>
              <c:f>'Proy. ventas'!$Q$119:$R$119</c:f>
              <c:strCache>
                <c:ptCount val="1"/>
                <c:pt idx="0">
                  <c:v>Julio</c:v>
                </c:pt>
              </c:strCache>
            </c:strRef>
          </c:tx>
          <c:spPr>
            <a:solidFill>
              <a:schemeClr val="accent1">
                <a:lumMod val="60000"/>
              </a:schemeClr>
            </a:solidFill>
            <a:ln>
              <a:noFill/>
            </a:ln>
            <a:effectLst/>
          </c:spPr>
          <c:invertIfNegative val="0"/>
          <c:val>
            <c:numRef>
              <c:f>'Proy. ventas'!$R$127</c:f>
              <c:numCache>
                <c:formatCode>_-"$"\ * #,##0.00_-;\-"$"\ * #,##0.00_-;_-"$"\ * "-"??_-;_-@_-</c:formatCode>
                <c:ptCount val="1"/>
                <c:pt idx="0">
                  <c:v>39849000</c:v>
                </c:pt>
              </c:numCache>
            </c:numRef>
          </c:val>
          <c:extLst>
            <c:ext xmlns:c16="http://schemas.microsoft.com/office/drawing/2014/chart" uri="{C3380CC4-5D6E-409C-BE32-E72D297353CC}">
              <c16:uniqueId val="{00000006-9191-4473-B9A1-489F425F65C4}"/>
            </c:ext>
          </c:extLst>
        </c:ser>
        <c:ser>
          <c:idx val="7"/>
          <c:order val="7"/>
          <c:tx>
            <c:strRef>
              <c:f>'Proy. ventas'!$S$119:$T$119</c:f>
              <c:strCache>
                <c:ptCount val="1"/>
                <c:pt idx="0">
                  <c:v>Agosto</c:v>
                </c:pt>
              </c:strCache>
            </c:strRef>
          </c:tx>
          <c:spPr>
            <a:solidFill>
              <a:schemeClr val="accent2">
                <a:lumMod val="60000"/>
              </a:schemeClr>
            </a:solidFill>
            <a:ln>
              <a:noFill/>
            </a:ln>
            <a:effectLst/>
          </c:spPr>
          <c:invertIfNegative val="0"/>
          <c:val>
            <c:numRef>
              <c:f>'Proy. ventas'!$T$127</c:f>
              <c:numCache>
                <c:formatCode>_-"$"\ * #,##0.00_-;\-"$"\ * #,##0.00_-;_-"$"\ * "-"??_-;_-@_-</c:formatCode>
                <c:ptCount val="1"/>
                <c:pt idx="0">
                  <c:v>39849000</c:v>
                </c:pt>
              </c:numCache>
            </c:numRef>
          </c:val>
          <c:extLst>
            <c:ext xmlns:c16="http://schemas.microsoft.com/office/drawing/2014/chart" uri="{C3380CC4-5D6E-409C-BE32-E72D297353CC}">
              <c16:uniqueId val="{00000007-9191-4473-B9A1-489F425F65C4}"/>
            </c:ext>
          </c:extLst>
        </c:ser>
        <c:ser>
          <c:idx val="8"/>
          <c:order val="8"/>
          <c:tx>
            <c:strRef>
              <c:f>'Proy. ventas'!$U$119:$V$119</c:f>
              <c:strCache>
                <c:ptCount val="1"/>
                <c:pt idx="0">
                  <c:v>Septiembre</c:v>
                </c:pt>
              </c:strCache>
            </c:strRef>
          </c:tx>
          <c:spPr>
            <a:solidFill>
              <a:schemeClr val="accent3">
                <a:lumMod val="60000"/>
              </a:schemeClr>
            </a:solidFill>
            <a:ln>
              <a:noFill/>
            </a:ln>
            <a:effectLst/>
          </c:spPr>
          <c:invertIfNegative val="0"/>
          <c:val>
            <c:numRef>
              <c:f>'Proy. ventas'!$V$127</c:f>
              <c:numCache>
                <c:formatCode>_-"$"\ * #,##0.00_-;\-"$"\ * #,##0.00_-;_-"$"\ * "-"??_-;_-@_-</c:formatCode>
                <c:ptCount val="1"/>
                <c:pt idx="0">
                  <c:v>39849000</c:v>
                </c:pt>
              </c:numCache>
            </c:numRef>
          </c:val>
          <c:extLst>
            <c:ext xmlns:c16="http://schemas.microsoft.com/office/drawing/2014/chart" uri="{C3380CC4-5D6E-409C-BE32-E72D297353CC}">
              <c16:uniqueId val="{00000008-9191-4473-B9A1-489F425F65C4}"/>
            </c:ext>
          </c:extLst>
        </c:ser>
        <c:ser>
          <c:idx val="9"/>
          <c:order val="9"/>
          <c:tx>
            <c:strRef>
              <c:f>'Proy. ventas'!$W$119:$X$119</c:f>
              <c:strCache>
                <c:ptCount val="1"/>
                <c:pt idx="0">
                  <c:v>Octubre</c:v>
                </c:pt>
              </c:strCache>
            </c:strRef>
          </c:tx>
          <c:spPr>
            <a:solidFill>
              <a:schemeClr val="accent4">
                <a:lumMod val="60000"/>
              </a:schemeClr>
            </a:solidFill>
            <a:ln>
              <a:noFill/>
            </a:ln>
            <a:effectLst/>
          </c:spPr>
          <c:invertIfNegative val="0"/>
          <c:val>
            <c:numRef>
              <c:f>'Proy. ventas'!$X$127</c:f>
              <c:numCache>
                <c:formatCode>_-"$"\ * #,##0.00_-;\-"$"\ * #,##0.00_-;_-"$"\ * "-"??_-;_-@_-</c:formatCode>
                <c:ptCount val="1"/>
                <c:pt idx="0">
                  <c:v>47818800</c:v>
                </c:pt>
              </c:numCache>
            </c:numRef>
          </c:val>
          <c:extLst>
            <c:ext xmlns:c16="http://schemas.microsoft.com/office/drawing/2014/chart" uri="{C3380CC4-5D6E-409C-BE32-E72D297353CC}">
              <c16:uniqueId val="{00000009-9191-4473-B9A1-489F425F65C4}"/>
            </c:ext>
          </c:extLst>
        </c:ser>
        <c:ser>
          <c:idx val="10"/>
          <c:order val="10"/>
          <c:tx>
            <c:strRef>
              <c:f>'Proy. ventas'!$Y$119:$Z$119</c:f>
              <c:strCache>
                <c:ptCount val="1"/>
                <c:pt idx="0">
                  <c:v>Noviembre</c:v>
                </c:pt>
              </c:strCache>
            </c:strRef>
          </c:tx>
          <c:spPr>
            <a:solidFill>
              <a:schemeClr val="accent5">
                <a:lumMod val="60000"/>
              </a:schemeClr>
            </a:solidFill>
            <a:ln>
              <a:noFill/>
            </a:ln>
            <a:effectLst/>
          </c:spPr>
          <c:invertIfNegative val="0"/>
          <c:val>
            <c:numRef>
              <c:f>'Proy. ventas'!$Z$127</c:f>
              <c:numCache>
                <c:formatCode>_-"$"\ * #,##0.00_-;\-"$"\ * #,##0.00_-;_-"$"\ * "-"??_-;_-@_-</c:formatCode>
                <c:ptCount val="1"/>
                <c:pt idx="0">
                  <c:v>47818800</c:v>
                </c:pt>
              </c:numCache>
            </c:numRef>
          </c:val>
          <c:extLst>
            <c:ext xmlns:c16="http://schemas.microsoft.com/office/drawing/2014/chart" uri="{C3380CC4-5D6E-409C-BE32-E72D297353CC}">
              <c16:uniqueId val="{0000000A-9191-4473-B9A1-489F425F65C4}"/>
            </c:ext>
          </c:extLst>
        </c:ser>
        <c:ser>
          <c:idx val="11"/>
          <c:order val="11"/>
          <c:tx>
            <c:strRef>
              <c:f>'Proy. ventas'!$AA$119:$AB$119</c:f>
              <c:strCache>
                <c:ptCount val="1"/>
                <c:pt idx="0">
                  <c:v>Diciembre</c:v>
                </c:pt>
              </c:strCache>
            </c:strRef>
          </c:tx>
          <c:spPr>
            <a:solidFill>
              <a:schemeClr val="accent6">
                <a:lumMod val="60000"/>
              </a:schemeClr>
            </a:solidFill>
            <a:ln>
              <a:noFill/>
            </a:ln>
            <a:effectLst/>
          </c:spPr>
          <c:invertIfNegative val="0"/>
          <c:val>
            <c:numRef>
              <c:f>'Proy. ventas'!$AB$127</c:f>
              <c:numCache>
                <c:formatCode>_-"$"\ * #,##0.00_-;\-"$"\ * #,##0.00_-;_-"$"\ * "-"??_-;_-@_-</c:formatCode>
                <c:ptCount val="1"/>
                <c:pt idx="0">
                  <c:v>23909400</c:v>
                </c:pt>
              </c:numCache>
            </c:numRef>
          </c:val>
          <c:extLst>
            <c:ext xmlns:c16="http://schemas.microsoft.com/office/drawing/2014/chart" uri="{C3380CC4-5D6E-409C-BE32-E72D297353CC}">
              <c16:uniqueId val="{0000000B-9191-4473-B9A1-489F425F65C4}"/>
            </c:ext>
          </c:extLst>
        </c:ser>
        <c:dLbls>
          <c:showLegendKey val="0"/>
          <c:showVal val="0"/>
          <c:showCatName val="0"/>
          <c:showSerName val="0"/>
          <c:showPercent val="0"/>
          <c:showBubbleSize val="0"/>
        </c:dLbls>
        <c:gapWidth val="219"/>
        <c:overlap val="-27"/>
        <c:axId val="282684127"/>
        <c:axId val="271410223"/>
      </c:barChart>
      <c:catAx>
        <c:axId val="282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271410223"/>
        <c:crosses val="autoZero"/>
        <c:auto val="1"/>
        <c:lblAlgn val="ctr"/>
        <c:lblOffset val="100"/>
        <c:noMultiLvlLbl val="0"/>
      </c:catAx>
      <c:valAx>
        <c:axId val="2714102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AR"/>
          </a:p>
        </c:txPr>
        <c:crossAx val="282684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ventas en 2025 de </a:t>
            </a:r>
            <a:r>
              <a:rPr lang="en-US" baseline="0"/>
              <a:t>servicios en nuestra empresa</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AR"/>
        </a:p>
      </c:txPr>
    </c:title>
    <c:autoTitleDeleted val="0"/>
    <c:plotArea>
      <c:layout/>
      <c:lineChart>
        <c:grouping val="standard"/>
        <c:varyColors val="0"/>
        <c:ser>
          <c:idx val="0"/>
          <c:order val="0"/>
          <c:tx>
            <c:strRef>
              <c:f>'Proy. ventas'!$A$19</c:f>
              <c:strCache>
                <c:ptCount val="1"/>
                <c:pt idx="0">
                  <c:v> Gratuito </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ventas'!$E$19,'Proy. ventas'!$G$19,'Proy. ventas'!$I$19,'Proy. ventas'!$K$19,'Proy. ventas'!$M$19,'Proy. ventas'!$O$19,'Proy. ventas'!$Q$19,'Proy. ventas'!$S$19,'Proy. ventas'!$U$19,'Proy. ventas'!$W$19,'Proy. ventas'!$Y$19,'Proy. ventas'!$AA$19)</c:f>
              <c:numCache>
                <c:formatCode>_-* #,##0\ _€_-;\-* #,##0\ _€_-;_-* "-"??\ _€_-;_-@_-</c:formatCode>
                <c:ptCount val="12"/>
                <c:pt idx="0">
                  <c:v>2612</c:v>
                </c:pt>
                <c:pt idx="1">
                  <c:v>2612</c:v>
                </c:pt>
                <c:pt idx="2">
                  <c:v>5224</c:v>
                </c:pt>
                <c:pt idx="3">
                  <c:v>5224</c:v>
                </c:pt>
                <c:pt idx="4">
                  <c:v>5224</c:v>
                </c:pt>
                <c:pt idx="5">
                  <c:v>5224</c:v>
                </c:pt>
                <c:pt idx="6">
                  <c:v>6530</c:v>
                </c:pt>
                <c:pt idx="7">
                  <c:v>6530</c:v>
                </c:pt>
                <c:pt idx="8">
                  <c:v>6530</c:v>
                </c:pt>
                <c:pt idx="9">
                  <c:v>7836</c:v>
                </c:pt>
                <c:pt idx="10">
                  <c:v>7836</c:v>
                </c:pt>
                <c:pt idx="11">
                  <c:v>3918</c:v>
                </c:pt>
              </c:numCache>
            </c:numRef>
          </c:val>
          <c:smooth val="0"/>
          <c:extLst>
            <c:ext xmlns:c16="http://schemas.microsoft.com/office/drawing/2014/chart" uri="{C3380CC4-5D6E-409C-BE32-E72D297353CC}">
              <c16:uniqueId val="{00000000-396A-4246-A5F4-AB115A34A6FA}"/>
            </c:ext>
          </c:extLst>
        </c:ser>
        <c:ser>
          <c:idx val="1"/>
          <c:order val="1"/>
          <c:tx>
            <c:strRef>
              <c:f>'Proy. ventas'!$A$21</c:f>
              <c:strCache>
                <c:ptCount val="1"/>
                <c:pt idx="0">
                  <c:v> Basico Mensual </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ventas'!$E$21,'Proy. ventas'!$G$21,'Proy. ventas'!$I$21,'Proy. ventas'!$K$21,'Proy. ventas'!$M$21,'Proy. ventas'!$O$21,'Proy. ventas'!$Q$21,'Proy. ventas'!$S$21,'Proy. ventas'!$U$21,'Proy. ventas'!$W$21,'Proy. ventas'!$Y$21,'Proy. ventas'!$AA$21)</c:f>
              <c:numCache>
                <c:formatCode>_-* #,##0\ _€_-;\-* #,##0\ _€_-;_-* "-"??\ _€_-;_-@_-</c:formatCode>
                <c:ptCount val="12"/>
                <c:pt idx="0">
                  <c:v>1732</c:v>
                </c:pt>
                <c:pt idx="1">
                  <c:v>1732</c:v>
                </c:pt>
                <c:pt idx="2">
                  <c:v>3464</c:v>
                </c:pt>
                <c:pt idx="3">
                  <c:v>3464</c:v>
                </c:pt>
                <c:pt idx="4">
                  <c:v>3464</c:v>
                </c:pt>
                <c:pt idx="5">
                  <c:v>3464</c:v>
                </c:pt>
                <c:pt idx="6">
                  <c:v>4330</c:v>
                </c:pt>
                <c:pt idx="7">
                  <c:v>4330</c:v>
                </c:pt>
                <c:pt idx="8">
                  <c:v>4330</c:v>
                </c:pt>
                <c:pt idx="9">
                  <c:v>5196</c:v>
                </c:pt>
                <c:pt idx="10">
                  <c:v>5196</c:v>
                </c:pt>
                <c:pt idx="11">
                  <c:v>2598</c:v>
                </c:pt>
              </c:numCache>
            </c:numRef>
          </c:val>
          <c:smooth val="0"/>
          <c:extLst>
            <c:ext xmlns:c16="http://schemas.microsoft.com/office/drawing/2014/chart" uri="{C3380CC4-5D6E-409C-BE32-E72D297353CC}">
              <c16:uniqueId val="{00000001-396A-4246-A5F4-AB115A34A6FA}"/>
            </c:ext>
          </c:extLst>
        </c:ser>
        <c:ser>
          <c:idx val="2"/>
          <c:order val="2"/>
          <c:tx>
            <c:strRef>
              <c:f>'Proy. ventas'!$A$23</c:f>
              <c:strCache>
                <c:ptCount val="1"/>
                <c:pt idx="0">
                  <c:v> Profesional Mensual </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ventas'!$E$23,'Proy. ventas'!$G$23,'Proy. ventas'!$I$23,'Proy. ventas'!$K$23,'Proy. ventas'!$M$23,'Proy. ventas'!$O$23,'Proy. ventas'!$Q$23,'Proy. ventas'!$S$23,'Proy. ventas'!$U$23,'Proy. ventas'!$W$23,'Proy. ventas'!$Y$23,'Proy. ventas'!$AA$23)</c:f>
              <c:numCache>
                <c:formatCode>_-* #,##0\ _€_-;\-* #,##0\ _€_-;_-* "-"??\ _€_-;_-@_-</c:formatCode>
                <c:ptCount val="12"/>
                <c:pt idx="0">
                  <c:v>246</c:v>
                </c:pt>
                <c:pt idx="1">
                  <c:v>246</c:v>
                </c:pt>
                <c:pt idx="2">
                  <c:v>492</c:v>
                </c:pt>
                <c:pt idx="3">
                  <c:v>492</c:v>
                </c:pt>
                <c:pt idx="4">
                  <c:v>492</c:v>
                </c:pt>
                <c:pt idx="5">
                  <c:v>492</c:v>
                </c:pt>
                <c:pt idx="6">
                  <c:v>615</c:v>
                </c:pt>
                <c:pt idx="7">
                  <c:v>615</c:v>
                </c:pt>
                <c:pt idx="8">
                  <c:v>615</c:v>
                </c:pt>
                <c:pt idx="9">
                  <c:v>738</c:v>
                </c:pt>
                <c:pt idx="10">
                  <c:v>738</c:v>
                </c:pt>
                <c:pt idx="11">
                  <c:v>369</c:v>
                </c:pt>
              </c:numCache>
            </c:numRef>
          </c:val>
          <c:smooth val="0"/>
          <c:extLst>
            <c:ext xmlns:c16="http://schemas.microsoft.com/office/drawing/2014/chart" uri="{C3380CC4-5D6E-409C-BE32-E72D297353CC}">
              <c16:uniqueId val="{00000002-396A-4246-A5F4-AB115A34A6FA}"/>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400" b="0" i="0" u="none" strike="noStrike" kern="1200" cap="all" baseline="0">
                <a:solidFill>
                  <a:schemeClr val="dk1">
                    <a:lumMod val="75000"/>
                    <a:lumOff val="25000"/>
                  </a:schemeClr>
                </a:solidFill>
                <a:latin typeface="+mn-lt"/>
                <a:ea typeface="+mn-ea"/>
                <a:cs typeface="+mn-cs"/>
              </a:defRPr>
            </a:pPr>
            <a:endParaRPr lang="en-AR"/>
          </a:p>
        </c:txPr>
        <c:crossAx val="258788111"/>
        <c:crosses val="autoZero"/>
        <c:auto val="1"/>
        <c:lblAlgn val="ctr"/>
        <c:lblOffset val="100"/>
        <c:noMultiLvlLbl val="0"/>
      </c:catAx>
      <c:valAx>
        <c:axId val="2587881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 _€_-;\-* #,##0\ _€_-;_-* &quot;-&quot;??\ _€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AR"/>
          </a:p>
        </c:txPr>
        <c:crossAx val="2624736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000" b="0" i="0" u="none" strike="noStrike" kern="1200" baseline="0">
              <a:solidFill>
                <a:schemeClr val="dk1">
                  <a:lumMod val="75000"/>
                  <a:lumOff val="25000"/>
                </a:schemeClr>
              </a:solidFill>
              <a:latin typeface="+mn-lt"/>
              <a:ea typeface="+mn-ea"/>
              <a:cs typeface="+mn-cs"/>
            </a:defRPr>
          </a:pPr>
          <a:endParaRPr lang="en-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A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Cantidad de ventas en 2026 de servicios en nuestra empresa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AR"/>
        </a:p>
      </c:txPr>
    </c:title>
    <c:autoTitleDeleted val="0"/>
    <c:plotArea>
      <c:layout/>
      <c:lineChart>
        <c:grouping val="standard"/>
        <c:varyColors val="0"/>
        <c:ser>
          <c:idx val="0"/>
          <c:order val="0"/>
          <c:tx>
            <c:strRef>
              <c:f>'Proy. ventas'!$A$71</c:f>
              <c:strCache>
                <c:ptCount val="1"/>
                <c:pt idx="0">
                  <c:v> Gratuito </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ventas'!$E$71,'Proy. ventas'!$G$71,'Proy. ventas'!$I$71,'Proy. ventas'!$K$71,'Proy. ventas'!$M$71,'Proy. ventas'!$O$71,'Proy. ventas'!$Q$71,'Proy. ventas'!$S$71,'Proy. ventas'!$U$71,'Proy. ventas'!$W$71,'Proy. ventas'!$Y$71,'Proy. ventas'!$AA$71)</c:f>
              <c:numCache>
                <c:formatCode>_-* #,##0\ _€_-;\-* #,##0\ _€_-;_-* "-"??\ _€_-;_-@_-</c:formatCode>
                <c:ptCount val="12"/>
                <c:pt idx="0">
                  <c:v>3640</c:v>
                </c:pt>
                <c:pt idx="1">
                  <c:v>3640</c:v>
                </c:pt>
                <c:pt idx="2">
                  <c:v>7280</c:v>
                </c:pt>
                <c:pt idx="3">
                  <c:v>7280</c:v>
                </c:pt>
                <c:pt idx="4">
                  <c:v>7280</c:v>
                </c:pt>
                <c:pt idx="5">
                  <c:v>7280</c:v>
                </c:pt>
                <c:pt idx="6">
                  <c:v>9100</c:v>
                </c:pt>
                <c:pt idx="7">
                  <c:v>9100</c:v>
                </c:pt>
                <c:pt idx="8">
                  <c:v>9100</c:v>
                </c:pt>
                <c:pt idx="9">
                  <c:v>10920</c:v>
                </c:pt>
                <c:pt idx="10">
                  <c:v>10920</c:v>
                </c:pt>
                <c:pt idx="11">
                  <c:v>5460</c:v>
                </c:pt>
              </c:numCache>
            </c:numRef>
          </c:val>
          <c:smooth val="0"/>
          <c:extLst>
            <c:ext xmlns:c16="http://schemas.microsoft.com/office/drawing/2014/chart" uri="{C3380CC4-5D6E-409C-BE32-E72D297353CC}">
              <c16:uniqueId val="{00000000-4FB4-4DAA-AE13-4A7CBDA485EA}"/>
            </c:ext>
          </c:extLst>
        </c:ser>
        <c:ser>
          <c:idx val="1"/>
          <c:order val="1"/>
          <c:tx>
            <c:strRef>
              <c:f>'Proy. ventas'!$A$73</c:f>
              <c:strCache>
                <c:ptCount val="1"/>
                <c:pt idx="0">
                  <c:v> Basico Mensual </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ventas'!$E$73,'Proy. ventas'!$G$73,'Proy. ventas'!$I$73,'Proy. ventas'!$K$73,'Proy. ventas'!$M$73,'Proy. ventas'!$O$73,'Proy. ventas'!$Q$73,'Proy. ventas'!$S$73,'Proy. ventas'!$U$73,'Proy. ventas'!$W$73,'Proy. ventas'!$Y$73,'Proy. ventas'!$AA$73)</c:f>
              <c:numCache>
                <c:formatCode>_-* #,##0\ _€_-;\-* #,##0\ _€_-;_-* "-"??\ _€_-;_-@_-</c:formatCode>
                <c:ptCount val="12"/>
                <c:pt idx="0">
                  <c:v>2438</c:v>
                </c:pt>
                <c:pt idx="1">
                  <c:v>2438</c:v>
                </c:pt>
                <c:pt idx="2">
                  <c:v>4876</c:v>
                </c:pt>
                <c:pt idx="3">
                  <c:v>4876</c:v>
                </c:pt>
                <c:pt idx="4">
                  <c:v>4876</c:v>
                </c:pt>
                <c:pt idx="5">
                  <c:v>4876</c:v>
                </c:pt>
                <c:pt idx="6">
                  <c:v>6095</c:v>
                </c:pt>
                <c:pt idx="7">
                  <c:v>6095</c:v>
                </c:pt>
                <c:pt idx="8">
                  <c:v>6095</c:v>
                </c:pt>
                <c:pt idx="9">
                  <c:v>7314</c:v>
                </c:pt>
                <c:pt idx="10">
                  <c:v>7314</c:v>
                </c:pt>
                <c:pt idx="11">
                  <c:v>3657</c:v>
                </c:pt>
              </c:numCache>
            </c:numRef>
          </c:val>
          <c:smooth val="0"/>
          <c:extLst>
            <c:ext xmlns:c16="http://schemas.microsoft.com/office/drawing/2014/chart" uri="{C3380CC4-5D6E-409C-BE32-E72D297353CC}">
              <c16:uniqueId val="{00000001-4FB4-4DAA-AE13-4A7CBDA485EA}"/>
            </c:ext>
          </c:extLst>
        </c:ser>
        <c:ser>
          <c:idx val="2"/>
          <c:order val="2"/>
          <c:tx>
            <c:strRef>
              <c:f>'Proy. ventas'!$A$75</c:f>
              <c:strCache>
                <c:ptCount val="1"/>
                <c:pt idx="0">
                  <c:v> Profesional Mensual </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ventas'!$E$75,'Proy. ventas'!$G$75,'Proy. ventas'!$I$75,'Proy. ventas'!$K$75,'Proy. ventas'!$M$75,'Proy. ventas'!$O$75,'Proy. ventas'!$Q$75,'Proy. ventas'!$S$75,'Proy. ventas'!$U$75,'Proy. ventas'!$W$75,'Proy. ventas'!$Y$75,'Proy. ventas'!$AA$75)</c:f>
              <c:numCache>
                <c:formatCode>_-* #,##0\ _€_-;\-* #,##0\ _€_-;_-* "-"??\ _€_-;_-@_-</c:formatCode>
                <c:ptCount val="12"/>
                <c:pt idx="0">
                  <c:v>320</c:v>
                </c:pt>
                <c:pt idx="1">
                  <c:v>320</c:v>
                </c:pt>
                <c:pt idx="2">
                  <c:v>640</c:v>
                </c:pt>
                <c:pt idx="3">
                  <c:v>640</c:v>
                </c:pt>
                <c:pt idx="4">
                  <c:v>640</c:v>
                </c:pt>
                <c:pt idx="5">
                  <c:v>640</c:v>
                </c:pt>
                <c:pt idx="6">
                  <c:v>800</c:v>
                </c:pt>
                <c:pt idx="7">
                  <c:v>800</c:v>
                </c:pt>
                <c:pt idx="8">
                  <c:v>800</c:v>
                </c:pt>
                <c:pt idx="9">
                  <c:v>960</c:v>
                </c:pt>
                <c:pt idx="10">
                  <c:v>960</c:v>
                </c:pt>
                <c:pt idx="11">
                  <c:v>480</c:v>
                </c:pt>
              </c:numCache>
            </c:numRef>
          </c:val>
          <c:smooth val="0"/>
          <c:extLst>
            <c:ext xmlns:c16="http://schemas.microsoft.com/office/drawing/2014/chart" uri="{C3380CC4-5D6E-409C-BE32-E72D297353CC}">
              <c16:uniqueId val="{00000002-4FB4-4DAA-AE13-4A7CBDA485EA}"/>
            </c:ext>
          </c:extLst>
        </c:ser>
        <c:dLbls>
          <c:dLblPos val="ctr"/>
          <c:showLegendKey val="0"/>
          <c:showVal val="1"/>
          <c:showCatName val="0"/>
          <c:showSerName val="0"/>
          <c:showPercent val="0"/>
          <c:showBubbleSize val="0"/>
        </c:dLbls>
        <c:marker val="1"/>
        <c:smooth val="0"/>
        <c:axId val="387721455"/>
        <c:axId val="253992239"/>
      </c:lineChart>
      <c:catAx>
        <c:axId val="387721455"/>
        <c:scaling>
          <c:orientation val="minMax"/>
        </c:scaling>
        <c:delete val="0"/>
        <c:axPos val="b"/>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AR"/>
          </a:p>
        </c:txPr>
        <c:crossAx val="253992239"/>
        <c:crosses val="autoZero"/>
        <c:auto val="1"/>
        <c:lblAlgn val="ctr"/>
        <c:lblOffset val="100"/>
        <c:noMultiLvlLbl val="0"/>
      </c:catAx>
      <c:valAx>
        <c:axId val="25399223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 _€_-;\-* #,##0\ _€_-;_-* &quot;-&quot;??\ _€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AR"/>
          </a:p>
        </c:txPr>
        <c:crossAx val="38772145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n-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A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Cantidad de ventas en 2027 de servicios en nuestra empresa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AR"/>
        </a:p>
      </c:txPr>
    </c:title>
    <c:autoTitleDeleted val="0"/>
    <c:plotArea>
      <c:layout/>
      <c:lineChart>
        <c:grouping val="standard"/>
        <c:varyColors val="0"/>
        <c:ser>
          <c:idx val="0"/>
          <c:order val="0"/>
          <c:tx>
            <c:strRef>
              <c:f>'Proy. ventas'!$A$122</c:f>
              <c:strCache>
                <c:ptCount val="1"/>
                <c:pt idx="0">
                  <c:v> Gratuito </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ventas'!$E$122,'Proy. ventas'!$G$122,'Proy. ventas'!$I$122,'Proy. ventas'!$K$122,'Proy. ventas'!$M$122,'Proy. ventas'!$O$122,'Proy. ventas'!$Q$122,'Proy. ventas'!$S$122,'Proy. ventas'!$U$122,'Proy. ventas'!$W$122,'Proy. ventas'!$Y$122,'Proy. ventas'!$AA$122)</c:f>
              <c:numCache>
                <c:formatCode>_-* #,##0\ _€_-;\-* #,##0\ _€_-;_-* "-"??\ _€_-;_-@_-</c:formatCode>
                <c:ptCount val="12"/>
                <c:pt idx="0">
                  <c:v>4860</c:v>
                </c:pt>
                <c:pt idx="1">
                  <c:v>4860</c:v>
                </c:pt>
                <c:pt idx="2">
                  <c:v>9720</c:v>
                </c:pt>
                <c:pt idx="3">
                  <c:v>9720</c:v>
                </c:pt>
                <c:pt idx="4">
                  <c:v>9720</c:v>
                </c:pt>
                <c:pt idx="5">
                  <c:v>9720</c:v>
                </c:pt>
                <c:pt idx="6">
                  <c:v>12150</c:v>
                </c:pt>
                <c:pt idx="7">
                  <c:v>12150</c:v>
                </c:pt>
                <c:pt idx="8">
                  <c:v>12150</c:v>
                </c:pt>
                <c:pt idx="9">
                  <c:v>14580</c:v>
                </c:pt>
                <c:pt idx="10">
                  <c:v>14580</c:v>
                </c:pt>
                <c:pt idx="11">
                  <c:v>7290</c:v>
                </c:pt>
              </c:numCache>
            </c:numRef>
          </c:val>
          <c:smooth val="0"/>
          <c:extLst>
            <c:ext xmlns:c16="http://schemas.microsoft.com/office/drawing/2014/chart" uri="{C3380CC4-5D6E-409C-BE32-E72D297353CC}">
              <c16:uniqueId val="{00000000-8413-472A-B852-1050BCF984DB}"/>
            </c:ext>
          </c:extLst>
        </c:ser>
        <c:ser>
          <c:idx val="1"/>
          <c:order val="1"/>
          <c:tx>
            <c:strRef>
              <c:f>'Proy. ventas'!$A$124</c:f>
              <c:strCache>
                <c:ptCount val="1"/>
                <c:pt idx="0">
                  <c:v> Basico Mensual </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ventas'!$E$124,'Proy. ventas'!$G$124,'Proy. ventas'!$I$124,'Proy. ventas'!$K$124,'Proy. ventas'!$M$124,'Proy. ventas'!$O$124,'Proy. ventas'!$Q$124,'Proy. ventas'!$S$124,'Proy. ventas'!$U$124,'Proy. ventas'!$W$124,'Proy. ventas'!$Y$124,'Proy. ventas'!$AA$124)</c:f>
              <c:numCache>
                <c:formatCode>_-* #,##0\ _€_-;\-* #,##0\ _€_-;_-* "-"??\ _€_-;_-@_-</c:formatCode>
                <c:ptCount val="12"/>
                <c:pt idx="0">
                  <c:v>3174</c:v>
                </c:pt>
                <c:pt idx="1">
                  <c:v>3174</c:v>
                </c:pt>
                <c:pt idx="2">
                  <c:v>6348</c:v>
                </c:pt>
                <c:pt idx="3">
                  <c:v>6348</c:v>
                </c:pt>
                <c:pt idx="4">
                  <c:v>6348</c:v>
                </c:pt>
                <c:pt idx="5">
                  <c:v>6348</c:v>
                </c:pt>
                <c:pt idx="6">
                  <c:v>7935</c:v>
                </c:pt>
                <c:pt idx="7">
                  <c:v>7935</c:v>
                </c:pt>
                <c:pt idx="8">
                  <c:v>7935</c:v>
                </c:pt>
                <c:pt idx="9">
                  <c:v>9522</c:v>
                </c:pt>
                <c:pt idx="10">
                  <c:v>9522</c:v>
                </c:pt>
                <c:pt idx="11">
                  <c:v>4761</c:v>
                </c:pt>
              </c:numCache>
            </c:numRef>
          </c:val>
          <c:smooth val="0"/>
          <c:extLst>
            <c:ext xmlns:c16="http://schemas.microsoft.com/office/drawing/2014/chart" uri="{C3380CC4-5D6E-409C-BE32-E72D297353CC}">
              <c16:uniqueId val="{00000001-8413-472A-B852-1050BCF984DB}"/>
            </c:ext>
          </c:extLst>
        </c:ser>
        <c:ser>
          <c:idx val="2"/>
          <c:order val="2"/>
          <c:tx>
            <c:strRef>
              <c:f>'Proy. ventas'!$A$126</c:f>
              <c:strCache>
                <c:ptCount val="1"/>
                <c:pt idx="0">
                  <c:v> Profesional Mensual </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ventas'!$E$126,'Proy. ventas'!$G$126,'Proy. ventas'!$I$126,'Proy. ventas'!$K$126,'Proy. ventas'!$M$126,'Proy. ventas'!$O$126,'Proy. ventas'!$Q$126,'Proy. ventas'!$S$126,'Proy. ventas'!$U$126,'Proy. ventas'!$W$126,'Proy. ventas'!$Y$126,'Proy. ventas'!$AA$126)</c:f>
              <c:numCache>
                <c:formatCode>_-* #,##0\ _€_-;\-* #,##0\ _€_-;_-* "-"??\ _€_-;_-@_-</c:formatCode>
                <c:ptCount val="12"/>
                <c:pt idx="0">
                  <c:v>348</c:v>
                </c:pt>
                <c:pt idx="1">
                  <c:v>348</c:v>
                </c:pt>
                <c:pt idx="2">
                  <c:v>696</c:v>
                </c:pt>
                <c:pt idx="3">
                  <c:v>696</c:v>
                </c:pt>
                <c:pt idx="4">
                  <c:v>696</c:v>
                </c:pt>
                <c:pt idx="5">
                  <c:v>696</c:v>
                </c:pt>
                <c:pt idx="6">
                  <c:v>870</c:v>
                </c:pt>
                <c:pt idx="7">
                  <c:v>870</c:v>
                </c:pt>
                <c:pt idx="8">
                  <c:v>870</c:v>
                </c:pt>
                <c:pt idx="9">
                  <c:v>1044</c:v>
                </c:pt>
                <c:pt idx="10">
                  <c:v>1044</c:v>
                </c:pt>
                <c:pt idx="11">
                  <c:v>522</c:v>
                </c:pt>
              </c:numCache>
            </c:numRef>
          </c:val>
          <c:smooth val="0"/>
          <c:extLst>
            <c:ext xmlns:c16="http://schemas.microsoft.com/office/drawing/2014/chart" uri="{C3380CC4-5D6E-409C-BE32-E72D297353CC}">
              <c16:uniqueId val="{00000002-8413-472A-B852-1050BCF984DB}"/>
            </c:ext>
          </c:extLst>
        </c:ser>
        <c:dLbls>
          <c:dLblPos val="ctr"/>
          <c:showLegendKey val="0"/>
          <c:showVal val="1"/>
          <c:showCatName val="0"/>
          <c:showSerName val="0"/>
          <c:showPercent val="0"/>
          <c:showBubbleSize val="0"/>
        </c:dLbls>
        <c:marker val="1"/>
        <c:smooth val="0"/>
        <c:axId val="387710655"/>
        <c:axId val="253998479"/>
      </c:lineChart>
      <c:catAx>
        <c:axId val="387710655"/>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AR"/>
          </a:p>
        </c:txPr>
        <c:crossAx val="253998479"/>
        <c:crosses val="autoZero"/>
        <c:auto val="1"/>
        <c:lblAlgn val="ctr"/>
        <c:lblOffset val="100"/>
        <c:noMultiLvlLbl val="0"/>
      </c:catAx>
      <c:valAx>
        <c:axId val="25399847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 _€_-;\-* #,##0\ _€_-;_-* &quot;-&quot;??\ _€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AR"/>
          </a:p>
        </c:txPr>
        <c:crossAx val="38771065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A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AR"/>
        </a:p>
      </c:txPr>
    </c:title>
    <c:autoTitleDeleted val="0"/>
    <c:plotArea>
      <c:layout/>
      <c:pieChart>
        <c:varyColors val="1"/>
        <c:ser>
          <c:idx val="0"/>
          <c:order val="0"/>
          <c:tx>
            <c:strRef>
              <c:f>'Mod. ingresos'!$C$16</c:f>
              <c:strCache>
                <c:ptCount val="1"/>
                <c:pt idx="0">
                  <c:v> Ingresos 2025 </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1DD-4CD8-B158-0B704BE8169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61DD-4CD8-B158-0B704BE81697}"/>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1DD-4CD8-B158-0B704BE81697}"/>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C9A9-5841-9FE9-D0A2F2EF456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D0BC-CC48-85BD-271217651E3A}"/>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6="http://schemas.microsoft.com/office/drawing/2014/chart" uri="{C3380CC4-5D6E-409C-BE32-E72D297353CC}">
                  <c16:uniqueId val="{00000001-61DD-4CD8-B158-0B704BE81697}"/>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6="http://schemas.microsoft.com/office/drawing/2014/chart" uri="{C3380CC4-5D6E-409C-BE32-E72D297353CC}">
                  <c16:uniqueId val="{00000002-61DD-4CD8-B158-0B704BE81697}"/>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AR"/>
                </a:p>
              </c:txPr>
              <c:dLblPos val="outEnd"/>
              <c:showLegendKey val="1"/>
              <c:showVal val="0"/>
              <c:showCatName val="1"/>
              <c:showSerName val="0"/>
              <c:showPercent val="1"/>
              <c:showBubbleSize val="0"/>
              <c:extLst>
                <c:ext xmlns:c16="http://schemas.microsoft.com/office/drawing/2014/chart" uri="{C3380CC4-5D6E-409C-BE32-E72D297353CC}">
                  <c16:uniqueId val="{00000003-61DD-4CD8-B158-0B704BE81697}"/>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6="http://schemas.microsoft.com/office/drawing/2014/chart" uri="{C3380CC4-5D6E-409C-BE32-E72D297353CC}">
                  <c16:uniqueId val="{00000006-C9A9-5841-9FE9-D0A2F2EF456E}"/>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AR"/>
                </a:p>
              </c:txPr>
              <c:dLblPos val="outEnd"/>
              <c:showLegendKey val="1"/>
              <c:showVal val="0"/>
              <c:showCatName val="1"/>
              <c:showSerName val="0"/>
              <c:showPercent val="1"/>
              <c:showBubbleSize val="0"/>
              <c:extLst>
                <c:ext xmlns:c16="http://schemas.microsoft.com/office/drawing/2014/chart" uri="{C3380CC4-5D6E-409C-BE32-E72D297353CC}">
                  <c16:uniqueId val="{00000009-D0BC-CC48-85BD-271217651E3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showLeaderLines val="0"/>
            <c:extLst>
              <c:ext xmlns:c15="http://schemas.microsoft.com/office/drawing/2012/chart" uri="{CE6537A1-D6FC-4f65-9D91-7224C49458BB}"/>
            </c:extLst>
          </c:dLbls>
          <c:cat>
            <c:strRef>
              <c:f>'Mod. ingresos'!$B$17:$B$21</c:f>
              <c:strCache>
                <c:ptCount val="5"/>
                <c:pt idx="0">
                  <c:v> Gratuito </c:v>
                </c:pt>
                <c:pt idx="1">
                  <c:v> Basico Anual </c:v>
                </c:pt>
                <c:pt idx="2">
                  <c:v> Basico </c:v>
                </c:pt>
                <c:pt idx="3">
                  <c:v> Profesional Anual </c:v>
                </c:pt>
                <c:pt idx="4">
                  <c:v> Profesional </c:v>
                </c:pt>
              </c:strCache>
            </c:strRef>
          </c:cat>
          <c:val>
            <c:numRef>
              <c:f>'Mod. ingresos'!$C$17:$C$21</c:f>
              <c:numCache>
                <c:formatCode>_-"$"\ * #,##0.00_-;\-"$"\ * #,##0.00_-;_-"$"\ * "-"??_-;_-@_-</c:formatCode>
                <c:ptCount val="5"/>
                <c:pt idx="0">
                  <c:v>32650000</c:v>
                </c:pt>
                <c:pt idx="1">
                  <c:v>63600000</c:v>
                </c:pt>
                <c:pt idx="2">
                  <c:v>51960000</c:v>
                </c:pt>
                <c:pt idx="3">
                  <c:v>18180000</c:v>
                </c:pt>
                <c:pt idx="4">
                  <c:v>11070000</c:v>
                </c:pt>
              </c:numCache>
            </c:numRef>
          </c:val>
          <c:extLst>
            <c:ext xmlns:c16="http://schemas.microsoft.com/office/drawing/2014/chart" uri="{C3380CC4-5D6E-409C-BE32-E72D297353CC}">
              <c16:uniqueId val="{00000000-61DD-4CD8-B158-0B704BE81697}"/>
            </c:ext>
          </c:extLst>
        </c:ser>
        <c:dLbls>
          <c:dLblPos val="out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a:lstStyle/>
    <a:p>
      <a:pPr>
        <a:defRPr/>
      </a:pPr>
      <a:endParaRPr lang="en-A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AR"/>
        </a:p>
      </c:txPr>
    </c:title>
    <c:autoTitleDeleted val="0"/>
    <c:plotArea>
      <c:layout/>
      <c:pieChart>
        <c:varyColors val="1"/>
        <c:ser>
          <c:idx val="0"/>
          <c:order val="0"/>
          <c:tx>
            <c:strRef>
              <c:f>'Mod. ingresos'!$D$16</c:f>
              <c:strCache>
                <c:ptCount val="1"/>
                <c:pt idx="0">
                  <c:v> Ingresos 2026 </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374-4368-97F6-BBDA83FD1D3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374-4368-97F6-BBDA83FD1D3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374-4368-97F6-BBDA83FD1D3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C199-004B-BDA0-4D11FA11C91F}"/>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896C-8B4D-AB7F-11C619A2C7BD}"/>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374-4368-97F6-BBDA83FD1D3E}"/>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74-4368-97F6-BBDA83FD1D3E}"/>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374-4368-97F6-BBDA83FD1D3E}"/>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C199-004B-BDA0-4D11FA11C91F}"/>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96C-8B4D-AB7F-11C619A2C7B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'Mod. ingresos'!$B$17:$B$21</c:f>
              <c:strCache>
                <c:ptCount val="5"/>
                <c:pt idx="0">
                  <c:v> Gratuito </c:v>
                </c:pt>
                <c:pt idx="1">
                  <c:v> Basico Anual </c:v>
                </c:pt>
                <c:pt idx="2">
                  <c:v> Basico </c:v>
                </c:pt>
                <c:pt idx="3">
                  <c:v> Profesional Anual </c:v>
                </c:pt>
                <c:pt idx="4">
                  <c:v> Profesional </c:v>
                </c:pt>
              </c:strCache>
            </c:strRef>
          </c:cat>
          <c:val>
            <c:numRef>
              <c:f>'Mod. ingresos'!$D$17:$D$21</c:f>
              <c:numCache>
                <c:formatCode>_-"$"\ * #,##0.00_-;\-"$"\ * #,##0.00_-;_-"$"\ * "-"??_-;_-@_-</c:formatCode>
                <c:ptCount val="5"/>
                <c:pt idx="0">
                  <c:v>45500000</c:v>
                </c:pt>
                <c:pt idx="1">
                  <c:v>94200000</c:v>
                </c:pt>
                <c:pt idx="2">
                  <c:v>73140000</c:v>
                </c:pt>
                <c:pt idx="3">
                  <c:v>37800000</c:v>
                </c:pt>
                <c:pt idx="4">
                  <c:v>14400000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AR"/>
        </a:p>
      </c:txPr>
    </c:title>
    <c:autoTitleDeleted val="0"/>
    <c:plotArea>
      <c:layout/>
      <c:pieChart>
        <c:varyColors val="1"/>
        <c:ser>
          <c:idx val="0"/>
          <c:order val="0"/>
          <c:tx>
            <c:strRef>
              <c:f>'Mod. ingresos'!$E$16</c:f>
              <c:strCache>
                <c:ptCount val="1"/>
                <c:pt idx="0">
                  <c:v> Ingresos 2027 </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EA85-40A9-9793-B381DA40BF8B}"/>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EA85-40A9-9793-B381DA40BF8B}"/>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EA85-40A9-9793-B381DA40BF8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CC0-434F-BF63-27BE839B0756}"/>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F405-2446-A1CF-1D6D72F7F89C}"/>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A85-40A9-9793-B381DA40BF8B}"/>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EA85-40A9-9793-B381DA40BF8B}"/>
                </c:ext>
              </c:extLst>
            </c:dLbl>
            <c:dLbl>
              <c:idx val="2"/>
              <c:layout>
                <c:manualLayout>
                  <c:x val="-1.2088909831745273E-2"/>
                  <c:y val="-3.739842982750963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AR"/>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A-EA85-40A9-9793-B381DA40BF8B}"/>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CC0-434F-BF63-27BE839B0756}"/>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AR"/>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405-2446-A1CF-1D6D72F7F89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AR"/>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'Mod. ingresos'!$B$17:$B$21</c:f>
              <c:strCache>
                <c:ptCount val="5"/>
                <c:pt idx="0">
                  <c:v> Gratuito </c:v>
                </c:pt>
                <c:pt idx="1">
                  <c:v> Basico Anual </c:v>
                </c:pt>
                <c:pt idx="2">
                  <c:v> Basico </c:v>
                </c:pt>
                <c:pt idx="3">
                  <c:v> Profesional Anual </c:v>
                </c:pt>
                <c:pt idx="4">
                  <c:v> Profesional </c:v>
                </c:pt>
              </c:strCache>
            </c:strRef>
          </c:cat>
          <c:val>
            <c:numRef>
              <c:f>'Mod. ingresos'!$E$17:$E$21</c:f>
              <c:numCache>
                <c:formatCode>_-"$"\ * #,##0.00_-;\-"$"\ * #,##0.00_-;_-"$"\ * "-"??_-;_-@_-</c:formatCode>
                <c:ptCount val="5"/>
                <c:pt idx="0">
                  <c:v>60750000</c:v>
                </c:pt>
                <c:pt idx="1">
                  <c:v>160800000</c:v>
                </c:pt>
                <c:pt idx="2">
                  <c:v>95220000</c:v>
                </c:pt>
                <c:pt idx="3">
                  <c:v>66060000</c:v>
                </c:pt>
                <c:pt idx="4">
                  <c:v>15660000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R"/>
        </a:p>
      </c:txPr>
    </c:title>
    <c:autoTitleDeleted val="0"/>
    <c:plotArea>
      <c:layout/>
      <c:barChart>
        <c:barDir val="col"/>
        <c:grouping val="clustered"/>
        <c:varyColors val="0"/>
        <c:ser>
          <c:idx val="0"/>
          <c:order val="0"/>
          <c:tx>
            <c:strRef>
              <c:f>'Mod. egresos'!$A$10</c:f>
              <c:strCache>
                <c:ptCount val="1"/>
                <c:pt idx="0">
                  <c:v>Costos Fijos</c:v>
                </c:pt>
              </c:strCache>
            </c:strRef>
          </c:tx>
          <c:spPr>
            <a:solidFill>
              <a:schemeClr val="accent2"/>
            </a:solidFill>
            <a:ln>
              <a:noFill/>
            </a:ln>
            <a:effectLst/>
          </c:spPr>
          <c:invertIfNegative val="0"/>
          <c:cat>
            <c:numRef>
              <c:f>'Mod. egresos'!$B$9:$D$9</c:f>
              <c:numCache>
                <c:formatCode>General</c:formatCode>
                <c:ptCount val="3"/>
                <c:pt idx="0">
                  <c:v>2025</c:v>
                </c:pt>
                <c:pt idx="1">
                  <c:v>2026</c:v>
                </c:pt>
                <c:pt idx="2">
                  <c:v>2027</c:v>
                </c:pt>
              </c:numCache>
            </c:numRef>
          </c:cat>
          <c:val>
            <c:numRef>
              <c:f>'Mod. egresos'!$B$10:$D$10</c:f>
              <c:numCache>
                <c:formatCode>"$"\ #,##0.00</c:formatCode>
                <c:ptCount val="3"/>
                <c:pt idx="0">
                  <c:v>40672572</c:v>
                </c:pt>
                <c:pt idx="1">
                  <c:v>42139416</c:v>
                </c:pt>
                <c:pt idx="2">
                  <c:v>43846260</c:v>
                </c:pt>
              </c:numCache>
            </c:numRef>
          </c:val>
          <c:extLst>
            <c:ext xmlns:c16="http://schemas.microsoft.com/office/drawing/2014/chart" uri="{C3380CC4-5D6E-409C-BE32-E72D297353CC}">
              <c16:uniqueId val="{00000000-252F-41D5-9F1B-5A707FE5FD1F}"/>
            </c:ext>
          </c:extLst>
        </c:ser>
        <c:ser>
          <c:idx val="1"/>
          <c:order val="1"/>
          <c:tx>
            <c:strRef>
              <c:f>'Mod. egresos'!$A$11</c:f>
              <c:strCache>
                <c:ptCount val="1"/>
                <c:pt idx="0">
                  <c:v>Costos variables</c:v>
                </c:pt>
              </c:strCache>
            </c:strRef>
          </c:tx>
          <c:spPr>
            <a:solidFill>
              <a:schemeClr val="accent4"/>
            </a:solidFill>
            <a:ln>
              <a:noFill/>
            </a:ln>
            <a:effectLst/>
          </c:spPr>
          <c:invertIfNegative val="0"/>
          <c:cat>
            <c:numRef>
              <c:f>'Mod. egresos'!$B$9:$D$9</c:f>
              <c:numCache>
                <c:formatCode>General</c:formatCode>
                <c:ptCount val="3"/>
                <c:pt idx="0">
                  <c:v>2025</c:v>
                </c:pt>
                <c:pt idx="1">
                  <c:v>2026</c:v>
                </c:pt>
                <c:pt idx="2">
                  <c:v>2027</c:v>
                </c:pt>
              </c:numCache>
            </c:numRef>
          </c:cat>
          <c:val>
            <c:numRef>
              <c:f>'Mod. egresos'!$B$11:$D$11</c:f>
              <c:numCache>
                <c:formatCode>"$"\ #,##0.00</c:formatCode>
                <c:ptCount val="3"/>
                <c:pt idx="0">
                  <c:v>4268280</c:v>
                </c:pt>
                <c:pt idx="1">
                  <c:v>6270720.0000000009</c:v>
                </c:pt>
                <c:pt idx="2">
                  <c:v>9098820</c:v>
                </c:pt>
              </c:numCache>
            </c:numRef>
          </c:val>
          <c:extLst>
            <c:ext xmlns:c16="http://schemas.microsoft.com/office/drawing/2014/chart" uri="{C3380CC4-5D6E-409C-BE32-E72D297353CC}">
              <c16:uniqueId val="{00000001-252F-41D5-9F1B-5A707FE5FD1F}"/>
            </c:ext>
          </c:extLst>
        </c:ser>
        <c:ser>
          <c:idx val="2"/>
          <c:order val="2"/>
          <c:tx>
            <c:strRef>
              <c:f>'Mod. egresos'!$A$12</c:f>
              <c:strCache>
                <c:ptCount val="1"/>
                <c:pt idx="0">
                  <c:v>Costos de RRHH</c:v>
                </c:pt>
              </c:strCache>
            </c:strRef>
          </c:tx>
          <c:spPr>
            <a:solidFill>
              <a:schemeClr val="accent6"/>
            </a:solidFill>
            <a:ln>
              <a:noFill/>
            </a:ln>
            <a:effectLst/>
          </c:spPr>
          <c:invertIfNegative val="0"/>
          <c:cat>
            <c:numRef>
              <c:f>'Mod. egresos'!$B$9:$D$9</c:f>
              <c:numCache>
                <c:formatCode>General</c:formatCode>
                <c:ptCount val="3"/>
                <c:pt idx="0">
                  <c:v>2025</c:v>
                </c:pt>
                <c:pt idx="1">
                  <c:v>2026</c:v>
                </c:pt>
                <c:pt idx="2">
                  <c:v>2027</c:v>
                </c:pt>
              </c:numCache>
            </c:numRef>
          </c:cat>
          <c:val>
            <c:numRef>
              <c:f>'Mod. egresos'!$B$12:$D$12</c:f>
              <c:numCache>
                <c:formatCode>"$"\ #,##0.00</c:formatCode>
                <c:ptCount val="3"/>
                <c:pt idx="0">
                  <c:v>126808165.64</c:v>
                </c:pt>
                <c:pt idx="1">
                  <c:v>192749644.16499993</c:v>
                </c:pt>
                <c:pt idx="2">
                  <c:v>295467714.09999996</c:v>
                </c:pt>
              </c:numCache>
            </c:numRef>
          </c:val>
          <c:extLst>
            <c:ext xmlns:c16="http://schemas.microsoft.com/office/drawing/2014/chart" uri="{C3380CC4-5D6E-409C-BE32-E72D297353CC}">
              <c16:uniqueId val="{00000002-252F-41D5-9F1B-5A707FE5FD1F}"/>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'Mod. egresos'!$A$13</c:f>
              <c:strCache>
                <c:ptCount val="1"/>
                <c:pt idx="0">
                  <c:v>Costos totales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'Mod. egresos'!$B$9:$D$9</c:f>
              <c:numCache>
                <c:formatCode>General</c:formatCode>
                <c:ptCount val="3"/>
                <c:pt idx="0">
                  <c:v>2025</c:v>
                </c:pt>
                <c:pt idx="1">
                  <c:v>2026</c:v>
                </c:pt>
                <c:pt idx="2">
                  <c:v>2027</c:v>
                </c:pt>
              </c:numCache>
            </c:numRef>
          </c:cat>
          <c:val>
            <c:numRef>
              <c:f>'Mod. egresos'!$B$13:$D$13</c:f>
              <c:numCache>
                <c:formatCode>"$"\ #,##0.00</c:formatCode>
                <c:ptCount val="3"/>
                <c:pt idx="0">
                  <c:v>171751042.63999999</c:v>
                </c:pt>
                <c:pt idx="1">
                  <c:v>241161806.16499993</c:v>
                </c:pt>
                <c:pt idx="2">
                  <c:v>348414821.09999996</c:v>
                </c:pt>
              </c:numCache>
            </c:numRef>
          </c:val>
          <c:smooth val="0"/>
          <c:extLst>
            <c:ext xmlns:c16="http://schemas.microsoft.com/office/drawing/2014/chart" uri="{C3380CC4-5D6E-409C-BE32-E72D297353CC}">
              <c16:uniqueId val="{00000003-252F-41D5-9F1B-5A707FE5FD1F}"/>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102235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AR"/>
              <a:t>Ingresos vs Egresos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AR"/>
        </a:p>
      </c:txPr>
    </c:title>
    <c:autoTitleDeleted val="0"/>
    <c:plotArea>
      <c:layout/>
      <c:lineChart>
        <c:grouping val="standard"/>
        <c:varyColors val="0"/>
        <c:ser>
          <c:idx val="0"/>
          <c:order val="0"/>
          <c:tx>
            <c:strRef>
              <c:f>'Mod. egresos'!$A$13</c:f>
              <c:strCache>
                <c:ptCount val="1"/>
                <c:pt idx="0">
                  <c:v>Costos totales</c:v>
                </c:pt>
              </c:strCache>
            </c:strRef>
          </c:tx>
          <c:spPr>
            <a:ln w="38100" cap="rnd">
              <a:solidFill>
                <a:schemeClr val="accent1"/>
              </a:solidFill>
              <a:round/>
            </a:ln>
            <a:effectLst/>
          </c:spPr>
          <c:marker>
            <c:symbol val="none"/>
          </c:marker>
          <c:cat>
            <c:numRef>
              <c:f>'Mod. egresos'!$B$9:$D$9</c:f>
              <c:numCache>
                <c:formatCode>General</c:formatCode>
                <c:ptCount val="3"/>
                <c:pt idx="0">
                  <c:v>2025</c:v>
                </c:pt>
                <c:pt idx="1">
                  <c:v>2026</c:v>
                </c:pt>
                <c:pt idx="2">
                  <c:v>2027</c:v>
                </c:pt>
              </c:numCache>
            </c:numRef>
          </c:cat>
          <c:val>
            <c:numRef>
              <c:f>'Mod. egresos'!$B$13:$D$13</c:f>
              <c:numCache>
                <c:formatCode>"$"\ #,##0.00</c:formatCode>
                <c:ptCount val="3"/>
                <c:pt idx="0">
                  <c:v>171751042.63999999</c:v>
                </c:pt>
                <c:pt idx="1">
                  <c:v>241161806.16499993</c:v>
                </c:pt>
                <c:pt idx="2">
                  <c:v>348414821.09999996</c:v>
                </c:pt>
              </c:numCache>
            </c:numRef>
          </c:val>
          <c:smooth val="0"/>
          <c:extLst>
            <c:ext xmlns:c16="http://schemas.microsoft.com/office/drawing/2014/chart" uri="{C3380CC4-5D6E-409C-BE32-E72D297353CC}">
              <c16:uniqueId val="{00000000-F8DF-4E16-9F13-7AC41150A311}"/>
            </c:ext>
          </c:extLst>
        </c:ser>
        <c:ser>
          <c:idx val="1"/>
          <c:order val="1"/>
          <c:tx>
            <c:strRef>
              <c:f>'Mod. egresos'!$A$14</c:f>
              <c:strCache>
                <c:ptCount val="1"/>
                <c:pt idx="0">
                  <c:v>Objetivo ingresos</c:v>
                </c:pt>
              </c:strCache>
            </c:strRef>
          </c:tx>
          <c:spPr>
            <a:ln w="38100" cap="rnd">
              <a:solidFill>
                <a:schemeClr val="accent2"/>
              </a:solidFill>
              <a:round/>
            </a:ln>
            <a:effectLst/>
          </c:spPr>
          <c:marker>
            <c:symbol val="none"/>
          </c:marker>
          <c:cat>
            <c:numRef>
              <c:f>'Mod. egresos'!$B$9:$D$9</c:f>
              <c:numCache>
                <c:formatCode>General</c:formatCode>
                <c:ptCount val="3"/>
                <c:pt idx="0">
                  <c:v>2025</c:v>
                </c:pt>
                <c:pt idx="1">
                  <c:v>2026</c:v>
                </c:pt>
                <c:pt idx="2">
                  <c:v>2027</c:v>
                </c:pt>
              </c:numCache>
            </c:numRef>
          </c:cat>
          <c:val>
            <c:numRef>
              <c:f>'Mod. egresos'!$B$14:$D$14</c:f>
              <c:numCache>
                <c:formatCode>"$"\ #,##0.00</c:formatCode>
                <c:ptCount val="3"/>
                <c:pt idx="0">
                  <c:v>177460000</c:v>
                </c:pt>
                <c:pt idx="1">
                  <c:v>265040000</c:v>
                </c:pt>
                <c:pt idx="2">
                  <c:v>398490000</c:v>
                </c:pt>
              </c:numCache>
            </c:numRef>
          </c:val>
          <c:smooth val="0"/>
          <c:extLst>
            <c:ext xmlns:c16="http://schemas.microsoft.com/office/drawing/2014/chart" uri="{C3380CC4-5D6E-409C-BE32-E72D297353CC}">
              <c16:uniqueId val="{00000001-F8DF-4E16-9F13-7AC41150A311}"/>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AR"/>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crossAx val="1025409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Indice!A1"/></Relationships>
</file>

<file path=xl/drawings/_rels/drawing3.xml.rels><?xml version="1.0" encoding="UTF-8" standalone="yes"?>
<Relationships xmlns="http://schemas.openxmlformats.org/package/2006/relationships"><Relationship Id="rId8" Type="http://schemas.openxmlformats.org/officeDocument/2006/relationships/hyperlink" Target="#'Anexo capacidad operativa'!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hyperlink" Target="#'Proy. ventas'!A1"/></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1" Type="http://schemas.openxmlformats.org/officeDocument/2006/relationships/hyperlink" Target="#Indice!A1"/></Relationships>
</file>

<file path=xl/drawings/_rels/drawing13.xml.rels><?xml version="1.0" encoding="UTF-8" standalone="yes"?>
<Relationships xmlns="http://schemas.openxmlformats.org/package/2006/relationships"><Relationship Id="rId1" Type="http://schemas.openxmlformats.org/officeDocument/2006/relationships/hyperlink" Target="#Indice!A1"/></Relationships>
</file>

<file path=xl/drawings/_rels/drawing14.xml.rels><?xml version="1.0" encoding="UTF-8" standalone="yes"?>
<Relationships xmlns="http://schemas.openxmlformats.org/package/2006/relationships"><Relationship Id="rId1" Type="http://schemas.openxmlformats.org/officeDocument/2006/relationships/hyperlink" Target="#Indice!A1"/></Relationships>
</file>

<file path=xl/drawings/_rels/drawing15.xml.rels><?xml version="1.0" encoding="UTF-8" standalone="yes"?>
<Relationships xmlns="http://schemas.openxmlformats.org/package/2006/relationships"><Relationship Id="rId1" Type="http://schemas.openxmlformats.org/officeDocument/2006/relationships/hyperlink" Target="#Indice!A1"/></Relationships>
</file>

<file path=xl/drawings/_rels/drawing16.xml.rels><?xml version="1.0" encoding="UTF-8" standalone="yes"?>
<Relationships xmlns="http://schemas.openxmlformats.org/package/2006/relationships"><Relationship Id="rId1" Type="http://schemas.openxmlformats.org/officeDocument/2006/relationships/hyperlink" Target="#Indice!A1"/></Relationships>
</file>

<file path=xl/drawings/_rels/drawing17.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8</xdr:col>
      <xdr:colOff>68580</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5FC0E6FE-4B7F-4155-977B-6C7CF6EFE75B}"/>
            </a:ext>
          </a:extLst>
        </xdr:cNvPr>
        <xdr:cNvSpPr/>
      </xdr:nvSpPr>
      <xdr:spPr>
        <a:xfrm>
          <a:off x="710144" y="238125"/>
          <a:ext cx="158644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9</xdr:col>
      <xdr:colOff>625927</xdr:colOff>
      <xdr:row>30</xdr:row>
      <xdr:rowOff>40820</xdr:rowOff>
    </xdr:to>
    <xdr:graphicFrame macro="">
      <xdr:nvGraphicFramePr>
        <xdr:cNvPr id="3" name="Gráfico 2">
          <a:extLst>
            <a:ext uri="{FF2B5EF4-FFF2-40B4-BE49-F238E27FC236}">
              <a16:creationId xmlns:a16="http://schemas.microsoft.com/office/drawing/2014/main" id="{7C652CA2-4199-4A96-977C-3B0D83C7D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572E3C2-A315-4012-A914-E6B6C8EB05F7}"/>
            </a:ext>
          </a:extLst>
        </xdr:cNvPr>
        <xdr:cNvSpPr/>
      </xdr:nvSpPr>
      <xdr:spPr>
        <a:xfrm>
          <a:off x="575582" y="176893"/>
          <a:ext cx="1628775" cy="34698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29</xdr:col>
      <xdr:colOff>714376</xdr:colOff>
      <xdr:row>12</xdr:row>
      <xdr:rowOff>158751</xdr:rowOff>
    </xdr:from>
    <xdr:to>
      <xdr:col>42</xdr:col>
      <xdr:colOff>546101</xdr:colOff>
      <xdr:row>27</xdr:row>
      <xdr:rowOff>1733551</xdr:rowOff>
    </xdr:to>
    <xdr:graphicFrame macro="">
      <xdr:nvGraphicFramePr>
        <xdr:cNvPr id="4" name="Gráfico 3">
          <a:extLst>
            <a:ext uri="{FF2B5EF4-FFF2-40B4-BE49-F238E27FC236}">
              <a16:creationId xmlns:a16="http://schemas.microsoft.com/office/drawing/2014/main" id="{2F9DA8A6-869C-4C71-B6CB-D16B1D07B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495300</xdr:colOff>
      <xdr:row>74</xdr:row>
      <xdr:rowOff>171450</xdr:rowOff>
    </xdr:from>
    <xdr:to>
      <xdr:col>43</xdr:col>
      <xdr:colOff>38100</xdr:colOff>
      <xdr:row>84</xdr:row>
      <xdr:rowOff>152400</xdr:rowOff>
    </xdr:to>
    <xdr:graphicFrame macro="">
      <xdr:nvGraphicFramePr>
        <xdr:cNvPr id="5" name="Gráfico 4">
          <a:extLst>
            <a:ext uri="{FF2B5EF4-FFF2-40B4-BE49-F238E27FC236}">
              <a16:creationId xmlns:a16="http://schemas.microsoft.com/office/drawing/2014/main" id="{47521083-FD90-4620-9714-6BEB9B3FA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371474</xdr:colOff>
      <xdr:row>120</xdr:row>
      <xdr:rowOff>47624</xdr:rowOff>
    </xdr:from>
    <xdr:to>
      <xdr:col>42</xdr:col>
      <xdr:colOff>571500</xdr:colOff>
      <xdr:row>133</xdr:row>
      <xdr:rowOff>133350</xdr:rowOff>
    </xdr:to>
    <xdr:graphicFrame macro="">
      <xdr:nvGraphicFramePr>
        <xdr:cNvPr id="6" name="Gráfico 5">
          <a:extLst>
            <a:ext uri="{FF2B5EF4-FFF2-40B4-BE49-F238E27FC236}">
              <a16:creationId xmlns:a16="http://schemas.microsoft.com/office/drawing/2014/main" id="{929DAE4F-1B98-46E7-933D-02F24E98A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329044</xdr:colOff>
      <xdr:row>29</xdr:row>
      <xdr:rowOff>117762</xdr:rowOff>
    </xdr:from>
    <xdr:to>
      <xdr:col>43</xdr:col>
      <xdr:colOff>571500</xdr:colOff>
      <xdr:row>61</xdr:row>
      <xdr:rowOff>69273</xdr:rowOff>
    </xdr:to>
    <xdr:graphicFrame macro="">
      <xdr:nvGraphicFramePr>
        <xdr:cNvPr id="9" name="Gráfico 8">
          <a:extLst>
            <a:ext uri="{FF2B5EF4-FFF2-40B4-BE49-F238E27FC236}">
              <a16:creationId xmlns:a16="http://schemas.microsoft.com/office/drawing/2014/main" id="{0F6C5F57-6458-4CE0-B9BC-92417A89F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519546</xdr:colOff>
      <xdr:row>86</xdr:row>
      <xdr:rowOff>51955</xdr:rowOff>
    </xdr:from>
    <xdr:to>
      <xdr:col>42</xdr:col>
      <xdr:colOff>571500</xdr:colOff>
      <xdr:row>113</xdr:row>
      <xdr:rowOff>69273</xdr:rowOff>
    </xdr:to>
    <xdr:graphicFrame macro="">
      <xdr:nvGraphicFramePr>
        <xdr:cNvPr id="10" name="Gráfico 9">
          <a:extLst>
            <a:ext uri="{FF2B5EF4-FFF2-40B4-BE49-F238E27FC236}">
              <a16:creationId xmlns:a16="http://schemas.microsoft.com/office/drawing/2014/main" id="{E42BB335-A567-4C02-8D36-6BEE078D2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346364</xdr:colOff>
      <xdr:row>135</xdr:row>
      <xdr:rowOff>86591</xdr:rowOff>
    </xdr:from>
    <xdr:to>
      <xdr:col>43</xdr:col>
      <xdr:colOff>155864</xdr:colOff>
      <xdr:row>169</xdr:row>
      <xdr:rowOff>-1</xdr:rowOff>
    </xdr:to>
    <xdr:graphicFrame macro="">
      <xdr:nvGraphicFramePr>
        <xdr:cNvPr id="11" name="Gráfico 10">
          <a:extLst>
            <a:ext uri="{FF2B5EF4-FFF2-40B4-BE49-F238E27FC236}">
              <a16:creationId xmlns:a16="http://schemas.microsoft.com/office/drawing/2014/main" id="{4F7F650F-5085-48F5-A311-89C1D6217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1396999</xdr:colOff>
      <xdr:row>83</xdr:row>
      <xdr:rowOff>63500</xdr:rowOff>
    </xdr:from>
    <xdr:to>
      <xdr:col>1</xdr:col>
      <xdr:colOff>1016000</xdr:colOff>
      <xdr:row>86</xdr:row>
      <xdr:rowOff>132772</xdr:rowOff>
    </xdr:to>
    <xdr:sp macro="" textlink="">
      <xdr:nvSpPr>
        <xdr:cNvPr id="15" name="Rectángulo: esquinas redondeadas 14">
          <a:hlinkClick xmlns:r="http://schemas.openxmlformats.org/officeDocument/2006/relationships" r:id="rId8"/>
          <a:extLst>
            <a:ext uri="{FF2B5EF4-FFF2-40B4-BE49-F238E27FC236}">
              <a16:creationId xmlns:a16="http://schemas.microsoft.com/office/drawing/2014/main" id="{8B83D8D3-3715-43A7-8EC2-52FFD9690EA5}"/>
            </a:ext>
          </a:extLst>
        </xdr:cNvPr>
        <xdr:cNvSpPr/>
      </xdr:nvSpPr>
      <xdr:spPr>
        <a:xfrm>
          <a:off x="1396999" y="28527375"/>
          <a:ext cx="2587626"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1317625</xdr:colOff>
      <xdr:row>33</xdr:row>
      <xdr:rowOff>111125</xdr:rowOff>
    </xdr:from>
    <xdr:to>
      <xdr:col>1</xdr:col>
      <xdr:colOff>936626</xdr:colOff>
      <xdr:row>36</xdr:row>
      <xdr:rowOff>180397</xdr:rowOff>
    </xdr:to>
    <xdr:sp macro="" textlink="">
      <xdr:nvSpPr>
        <xdr:cNvPr id="16" name="Rectángulo: esquinas redondeadas 15">
          <a:hlinkClick xmlns:r="http://schemas.openxmlformats.org/officeDocument/2006/relationships" r:id="rId8"/>
          <a:extLst>
            <a:ext uri="{FF2B5EF4-FFF2-40B4-BE49-F238E27FC236}">
              <a16:creationId xmlns:a16="http://schemas.microsoft.com/office/drawing/2014/main" id="{BCD8EB8A-1A07-422B-9A36-46626E7D50F6}"/>
            </a:ext>
          </a:extLst>
        </xdr:cNvPr>
        <xdr:cNvSpPr/>
      </xdr:nvSpPr>
      <xdr:spPr>
        <a:xfrm>
          <a:off x="1317625" y="13731875"/>
          <a:ext cx="2587626"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1285875</xdr:colOff>
      <xdr:row>134</xdr:row>
      <xdr:rowOff>158750</xdr:rowOff>
    </xdr:from>
    <xdr:to>
      <xdr:col>1</xdr:col>
      <xdr:colOff>904876</xdr:colOff>
      <xdr:row>138</xdr:row>
      <xdr:rowOff>37522</xdr:rowOff>
    </xdr:to>
    <xdr:sp macro="" textlink="">
      <xdr:nvSpPr>
        <xdr:cNvPr id="17" name="Rectángulo: esquinas redondeadas 16">
          <a:hlinkClick xmlns:r="http://schemas.openxmlformats.org/officeDocument/2006/relationships" r:id="rId8"/>
          <a:extLst>
            <a:ext uri="{FF2B5EF4-FFF2-40B4-BE49-F238E27FC236}">
              <a16:creationId xmlns:a16="http://schemas.microsoft.com/office/drawing/2014/main" id="{5736D737-38BE-481F-9632-9A0585D8973D}"/>
            </a:ext>
          </a:extLst>
        </xdr:cNvPr>
        <xdr:cNvSpPr/>
      </xdr:nvSpPr>
      <xdr:spPr>
        <a:xfrm>
          <a:off x="1285875" y="42179875"/>
          <a:ext cx="2587626"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0</xdr:row>
      <xdr:rowOff>238125</xdr:rowOff>
    </xdr:from>
    <xdr:to>
      <xdr:col>1</xdr:col>
      <xdr:colOff>1581150</xdr:colOff>
      <xdr:row>0</xdr:row>
      <xdr:rowOff>523875</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BD6CB56-49D1-41F8-A6A2-EEAEAE6F64D8}"/>
            </a:ext>
          </a:extLst>
        </xdr:cNvPr>
        <xdr:cNvSpPr/>
      </xdr:nvSpPr>
      <xdr:spPr>
        <a:xfrm>
          <a:off x="1409700" y="238125"/>
          <a:ext cx="14859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 a Proy. ventas</a:t>
          </a:r>
        </a:p>
      </xdr:txBody>
    </xdr:sp>
    <xdr:clientData/>
  </xdr:twoCellAnchor>
  <xdr:twoCellAnchor>
    <xdr:from>
      <xdr:col>0</xdr:col>
      <xdr:colOff>114300</xdr:colOff>
      <xdr:row>0</xdr:row>
      <xdr:rowOff>238125</xdr:rowOff>
    </xdr:from>
    <xdr:to>
      <xdr:col>0</xdr:col>
      <xdr:colOff>1228725</xdr:colOff>
      <xdr:row>0</xdr:row>
      <xdr:rowOff>523875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EE9074D6-8650-40CA-BBBF-8B6127FE5EE8}"/>
            </a:ext>
          </a:extLst>
        </xdr:cNvPr>
        <xdr:cNvSpPr/>
      </xdr:nvSpPr>
      <xdr:spPr>
        <a:xfrm>
          <a:off x="114300" y="238125"/>
          <a:ext cx="1114425"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17ECC99-AC21-4EF9-AAA0-096DD587B40D}"/>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9</xdr:col>
      <xdr:colOff>59573</xdr:colOff>
      <xdr:row>3</xdr:row>
      <xdr:rowOff>9520</xdr:rowOff>
    </xdr:from>
    <xdr:to>
      <xdr:col>21</xdr:col>
      <xdr:colOff>471490</xdr:colOff>
      <xdr:row>31</xdr:row>
      <xdr:rowOff>81134</xdr:rowOff>
    </xdr:to>
    <xdr:graphicFrame macro="">
      <xdr:nvGraphicFramePr>
        <xdr:cNvPr id="4" name="Gráfico 3">
          <a:extLst>
            <a:ext uri="{FF2B5EF4-FFF2-40B4-BE49-F238E27FC236}">
              <a16:creationId xmlns:a16="http://schemas.microsoft.com/office/drawing/2014/main" id="{69832ACF-0F35-4E72-9ED4-3750225CB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102892</xdr:colOff>
      <xdr:row>33</xdr:row>
      <xdr:rowOff>16143</xdr:rowOff>
    </xdr:from>
    <xdr:to>
      <xdr:col>7</xdr:col>
      <xdr:colOff>807204</xdr:colOff>
      <xdr:row>71</xdr:row>
      <xdr:rowOff>129151</xdr:rowOff>
    </xdr:to>
    <xdr:graphicFrame macro="">
      <xdr:nvGraphicFramePr>
        <xdr:cNvPr id="5" name="Gráfico 4">
          <a:extLst>
            <a:ext uri="{FF2B5EF4-FFF2-40B4-BE49-F238E27FC236}">
              <a16:creationId xmlns:a16="http://schemas.microsoft.com/office/drawing/2014/main" id="{D789AC21-0B30-4AF6-A357-9CB0E79AF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32125</xdr:colOff>
      <xdr:row>33</xdr:row>
      <xdr:rowOff>16144</xdr:rowOff>
    </xdr:from>
    <xdr:to>
      <xdr:col>21</xdr:col>
      <xdr:colOff>468178</xdr:colOff>
      <xdr:row>71</xdr:row>
      <xdr:rowOff>129152</xdr:rowOff>
    </xdr:to>
    <xdr:graphicFrame macro="">
      <xdr:nvGraphicFramePr>
        <xdr:cNvPr id="6" name="Gráfico 5">
          <a:extLst>
            <a:ext uri="{FF2B5EF4-FFF2-40B4-BE49-F238E27FC236}">
              <a16:creationId xmlns:a16="http://schemas.microsoft.com/office/drawing/2014/main" id="{37AD291C-126F-49A7-89F7-F114102F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682C863-661A-452B-9063-A603E1ADF416}"/>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7580633-A34A-4A44-A585-87E0792E7792}"/>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33C79AE7-9846-4F41-8A4D-A53479BEFC5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0</xdr:col>
      <xdr:colOff>240847</xdr:colOff>
      <xdr:row>15</xdr:row>
      <xdr:rowOff>21091</xdr:rowOff>
    </xdr:from>
    <xdr:to>
      <xdr:col>4</xdr:col>
      <xdr:colOff>522515</xdr:colOff>
      <xdr:row>29</xdr:row>
      <xdr:rowOff>100012</xdr:rowOff>
    </xdr:to>
    <xdr:graphicFrame macro="">
      <xdr:nvGraphicFramePr>
        <xdr:cNvPr id="6" name="Gráfico 5">
          <a:extLst>
            <a:ext uri="{FF2B5EF4-FFF2-40B4-BE49-F238E27FC236}">
              <a16:creationId xmlns:a16="http://schemas.microsoft.com/office/drawing/2014/main" id="{4C10C708-52C2-4FAB-81F4-B8C2B1A7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119063</xdr:colOff>
      <xdr:row>15</xdr:row>
      <xdr:rowOff>15647</xdr:rowOff>
    </xdr:from>
    <xdr:to>
      <xdr:col>10</xdr:col>
      <xdr:colOff>604838</xdr:colOff>
      <xdr:row>29</xdr:row>
      <xdr:rowOff>91847</xdr:rowOff>
    </xdr:to>
    <xdr:graphicFrame macro="">
      <xdr:nvGraphicFramePr>
        <xdr:cNvPr id="8" name="Gráfico 7">
          <a:extLst>
            <a:ext uri="{FF2B5EF4-FFF2-40B4-BE49-F238E27FC236}">
              <a16:creationId xmlns:a16="http://schemas.microsoft.com/office/drawing/2014/main" id="{55872761-E8D1-425E-9C87-A7EDDAFFA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2</xdr:col>
      <xdr:colOff>622487</xdr:colOff>
      <xdr:row>0</xdr:row>
      <xdr:rowOff>501463</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2682688"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D2F9AF6-E8B9-48D3-919B-A2F3EECD8194}"/>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238125</xdr:rowOff>
    </xdr:from>
    <xdr:to>
      <xdr:col>1</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E31AC0B-3E3D-41C1-AF72-BF1096BD1383}"/>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86ABE255-E756-487C-A001-4B94AE59DBDF}"/>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55D7E974-B1DE-497B-98BD-4CF4F6AF760D}"/>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295275</xdr:colOff>
      <xdr:row>0</xdr:row>
      <xdr:rowOff>238125</xdr:rowOff>
    </xdr:from>
    <xdr:to>
      <xdr:col>3</xdr:col>
      <xdr:colOff>47625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0A6F96F-E37C-4A5B-B216-6A4ACBD551EF}"/>
            </a:ext>
          </a:extLst>
        </xdr:cNvPr>
        <xdr:cNvSpPr/>
      </xdr:nvSpPr>
      <xdr:spPr>
        <a:xfrm>
          <a:off x="295275" y="238125"/>
          <a:ext cx="1288256"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314325</xdr:colOff>
      <xdr:row>0</xdr:row>
      <xdr:rowOff>238125</xdr:rowOff>
    </xdr:from>
    <xdr:to>
      <xdr:col>3</xdr:col>
      <xdr:colOff>116417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4AF1FEC-F722-4E86-8D8D-28EB6AECD6EF}"/>
            </a:ext>
          </a:extLst>
        </xdr:cNvPr>
        <xdr:cNvSpPr/>
      </xdr:nvSpPr>
      <xdr:spPr>
        <a:xfrm>
          <a:off x="314325" y="238125"/>
          <a:ext cx="1453092"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C57868B-13A8-4524-8201-2E020DE2303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cristiangentile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monitor-lg-led-amd-freesync-22-full-hd-22mp410-b-22-hdmi-vga-color-negro/p/MLA19451661" TargetMode="External"/><Relationship Id="rId2" Type="http://schemas.openxmlformats.org/officeDocument/2006/relationships/hyperlink" Target="https://www.mercadolibre.com.ar/teclado-mouse-auriculares-head-set-pad-targa-tg-km210-kit-x4-mouse-negro-teclado-negro/p/MLA19849817" TargetMode="External"/><Relationship Id="rId1" Type="http://schemas.openxmlformats.org/officeDocument/2006/relationships/hyperlink" Target="https://www.mercadolibre.com.ar/notebook-hp-255-g9-amd-ryzen-5-5625u-16gb-de-ram-512gb-ssd-pantalla-156-full-hd-windows-11-8a646ea/p/MLA38099607" TargetMode="External"/><Relationship Id="rId6" Type="http://schemas.openxmlformats.org/officeDocument/2006/relationships/drawing" Target="../drawings/drawing10.xml"/><Relationship Id="rId5" Type="http://schemas.openxmlformats.org/officeDocument/2006/relationships/printerSettings" Target="../printerSettings/printerSettings9.bin"/><Relationship Id="rId4" Type="http://schemas.openxmlformats.org/officeDocument/2006/relationships/hyperlink" Target="https://www.mercadolibre.com.ar/silla-ergonomica-smart-tech-ws5147-oficina-escritorio-computadora-sillon-color-negro/p/MLA18613006"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indec.gob.ar/indec/web/Nivel4-Tema-2-24-85" TargetMode="External"/><Relationship Id="rId1" Type="http://schemas.openxmlformats.org/officeDocument/2006/relationships/hyperlink" Target="https://propamba.wordpress.com/amba/que-es-el-a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9:C26"/>
  <sheetViews>
    <sheetView zoomScale="80" zoomScaleNormal="80" workbookViewId="0">
      <selection activeCell="C27" sqref="C27"/>
    </sheetView>
  </sheetViews>
  <sheetFormatPr baseColWidth="10" defaultColWidth="11.5" defaultRowHeight="15"/>
  <cols>
    <col min="1" max="1" width="11.5" style="1"/>
    <col min="2" max="2" width="12.5" style="1" customWidth="1"/>
    <col min="3" max="16384" width="11.5" style="1"/>
  </cols>
  <sheetData>
    <row r="9" spans="3:3" ht="29">
      <c r="C9" s="2" t="s">
        <v>0</v>
      </c>
    </row>
    <row r="21" spans="3:3" ht="18">
      <c r="C21" s="3" t="s">
        <v>193</v>
      </c>
    </row>
    <row r="22" spans="3:3" ht="18">
      <c r="C22" s="3" t="s">
        <v>194</v>
      </c>
    </row>
    <row r="23" spans="3:3" ht="18">
      <c r="C23" s="3" t="s">
        <v>181</v>
      </c>
    </row>
    <row r="24" spans="3:3" ht="18">
      <c r="C24" s="3" t="s">
        <v>195</v>
      </c>
    </row>
    <row r="25" spans="3:3" ht="18">
      <c r="C25" s="3" t="s">
        <v>196</v>
      </c>
    </row>
    <row r="26" spans="3:3" ht="18">
      <c r="C26" s="3" t="s">
        <v>197</v>
      </c>
    </row>
  </sheetData>
  <hyperlinks>
    <hyperlink ref="C26" r:id="rId1" display="mailto:cristiangentile1@gmail.com"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D1:D18"/>
  <sheetViews>
    <sheetView workbookViewId="0">
      <selection activeCell="D4" sqref="D4"/>
    </sheetView>
  </sheetViews>
  <sheetFormatPr baseColWidth="10" defaultColWidth="11.5" defaultRowHeight="15"/>
  <cols>
    <col min="2" max="2" width="13" bestFit="1" customWidth="1"/>
    <col min="4" max="4" width="35.5" customWidth="1"/>
  </cols>
  <sheetData>
    <row r="1" spans="4:4" ht="16" thickBot="1"/>
    <row r="2" spans="4:4" ht="22" thickBot="1">
      <c r="D2" s="367" t="s">
        <v>14</v>
      </c>
    </row>
    <row r="3" spans="4:4" ht="16" thickBot="1"/>
    <row r="4" spans="4:4" ht="19">
      <c r="D4" s="368" t="s">
        <v>1</v>
      </c>
    </row>
    <row r="5" spans="4:4" ht="19">
      <c r="D5" s="369" t="s">
        <v>2</v>
      </c>
    </row>
    <row r="6" spans="4:4" ht="19">
      <c r="D6" s="369" t="s">
        <v>3</v>
      </c>
    </row>
    <row r="7" spans="4:4" ht="19">
      <c r="D7" s="369" t="s">
        <v>4</v>
      </c>
    </row>
    <row r="8" spans="4:4" ht="19">
      <c r="D8" s="369" t="s">
        <v>5</v>
      </c>
    </row>
    <row r="9" spans="4:4" ht="19">
      <c r="D9" s="369" t="s">
        <v>6</v>
      </c>
    </row>
    <row r="10" spans="4:4" ht="19">
      <c r="D10" s="369" t="s">
        <v>7</v>
      </c>
    </row>
    <row r="11" spans="4:4" ht="19">
      <c r="D11" s="369" t="s">
        <v>8</v>
      </c>
    </row>
    <row r="12" spans="4:4" ht="19">
      <c r="D12" s="369" t="s">
        <v>9</v>
      </c>
    </row>
    <row r="13" spans="4:4" ht="19">
      <c r="D13" s="369" t="s">
        <v>10</v>
      </c>
    </row>
    <row r="14" spans="4:4" ht="19">
      <c r="D14" s="369" t="s">
        <v>11</v>
      </c>
    </row>
    <row r="15" spans="4:4" ht="19">
      <c r="D15" s="369" t="s">
        <v>167</v>
      </c>
    </row>
    <row r="16" spans="4:4" ht="19">
      <c r="D16" s="369" t="s">
        <v>159</v>
      </c>
    </row>
    <row r="17" spans="4:4" ht="19">
      <c r="D17" s="369" t="s">
        <v>163</v>
      </c>
    </row>
    <row r="18" spans="4:4" ht="20" thickBot="1">
      <c r="D18" s="370" t="s">
        <v>12</v>
      </c>
    </row>
  </sheetData>
  <hyperlinks>
    <hyperlink ref="D4" location="Hipótesis!A1" display="Hipótesis" xr:uid="{00000000-0004-0000-0100-000000000000}"/>
    <hyperlink ref="D5" location="'Proy. Ventas'!A1" display="Proyección de ventas" xr:uid="{00000000-0004-0000-0100-000001000000}"/>
    <hyperlink ref="D6" location="'Mod. Ingresos'!A1" display="Modelo de ingresos" xr:uid="{00000000-0004-0000-0100-000002000000}"/>
    <hyperlink ref="D7" location="'Costos Fijos'!A1" display="Estructura de costos fijos" xr:uid="{00000000-0004-0000-0100-000003000000}"/>
    <hyperlink ref="D8" location="'Costos Variables'!A1" display="Estructura de costos variables" xr:uid="{00000000-0004-0000-0100-000004000000}"/>
    <hyperlink ref="D9" location="'Costos RRHH'!A1" display="Estructura de costos de RRHH" xr:uid="{00000000-0004-0000-0100-000005000000}"/>
    <hyperlink ref="D10" location="'Mod. Egresos'!A1" display="Modelo de egresos" xr:uid="{00000000-0004-0000-0100-000006000000}"/>
    <hyperlink ref="D11" location="'Mod. Inversión'!A1" display="Modelo de inversión" xr:uid="{00000000-0004-0000-0100-000007000000}"/>
    <hyperlink ref="D12" location="Amortizaciones!A1" display="Amortizaciones" xr:uid="{00000000-0004-0000-0100-000008000000}"/>
    <hyperlink ref="D13" location="'Presupuesto financiero'!A1" display="Presupuesto Financiero" xr:uid="{00000000-0004-0000-0100-000009000000}"/>
    <hyperlink ref="D14" location="'Matriz Riesgo'!A1" display="Matriz de riesgos" xr:uid="{00000000-0004-0000-0100-00000A000000}"/>
    <hyperlink ref="D15" location="'Escenario 1'!A1" display="Escenario 1" xr:uid="{00000000-0004-0000-0100-00000B000000}"/>
    <hyperlink ref="D18" location="'Plan de Contingencia'!A1" display="Plan de contingencia" xr:uid="{00000000-0004-0000-0100-00000C000000}"/>
    <hyperlink ref="D16" location="'Escenario 2'!A1" display="Escenario 2" xr:uid="{00000000-0004-0000-0100-00000D000000}"/>
    <hyperlink ref="D17" location="'Escenario 3'!A1" display="Escenario 3" xr:uid="{00000000-0004-0000-01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1:N73"/>
  <sheetViews>
    <sheetView zoomScale="80" zoomScaleNormal="80" workbookViewId="0">
      <pane ySplit="1" topLeftCell="A23" activePane="bottomLeft" state="frozen"/>
      <selection pane="bottomLeft" activeCell="B63" sqref="B63"/>
    </sheetView>
  </sheetViews>
  <sheetFormatPr baseColWidth="10" defaultColWidth="11.5" defaultRowHeight="15"/>
  <cols>
    <col min="1" max="1" width="11.5" style="1"/>
    <col min="2" max="2" width="33.33203125" style="1" customWidth="1"/>
    <col min="3" max="3" width="32.83203125" style="1" customWidth="1"/>
    <col min="4" max="4" width="29.33203125" style="1" customWidth="1"/>
    <col min="5" max="5" width="35.33203125" style="1" customWidth="1"/>
    <col min="6" max="6" width="19.33203125" style="1" customWidth="1"/>
    <col min="7" max="7" width="11.5" style="1"/>
    <col min="8" max="8" width="15.5" style="1" customWidth="1"/>
    <col min="9" max="13" width="11.5" style="1"/>
    <col min="14" max="14" width="8.83203125" style="1" customWidth="1"/>
    <col min="15" max="15" width="43.5" style="1" bestFit="1" customWidth="1"/>
    <col min="16" max="16384" width="11.5" style="1"/>
  </cols>
  <sheetData>
    <row r="1" spans="2:11" s="373" customFormat="1" ht="58.5" customHeight="1">
      <c r="E1" s="374" t="s">
        <v>1</v>
      </c>
      <c r="F1" s="375"/>
      <c r="G1" s="375"/>
    </row>
    <row r="2" spans="2:11" ht="16" thickBot="1">
      <c r="C2" s="5"/>
    </row>
    <row r="3" spans="2:11" ht="27" thickBot="1">
      <c r="B3" s="505" t="s">
        <v>62</v>
      </c>
      <c r="C3" s="506"/>
      <c r="D3" s="506"/>
      <c r="E3" s="506"/>
      <c r="F3" s="506"/>
      <c r="G3" s="506"/>
      <c r="H3" s="506"/>
      <c r="I3" s="506"/>
      <c r="J3" s="507"/>
    </row>
    <row r="4" spans="2:11" ht="345" customHeight="1">
      <c r="B4" s="512" t="s">
        <v>198</v>
      </c>
      <c r="C4" s="513"/>
      <c r="D4" s="513"/>
      <c r="E4" s="513"/>
      <c r="F4" s="513"/>
      <c r="G4" s="513"/>
      <c r="H4" s="513"/>
      <c r="I4" s="513"/>
      <c r="J4" s="514"/>
      <c r="K4" s="4"/>
    </row>
    <row r="6" spans="2:11" ht="16" thickBot="1"/>
    <row r="7" spans="2:11" ht="27" thickBot="1">
      <c r="B7" s="515" t="s">
        <v>63</v>
      </c>
      <c r="C7" s="516"/>
      <c r="D7" s="516"/>
      <c r="E7" s="516"/>
      <c r="F7" s="516"/>
      <c r="G7" s="516"/>
      <c r="H7" s="516"/>
      <c r="I7" s="516"/>
      <c r="J7" s="517"/>
    </row>
    <row r="8" spans="2:11" ht="237.75" customHeight="1">
      <c r="B8" s="518" t="s">
        <v>199</v>
      </c>
      <c r="C8" s="518"/>
      <c r="D8" s="518"/>
      <c r="E8" s="518"/>
      <c r="F8" s="518"/>
      <c r="G8" s="518"/>
      <c r="H8" s="518"/>
      <c r="I8" s="518"/>
      <c r="J8" s="518"/>
    </row>
    <row r="9" spans="2:11" ht="19">
      <c r="B9" s="108"/>
      <c r="C9" s="108"/>
      <c r="D9" s="108"/>
      <c r="E9" s="108"/>
      <c r="F9" s="108"/>
      <c r="G9" s="108"/>
      <c r="H9" s="108"/>
      <c r="I9" s="108"/>
      <c r="J9" s="108"/>
    </row>
    <row r="10" spans="2:11" ht="19">
      <c r="B10" s="108"/>
      <c r="C10" s="108"/>
      <c r="D10" s="108"/>
      <c r="E10" s="108"/>
      <c r="F10" s="108"/>
      <c r="G10" s="108"/>
      <c r="H10" s="108"/>
      <c r="I10" s="108"/>
      <c r="J10" s="108"/>
    </row>
    <row r="11" spans="2:11" ht="19">
      <c r="B11" s="145" t="s">
        <v>182</v>
      </c>
      <c r="C11" s="145" t="s">
        <v>184</v>
      </c>
      <c r="D11" s="145" t="s">
        <v>35</v>
      </c>
      <c r="E11" s="108"/>
      <c r="F11" s="108"/>
      <c r="G11" s="108"/>
      <c r="H11" s="108"/>
      <c r="I11" s="108"/>
      <c r="J11" s="108"/>
    </row>
    <row r="12" spans="2:11" ht="21" customHeight="1">
      <c r="B12" s="143">
        <v>205000</v>
      </c>
      <c r="C12" s="143">
        <f>1800*12</f>
        <v>21600</v>
      </c>
      <c r="D12" s="144">
        <f>B12*C12</f>
        <v>4428000000</v>
      </c>
      <c r="E12" s="108"/>
      <c r="F12" s="108"/>
      <c r="G12" s="108"/>
      <c r="H12" s="108"/>
      <c r="I12" s="108"/>
      <c r="J12" s="108"/>
    </row>
    <row r="13" spans="2:11" ht="12" customHeight="1">
      <c r="B13" s="108"/>
      <c r="C13" s="108"/>
      <c r="D13" s="108"/>
      <c r="E13" s="108"/>
      <c r="F13" s="108"/>
      <c r="G13" s="108"/>
      <c r="H13" s="108"/>
      <c r="I13" s="108"/>
      <c r="J13" s="108"/>
    </row>
    <row r="14" spans="2:11" ht="12.75" customHeight="1" thickBot="1"/>
    <row r="15" spans="2:11" ht="27" thickBot="1">
      <c r="B15" s="515" t="s">
        <v>64</v>
      </c>
      <c r="C15" s="516"/>
      <c r="D15" s="516"/>
      <c r="E15" s="516"/>
      <c r="F15" s="516"/>
      <c r="G15" s="516"/>
      <c r="H15" s="516"/>
      <c r="I15" s="516"/>
      <c r="J15" s="517"/>
    </row>
    <row r="16" spans="2:11" ht="140.25" customHeight="1">
      <c r="B16" s="531" t="s">
        <v>357</v>
      </c>
      <c r="C16" s="531"/>
      <c r="D16" s="531"/>
      <c r="E16" s="531"/>
      <c r="F16" s="531"/>
      <c r="G16" s="531"/>
      <c r="H16" s="531"/>
      <c r="I16" s="531"/>
      <c r="J16" s="531"/>
    </row>
    <row r="17" spans="2:14" ht="16">
      <c r="B17" s="22"/>
      <c r="C17" s="22"/>
      <c r="D17" s="22"/>
      <c r="E17" s="22"/>
      <c r="F17" s="22"/>
      <c r="G17" s="22"/>
      <c r="H17" s="22"/>
      <c r="I17" s="22"/>
      <c r="J17" s="22"/>
      <c r="K17" s="22"/>
      <c r="L17" s="22"/>
      <c r="M17" s="22"/>
      <c r="N17" s="22"/>
    </row>
    <row r="18" spans="2:14" ht="16">
      <c r="E18" s="22"/>
      <c r="F18" s="22"/>
      <c r="G18" s="22"/>
      <c r="H18" s="22"/>
      <c r="I18" s="22"/>
      <c r="J18" s="22"/>
      <c r="K18" s="22"/>
      <c r="L18" s="22"/>
      <c r="M18" s="22"/>
      <c r="N18" s="22"/>
    </row>
    <row r="19" spans="2:14" ht="16">
      <c r="E19" s="22"/>
      <c r="F19" s="22"/>
      <c r="G19" s="22"/>
      <c r="H19" s="22"/>
      <c r="I19" s="22"/>
      <c r="J19" s="22"/>
      <c r="K19" s="22"/>
      <c r="L19" s="22"/>
      <c r="M19" s="22"/>
      <c r="N19" s="22"/>
    </row>
    <row r="20" spans="2:14" ht="16">
      <c r="D20" s="22"/>
      <c r="E20" s="22"/>
      <c r="F20" s="22"/>
      <c r="G20" s="22"/>
      <c r="H20" s="22"/>
      <c r="I20" s="22"/>
      <c r="J20" s="22"/>
      <c r="K20" s="22"/>
      <c r="L20" s="22"/>
      <c r="M20" s="22"/>
      <c r="N20" s="22"/>
    </row>
    <row r="21" spans="2:14" ht="16">
      <c r="B21" s="22"/>
      <c r="C21" s="22"/>
      <c r="D21" s="22"/>
      <c r="E21" s="22"/>
      <c r="F21" s="22"/>
      <c r="G21" s="22"/>
      <c r="H21" s="22"/>
      <c r="I21" s="22"/>
      <c r="J21" s="22"/>
      <c r="K21" s="22"/>
      <c r="L21" s="22"/>
      <c r="M21" s="22"/>
      <c r="N21" s="22"/>
    </row>
    <row r="22" spans="2:14" ht="26">
      <c r="B22" s="508" t="s">
        <v>60</v>
      </c>
      <c r="C22" s="509"/>
      <c r="D22" s="510"/>
      <c r="E22" s="22"/>
      <c r="F22" s="22"/>
      <c r="G22" s="22"/>
      <c r="H22" s="22"/>
      <c r="I22" s="22"/>
      <c r="J22" s="22"/>
      <c r="K22" s="22"/>
      <c r="L22" s="22"/>
      <c r="M22" s="22"/>
      <c r="N22" s="22"/>
    </row>
    <row r="23" spans="2:14" ht="20">
      <c r="B23" s="30" t="s">
        <v>33</v>
      </c>
      <c r="C23" s="30" t="s">
        <v>34</v>
      </c>
      <c r="D23" s="30" t="s">
        <v>19</v>
      </c>
      <c r="E23" s="22"/>
      <c r="F23" s="22"/>
      <c r="G23" s="22"/>
      <c r="H23" s="22"/>
      <c r="I23" s="22"/>
      <c r="J23" s="22"/>
      <c r="K23" s="22"/>
      <c r="L23" s="22"/>
      <c r="M23" s="22"/>
      <c r="N23" s="22"/>
    </row>
    <row r="24" spans="2:14" ht="16">
      <c r="B24" s="27">
        <v>2025</v>
      </c>
      <c r="C24" s="28">
        <v>0.04</v>
      </c>
      <c r="D24" s="29">
        <f>C24*$D$12</f>
        <v>177120000</v>
      </c>
      <c r="E24" s="22"/>
      <c r="F24" s="22"/>
      <c r="G24" s="22"/>
      <c r="H24" s="22"/>
      <c r="I24" s="22"/>
      <c r="J24" s="22"/>
      <c r="K24" s="22"/>
      <c r="L24" s="22"/>
      <c r="M24" s="22"/>
      <c r="N24" s="22"/>
    </row>
    <row r="25" spans="2:14" ht="16">
      <c r="B25" s="27">
        <v>2026</v>
      </c>
      <c r="C25" s="28">
        <v>0.06</v>
      </c>
      <c r="D25" s="29">
        <f>C25*$D$12</f>
        <v>265680000</v>
      </c>
      <c r="E25" s="22"/>
      <c r="F25" s="22"/>
      <c r="G25" s="22"/>
      <c r="H25" s="22"/>
      <c r="I25" s="22"/>
      <c r="J25" s="22"/>
      <c r="K25" s="22"/>
      <c r="L25" s="22"/>
      <c r="M25" s="22"/>
      <c r="N25" s="22"/>
    </row>
    <row r="26" spans="2:14" ht="16">
      <c r="B26" s="27">
        <v>2027</v>
      </c>
      <c r="C26" s="28">
        <v>0.09</v>
      </c>
      <c r="D26" s="29">
        <f>C26*$D$12</f>
        <v>398520000</v>
      </c>
      <c r="E26" s="22"/>
      <c r="F26" s="22"/>
      <c r="G26" s="22"/>
      <c r="H26" s="22"/>
      <c r="I26" s="22"/>
      <c r="J26" s="22"/>
      <c r="K26" s="22"/>
      <c r="L26" s="22"/>
      <c r="M26" s="22"/>
      <c r="N26" s="22"/>
    </row>
    <row r="27" spans="2:14" ht="16">
      <c r="B27" s="22"/>
      <c r="C27" s="80"/>
      <c r="D27" s="81"/>
      <c r="E27" s="22"/>
      <c r="F27" s="22"/>
      <c r="G27" s="22"/>
      <c r="H27" s="22"/>
      <c r="I27" s="22"/>
      <c r="J27" s="22"/>
      <c r="K27" s="22"/>
      <c r="L27" s="22"/>
      <c r="M27" s="22"/>
      <c r="N27" s="22"/>
    </row>
    <row r="28" spans="2:14" ht="16">
      <c r="B28" s="22"/>
      <c r="C28" s="80"/>
      <c r="D28" s="81"/>
      <c r="E28" s="22"/>
      <c r="F28" s="22"/>
      <c r="G28" s="22"/>
      <c r="H28" s="22"/>
      <c r="I28" s="22"/>
      <c r="J28" s="22"/>
      <c r="K28" s="22"/>
      <c r="L28" s="22"/>
      <c r="M28" s="22"/>
      <c r="N28" s="22"/>
    </row>
    <row r="29" spans="2:14" ht="16">
      <c r="B29" s="22"/>
      <c r="C29" s="80"/>
      <c r="D29" s="81"/>
      <c r="E29" s="22"/>
      <c r="F29" s="22"/>
      <c r="G29" s="22"/>
      <c r="H29" s="22"/>
      <c r="I29" s="22"/>
      <c r="J29" s="22"/>
      <c r="K29" s="22"/>
      <c r="L29" s="22"/>
      <c r="M29" s="22"/>
      <c r="N29" s="22"/>
    </row>
    <row r="30" spans="2:14" ht="16">
      <c r="B30" s="22"/>
      <c r="C30" s="80"/>
      <c r="D30" s="81"/>
      <c r="E30" s="22"/>
      <c r="F30" s="22"/>
      <c r="G30" s="22"/>
      <c r="H30" s="22"/>
      <c r="I30" s="22"/>
      <c r="J30" s="22"/>
      <c r="K30" s="22"/>
      <c r="L30" s="22"/>
      <c r="M30" s="22"/>
      <c r="N30" s="22"/>
    </row>
    <row r="31" spans="2:14" ht="16">
      <c r="B31" s="22"/>
      <c r="C31" s="80"/>
      <c r="D31" s="81"/>
      <c r="E31" s="22"/>
      <c r="F31" s="22"/>
      <c r="G31" s="22"/>
      <c r="H31" s="22"/>
      <c r="I31" s="22"/>
      <c r="J31" s="22"/>
      <c r="K31" s="22"/>
      <c r="L31" s="22"/>
      <c r="M31" s="22"/>
      <c r="N31" s="22"/>
    </row>
    <row r="32" spans="2:14" ht="17" thickBot="1">
      <c r="B32" s="22"/>
      <c r="C32" s="22"/>
      <c r="D32" s="22"/>
      <c r="E32" s="22"/>
      <c r="F32" s="22"/>
      <c r="H32" s="22"/>
      <c r="I32" s="22"/>
      <c r="J32" s="22"/>
      <c r="K32" s="22"/>
      <c r="L32" s="22"/>
      <c r="M32" s="22"/>
      <c r="N32" s="22"/>
    </row>
    <row r="33" spans="2:14" ht="27" thickBot="1">
      <c r="B33" s="505" t="s">
        <v>65</v>
      </c>
      <c r="C33" s="506"/>
      <c r="D33" s="506"/>
      <c r="E33" s="506"/>
      <c r="F33" s="507"/>
      <c r="H33" s="22"/>
      <c r="I33" s="22"/>
      <c r="J33" s="22"/>
      <c r="K33" s="22"/>
      <c r="L33" s="22"/>
      <c r="M33" s="22"/>
      <c r="N33" s="22"/>
    </row>
    <row r="34" spans="2:14" ht="27" thickBot="1">
      <c r="B34" s="38"/>
      <c r="C34" s="38"/>
      <c r="D34" s="38"/>
      <c r="E34" s="38"/>
      <c r="F34" s="38"/>
      <c r="H34" s="22"/>
      <c r="I34" s="22"/>
      <c r="J34" s="22"/>
      <c r="K34" s="22"/>
      <c r="L34" s="22"/>
      <c r="M34" s="22"/>
      <c r="N34" s="22"/>
    </row>
    <row r="35" spans="2:14" ht="27" thickBot="1">
      <c r="B35" s="528" t="s">
        <v>201</v>
      </c>
      <c r="C35" s="529"/>
      <c r="D35" s="530"/>
      <c r="E35" s="128"/>
      <c r="F35" s="128"/>
    </row>
    <row r="36" spans="2:14" ht="20.25" customHeight="1">
      <c r="B36" s="525" t="s">
        <v>200</v>
      </c>
      <c r="C36" s="532" t="s">
        <v>186</v>
      </c>
      <c r="D36" s="533"/>
      <c r="E36" s="397"/>
      <c r="F36" s="397"/>
    </row>
    <row r="37" spans="2:14" ht="15" hidden="1" customHeight="1">
      <c r="B37" s="526"/>
      <c r="C37" s="534"/>
      <c r="D37" s="535"/>
      <c r="E37" s="395"/>
      <c r="F37" s="395"/>
    </row>
    <row r="38" spans="2:14" ht="16" customHeight="1" thickBot="1">
      <c r="B38" s="526"/>
      <c r="C38" s="536"/>
      <c r="D38" s="537"/>
      <c r="E38" s="397"/>
      <c r="F38" s="397"/>
    </row>
    <row r="39" spans="2:14" ht="17" thickBot="1">
      <c r="B39" s="526"/>
      <c r="C39" s="538" t="s">
        <v>202</v>
      </c>
      <c r="D39" s="539"/>
      <c r="E39" s="396"/>
      <c r="F39" s="396"/>
    </row>
    <row r="40" spans="2:14" ht="15" customHeight="1">
      <c r="B40" s="526"/>
      <c r="C40" s="519" t="s">
        <v>204</v>
      </c>
      <c r="D40" s="520"/>
      <c r="E40" s="511"/>
      <c r="F40" s="511"/>
    </row>
    <row r="41" spans="2:14" ht="15" customHeight="1">
      <c r="B41" s="526"/>
      <c r="C41" s="521"/>
      <c r="D41" s="522"/>
      <c r="E41" s="511"/>
      <c r="F41" s="511"/>
    </row>
    <row r="42" spans="2:14" ht="16" customHeight="1">
      <c r="B42" s="526"/>
      <c r="C42" s="521"/>
      <c r="D42" s="522"/>
      <c r="E42" s="511"/>
      <c r="F42" s="511"/>
    </row>
    <row r="43" spans="2:14" ht="15" customHeight="1">
      <c r="B43" s="526"/>
      <c r="C43" s="521"/>
      <c r="D43" s="522"/>
      <c r="E43" s="511"/>
      <c r="F43" s="511"/>
    </row>
    <row r="44" spans="2:14" ht="15" customHeight="1" thickBot="1">
      <c r="B44" s="526"/>
      <c r="C44" s="521"/>
      <c r="D44" s="522"/>
      <c r="E44" s="511"/>
      <c r="F44" s="511"/>
    </row>
    <row r="45" spans="2:14" ht="16" customHeight="1">
      <c r="B45" s="526"/>
      <c r="C45" s="519" t="s">
        <v>203</v>
      </c>
      <c r="D45" s="520"/>
      <c r="E45" s="511"/>
      <c r="F45" s="511"/>
    </row>
    <row r="46" spans="2:14" ht="15" customHeight="1">
      <c r="B46" s="526"/>
      <c r="C46" s="521"/>
      <c r="D46" s="522"/>
      <c r="E46" s="511"/>
      <c r="F46" s="511"/>
    </row>
    <row r="47" spans="2:14" ht="15" customHeight="1">
      <c r="B47" s="526"/>
      <c r="C47" s="521"/>
      <c r="D47" s="522"/>
      <c r="E47" s="511"/>
      <c r="F47" s="511"/>
    </row>
    <row r="48" spans="2:14" ht="16" customHeight="1">
      <c r="B48" s="526"/>
      <c r="C48" s="521"/>
      <c r="D48" s="522"/>
      <c r="E48" s="511"/>
      <c r="F48" s="511"/>
    </row>
    <row r="49" spans="2:6" ht="15" customHeight="1" thickBot="1">
      <c r="B49" s="526"/>
      <c r="C49" s="523"/>
      <c r="D49" s="524"/>
      <c r="E49" s="511"/>
      <c r="F49" s="511"/>
    </row>
    <row r="50" spans="2:6" ht="15" customHeight="1">
      <c r="B50" s="526"/>
      <c r="C50" s="521" t="s">
        <v>205</v>
      </c>
      <c r="D50" s="522"/>
      <c r="E50" s="511"/>
      <c r="F50" s="511"/>
    </row>
    <row r="51" spans="2:6" ht="16" customHeight="1">
      <c r="B51" s="526"/>
      <c r="C51" s="521"/>
      <c r="D51" s="522"/>
      <c r="E51" s="511"/>
      <c r="F51" s="511"/>
    </row>
    <row r="52" spans="2:6" ht="15" customHeight="1">
      <c r="B52" s="526"/>
      <c r="C52" s="521"/>
      <c r="D52" s="522"/>
      <c r="E52" s="511"/>
      <c r="F52" s="511"/>
    </row>
    <row r="53" spans="2:6" ht="15" customHeight="1">
      <c r="B53" s="526"/>
      <c r="C53" s="521"/>
      <c r="D53" s="522"/>
      <c r="E53" s="511"/>
      <c r="F53" s="511"/>
    </row>
    <row r="54" spans="2:6" ht="16" customHeight="1" thickBot="1">
      <c r="B54" s="527"/>
      <c r="C54" s="523"/>
      <c r="D54" s="524"/>
      <c r="E54" s="511"/>
      <c r="F54" s="511"/>
    </row>
    <row r="56" spans="2:6" ht="16" thickBot="1"/>
    <row r="57" spans="2:6" ht="27" thickBot="1">
      <c r="B57" s="528" t="s">
        <v>28</v>
      </c>
      <c r="C57" s="529"/>
      <c r="D57" s="530"/>
    </row>
    <row r="58" spans="2:6" ht="17" thickBot="1">
      <c r="B58" s="78" t="s">
        <v>206</v>
      </c>
      <c r="C58" s="70" t="s">
        <v>30</v>
      </c>
      <c r="D58" s="79" t="s">
        <v>36</v>
      </c>
    </row>
    <row r="59" spans="2:6" ht="32">
      <c r="B59" s="71" t="s">
        <v>204</v>
      </c>
      <c r="C59" s="72">
        <v>500</v>
      </c>
      <c r="D59" s="415" t="s">
        <v>285</v>
      </c>
    </row>
    <row r="60" spans="2:6" ht="16">
      <c r="B60" s="73" t="s">
        <v>203</v>
      </c>
      <c r="C60" s="69">
        <v>1200</v>
      </c>
      <c r="D60" s="74" t="s">
        <v>207</v>
      </c>
    </row>
    <row r="61" spans="2:6" ht="16">
      <c r="B61" s="416" t="s">
        <v>287</v>
      </c>
      <c r="C61" s="417">
        <v>12000</v>
      </c>
      <c r="D61" s="74" t="s">
        <v>207</v>
      </c>
    </row>
    <row r="62" spans="2:6" ht="16">
      <c r="B62" s="73" t="s">
        <v>205</v>
      </c>
      <c r="C62" s="417">
        <v>1800</v>
      </c>
      <c r="D62" s="418" t="s">
        <v>208</v>
      </c>
    </row>
    <row r="63" spans="2:6" ht="17" thickBot="1">
      <c r="B63" s="75" t="s">
        <v>286</v>
      </c>
      <c r="C63" s="76">
        <v>18000</v>
      </c>
      <c r="D63" s="77" t="s">
        <v>208</v>
      </c>
    </row>
    <row r="64" spans="2:6" ht="16">
      <c r="B64" s="190"/>
      <c r="C64" s="398"/>
    </row>
    <row r="65" spans="2:4" ht="16">
      <c r="B65" s="399"/>
      <c r="C65" s="400"/>
      <c r="D65" s="4"/>
    </row>
    <row r="66" spans="2:4" ht="16">
      <c r="B66" s="190"/>
      <c r="C66" s="398"/>
    </row>
    <row r="67" spans="2:4" ht="16">
      <c r="B67" s="190"/>
      <c r="C67" s="398"/>
    </row>
    <row r="68" spans="2:4" ht="16">
      <c r="B68" s="190"/>
      <c r="C68" s="398"/>
    </row>
    <row r="69" spans="2:4" ht="16">
      <c r="B69" s="190"/>
      <c r="C69" s="398"/>
    </row>
    <row r="70" spans="2:4" ht="16">
      <c r="B70" s="190"/>
      <c r="C70" s="398"/>
    </row>
    <row r="71" spans="2:4" ht="16">
      <c r="B71" s="190"/>
      <c r="C71" s="398"/>
    </row>
    <row r="72" spans="2:4" ht="16">
      <c r="B72" s="399"/>
      <c r="C72" s="400"/>
      <c r="D72" s="117"/>
    </row>
    <row r="73" spans="2:4" ht="16">
      <c r="B73" s="399"/>
      <c r="C73" s="398"/>
    </row>
  </sheetData>
  <mergeCells count="22">
    <mergeCell ref="B57:D57"/>
    <mergeCell ref="B15:J15"/>
    <mergeCell ref="B16:J16"/>
    <mergeCell ref="E46:E48"/>
    <mergeCell ref="E49:E51"/>
    <mergeCell ref="B33:F33"/>
    <mergeCell ref="C36:D38"/>
    <mergeCell ref="C39:D39"/>
    <mergeCell ref="B3:J3"/>
    <mergeCell ref="B22:D22"/>
    <mergeCell ref="E52:E54"/>
    <mergeCell ref="F40:F54"/>
    <mergeCell ref="E40:E42"/>
    <mergeCell ref="E43:E45"/>
    <mergeCell ref="B4:J4"/>
    <mergeCell ref="B7:J7"/>
    <mergeCell ref="B8:J8"/>
    <mergeCell ref="C40:D44"/>
    <mergeCell ref="C45:D49"/>
    <mergeCell ref="B36:B54"/>
    <mergeCell ref="B35:D35"/>
    <mergeCell ref="C50:D5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165"/>
  <sheetViews>
    <sheetView zoomScale="90" zoomScaleNormal="90" workbookViewId="0">
      <pane xSplit="2" ySplit="1" topLeftCell="C98" activePane="bottomRight" state="frozen"/>
      <selection pane="topRight" activeCell="C1" sqref="C1"/>
      <selection pane="bottomLeft" activeCell="A2" sqref="A2"/>
      <selection pane="bottomRight" activeCell="F76" sqref="F76"/>
    </sheetView>
  </sheetViews>
  <sheetFormatPr baseColWidth="10" defaultColWidth="11.5" defaultRowHeight="15"/>
  <cols>
    <col min="1" max="1" width="44.5" style="1" customWidth="1"/>
    <col min="2" max="2" width="35" style="1" customWidth="1"/>
    <col min="3" max="3" width="19" style="1" bestFit="1" customWidth="1"/>
    <col min="4" max="4" width="37.33203125" style="1" customWidth="1"/>
    <col min="5" max="5" width="15.5" style="1" customWidth="1"/>
    <col min="6" max="6" width="23" style="1" bestFit="1" customWidth="1"/>
    <col min="7" max="7" width="16" style="1" bestFit="1" customWidth="1"/>
    <col min="8" max="8" width="22.5" style="1" bestFit="1" customWidth="1"/>
    <col min="9" max="9" width="19.5" style="1" customWidth="1"/>
    <col min="10" max="10" width="23" style="1" bestFit="1" customWidth="1"/>
    <col min="11" max="11" width="16" style="1" bestFit="1" customWidth="1"/>
    <col min="12" max="12" width="22.5" style="1" bestFit="1" customWidth="1"/>
    <col min="13" max="13" width="16.5" style="1" bestFit="1" customWidth="1"/>
    <col min="14" max="14" width="22.33203125" style="1" bestFit="1" customWidth="1"/>
    <col min="15" max="15" width="17.33203125" style="1" bestFit="1" customWidth="1"/>
    <col min="16" max="16" width="24.83203125" style="1" customWidth="1"/>
    <col min="17" max="17" width="16" style="1" bestFit="1" customWidth="1"/>
    <col min="18" max="18" width="24.5" style="1" customWidth="1"/>
    <col min="19" max="19" width="16.33203125" style="1" bestFit="1" customWidth="1"/>
    <col min="20" max="20" width="24.33203125" style="1" customWidth="1"/>
    <col min="21" max="21" width="16" style="1" bestFit="1" customWidth="1"/>
    <col min="22" max="22" width="22.33203125" style="1" customWidth="1"/>
    <col min="23" max="23" width="19.5" style="1" customWidth="1"/>
    <col min="24" max="24" width="24.1640625" style="1" customWidth="1"/>
    <col min="25" max="25" width="16.5" style="1" customWidth="1"/>
    <col min="26" max="26" width="21.33203125" style="1" customWidth="1"/>
    <col min="27" max="27" width="19" style="1" customWidth="1"/>
    <col min="28" max="28" width="24" style="1" customWidth="1"/>
    <col min="29" max="29" width="18.6640625" style="1" bestFit="1" customWidth="1"/>
    <col min="30" max="16384" width="11.5" style="1"/>
  </cols>
  <sheetData>
    <row r="1" spans="1:43" customFormat="1" ht="58.5" customHeight="1">
      <c r="A1" s="372"/>
      <c r="B1" s="378" t="s">
        <v>2</v>
      </c>
      <c r="C1" s="372"/>
      <c r="D1" s="372"/>
      <c r="E1" s="372"/>
      <c r="F1" s="372"/>
      <c r="G1" s="379"/>
      <c r="H1" s="379"/>
      <c r="I1" s="379"/>
      <c r="J1" s="379"/>
      <c r="K1" s="372"/>
      <c r="L1" s="372"/>
      <c r="M1" s="372"/>
      <c r="N1" s="372"/>
      <c r="O1" s="372"/>
      <c r="P1" s="372"/>
      <c r="Q1" s="372"/>
      <c r="R1" s="372"/>
      <c r="S1" s="372"/>
      <c r="T1" s="372"/>
      <c r="U1" s="372"/>
      <c r="V1" s="372"/>
      <c r="W1" s="372"/>
      <c r="X1" s="372"/>
      <c r="Y1" s="372"/>
      <c r="Z1" s="372"/>
      <c r="AA1" s="372"/>
      <c r="AB1" s="372"/>
      <c r="AC1" s="372"/>
      <c r="AD1" s="372"/>
      <c r="AE1" s="372"/>
      <c r="AF1" s="372"/>
      <c r="AG1" s="372"/>
      <c r="AH1" s="372"/>
      <c r="AI1" s="372"/>
      <c r="AJ1" s="372"/>
      <c r="AK1" s="372"/>
      <c r="AL1" s="372"/>
      <c r="AM1" s="372"/>
      <c r="AN1" s="372"/>
      <c r="AO1" s="372"/>
      <c r="AP1" s="372"/>
      <c r="AQ1" s="372"/>
    </row>
    <row r="4" spans="1:43" ht="16" thickBot="1"/>
    <row r="5" spans="1:43" ht="27" thickBot="1">
      <c r="B5" s="505" t="s">
        <v>32</v>
      </c>
      <c r="C5" s="506"/>
      <c r="D5" s="507"/>
      <c r="G5" s="505" t="s">
        <v>185</v>
      </c>
      <c r="H5" s="506"/>
      <c r="I5" s="506"/>
      <c r="J5" s="506"/>
      <c r="K5" s="506"/>
      <c r="L5" s="507"/>
      <c r="M5" s="38"/>
      <c r="N5" s="38"/>
      <c r="O5" s="38"/>
      <c r="P5" s="38"/>
      <c r="Q5" s="38"/>
      <c r="R5" s="38"/>
      <c r="S5" s="38"/>
      <c r="T5" s="38"/>
      <c r="U5" s="38"/>
    </row>
    <row r="6" spans="1:43" ht="30" customHeight="1">
      <c r="A6" s="31"/>
      <c r="B6" s="61">
        <v>2025</v>
      </c>
      <c r="C6" s="33">
        <v>2026</v>
      </c>
      <c r="D6" s="62">
        <v>2027</v>
      </c>
      <c r="G6" s="547" t="s">
        <v>277</v>
      </c>
      <c r="H6" s="548"/>
      <c r="I6" s="548"/>
      <c r="J6" s="548"/>
      <c r="K6" s="548"/>
      <c r="L6" s="549"/>
      <c r="M6" s="68"/>
      <c r="N6" s="68"/>
      <c r="O6" s="68"/>
      <c r="P6" s="68"/>
      <c r="Q6" s="68"/>
      <c r="R6" s="68"/>
      <c r="S6" s="68"/>
      <c r="T6" s="68"/>
      <c r="U6" s="68"/>
    </row>
    <row r="7" spans="1:43">
      <c r="A7" s="31"/>
      <c r="B7" s="63">
        <f>Hipótesis!C24</f>
        <v>0.04</v>
      </c>
      <c r="C7" s="39">
        <f>Hipótesis!C25</f>
        <v>0.06</v>
      </c>
      <c r="D7" s="64">
        <f>Hipótesis!C26</f>
        <v>0.09</v>
      </c>
      <c r="G7" s="550"/>
      <c r="H7" s="551"/>
      <c r="I7" s="551"/>
      <c r="J7" s="551"/>
      <c r="K7" s="551"/>
      <c r="L7" s="552"/>
      <c r="M7" s="68"/>
      <c r="N7" s="68"/>
      <c r="O7" s="68"/>
      <c r="P7" s="68"/>
      <c r="Q7" s="68"/>
      <c r="R7" s="68"/>
      <c r="S7" s="68"/>
      <c r="T7" s="68"/>
      <c r="U7" s="68"/>
    </row>
    <row r="8" spans="1:43" ht="16" thickBot="1">
      <c r="A8" s="31"/>
      <c r="B8" s="65">
        <f>Hipótesis!D24</f>
        <v>177120000</v>
      </c>
      <c r="C8" s="66">
        <f>Hipótesis!D25</f>
        <v>265680000</v>
      </c>
      <c r="D8" s="67">
        <f>Hipótesis!D26</f>
        <v>398520000</v>
      </c>
      <c r="G8" s="550"/>
      <c r="H8" s="551"/>
      <c r="I8" s="551"/>
      <c r="J8" s="551"/>
      <c r="K8" s="551"/>
      <c r="L8" s="552"/>
      <c r="M8" s="68"/>
      <c r="N8" s="68"/>
      <c r="O8" s="68"/>
      <c r="P8" s="68"/>
      <c r="Q8" s="68"/>
      <c r="R8" s="68"/>
      <c r="S8" s="68"/>
      <c r="T8" s="68"/>
      <c r="U8" s="68"/>
    </row>
    <row r="9" spans="1:43">
      <c r="G9" s="550"/>
      <c r="H9" s="551"/>
      <c r="I9" s="551"/>
      <c r="J9" s="551"/>
      <c r="K9" s="551"/>
      <c r="L9" s="552"/>
      <c r="M9" s="68"/>
      <c r="N9" s="68"/>
      <c r="O9" s="68"/>
      <c r="P9" s="68"/>
      <c r="Q9" s="68"/>
      <c r="R9" s="68"/>
      <c r="S9" s="68"/>
      <c r="T9" s="68"/>
      <c r="U9" s="68"/>
    </row>
    <row r="10" spans="1:43">
      <c r="A10" s="1" t="s">
        <v>50</v>
      </c>
      <c r="G10" s="550"/>
      <c r="H10" s="551"/>
      <c r="I10" s="551"/>
      <c r="J10" s="551"/>
      <c r="K10" s="551"/>
      <c r="L10" s="552"/>
      <c r="M10" s="68"/>
      <c r="N10" s="68"/>
      <c r="O10" s="68"/>
      <c r="P10" s="68"/>
      <c r="Q10" s="68"/>
      <c r="R10" s="68"/>
      <c r="S10" s="68"/>
      <c r="T10" s="68"/>
      <c r="U10" s="68"/>
    </row>
    <row r="11" spans="1:43">
      <c r="G11" s="550"/>
      <c r="H11" s="551"/>
      <c r="I11" s="551"/>
      <c r="J11" s="551"/>
      <c r="K11" s="551"/>
      <c r="L11" s="552"/>
      <c r="M11" s="68"/>
      <c r="N11" s="68"/>
      <c r="O11" s="68"/>
      <c r="P11" s="68"/>
      <c r="Q11" s="68"/>
      <c r="R11" s="68"/>
      <c r="S11" s="68"/>
      <c r="T11" s="68"/>
      <c r="U11" s="68"/>
    </row>
    <row r="12" spans="1:43" ht="93" customHeight="1" thickBot="1">
      <c r="G12" s="553"/>
      <c r="H12" s="554"/>
      <c r="I12" s="554"/>
      <c r="J12" s="554"/>
      <c r="K12" s="554"/>
      <c r="L12" s="555"/>
      <c r="M12" s="68"/>
      <c r="N12" s="68"/>
      <c r="O12" s="68"/>
      <c r="P12" s="68"/>
      <c r="Q12" s="68"/>
      <c r="R12" s="68"/>
      <c r="S12" s="68"/>
      <c r="T12" s="68"/>
      <c r="U12" s="68"/>
    </row>
    <row r="14" spans="1:43" ht="20" thickBot="1">
      <c r="F14" s="385"/>
    </row>
    <row r="15" spans="1:43" ht="27" thickBot="1">
      <c r="A15" s="594" t="s">
        <v>210</v>
      </c>
      <c r="B15" s="595"/>
      <c r="C15" s="595"/>
      <c r="D15" s="595"/>
      <c r="E15" s="595"/>
      <c r="F15" s="595"/>
      <c r="G15" s="595"/>
      <c r="H15" s="595"/>
      <c r="I15" s="595"/>
      <c r="J15" s="595"/>
      <c r="K15" s="595"/>
      <c r="L15" s="595"/>
      <c r="M15" s="595"/>
      <c r="N15" s="595"/>
      <c r="O15" s="595"/>
      <c r="P15" s="595"/>
      <c r="Q15" s="595"/>
      <c r="R15" s="595"/>
      <c r="S15" s="595"/>
      <c r="T15" s="595"/>
      <c r="U15" s="595"/>
      <c r="V15" s="595"/>
      <c r="W15" s="595"/>
      <c r="X15" s="595"/>
      <c r="Y15" s="595"/>
      <c r="Z15" s="595"/>
      <c r="AA15" s="595"/>
      <c r="AB15" s="596"/>
    </row>
    <row r="16" spans="1:43">
      <c r="A16" s="580" t="s">
        <v>29</v>
      </c>
      <c r="B16" s="580" t="s">
        <v>30</v>
      </c>
      <c r="C16" s="576" t="s">
        <v>53</v>
      </c>
      <c r="D16" s="577"/>
      <c r="E16" s="540" t="s">
        <v>38</v>
      </c>
      <c r="F16" s="541"/>
      <c r="G16" s="540" t="s">
        <v>39</v>
      </c>
      <c r="H16" s="541"/>
      <c r="I16" s="540" t="s">
        <v>40</v>
      </c>
      <c r="J16" s="541"/>
      <c r="K16" s="540" t="s">
        <v>41</v>
      </c>
      <c r="L16" s="541"/>
      <c r="M16" s="540" t="s">
        <v>42</v>
      </c>
      <c r="N16" s="541"/>
      <c r="O16" s="540" t="s">
        <v>43</v>
      </c>
      <c r="P16" s="541"/>
      <c r="Q16" s="540" t="s">
        <v>44</v>
      </c>
      <c r="R16" s="541"/>
      <c r="S16" s="540" t="s">
        <v>45</v>
      </c>
      <c r="T16" s="541"/>
      <c r="U16" s="540" t="s">
        <v>46</v>
      </c>
      <c r="V16" s="541"/>
      <c r="W16" s="540" t="s">
        <v>47</v>
      </c>
      <c r="X16" s="541"/>
      <c r="Y16" s="540" t="s">
        <v>48</v>
      </c>
      <c r="Z16" s="541"/>
      <c r="AA16" s="540" t="s">
        <v>49</v>
      </c>
      <c r="AB16" s="541"/>
    </row>
    <row r="17" spans="1:29">
      <c r="A17" s="568"/>
      <c r="B17" s="568"/>
      <c r="C17" s="571" t="s">
        <v>52</v>
      </c>
      <c r="D17" s="573" t="s">
        <v>37</v>
      </c>
      <c r="E17" s="542">
        <v>0.04</v>
      </c>
      <c r="F17" s="543"/>
      <c r="G17" s="542">
        <v>0.04</v>
      </c>
      <c r="H17" s="543"/>
      <c r="I17" s="542">
        <v>0.08</v>
      </c>
      <c r="J17" s="543"/>
      <c r="K17" s="542">
        <v>0.08</v>
      </c>
      <c r="L17" s="543"/>
      <c r="M17" s="542">
        <v>0.08</v>
      </c>
      <c r="N17" s="543"/>
      <c r="O17" s="542">
        <v>0.08</v>
      </c>
      <c r="P17" s="543"/>
      <c r="Q17" s="542">
        <v>0.1</v>
      </c>
      <c r="R17" s="543"/>
      <c r="S17" s="542">
        <v>0.1</v>
      </c>
      <c r="T17" s="543"/>
      <c r="U17" s="542">
        <v>0.1</v>
      </c>
      <c r="V17" s="543"/>
      <c r="W17" s="542">
        <v>0.12</v>
      </c>
      <c r="X17" s="543"/>
      <c r="Y17" s="542">
        <v>0.12</v>
      </c>
      <c r="Z17" s="543"/>
      <c r="AA17" s="542">
        <v>0.06</v>
      </c>
      <c r="AB17" s="543"/>
    </row>
    <row r="18" spans="1:29" ht="15.75" customHeight="1" thickBot="1">
      <c r="A18" s="597"/>
      <c r="B18" s="597"/>
      <c r="C18" s="572"/>
      <c r="D18" s="574"/>
      <c r="E18" s="51" t="s">
        <v>52</v>
      </c>
      <c r="F18" s="52" t="s">
        <v>37</v>
      </c>
      <c r="G18" s="51" t="s">
        <v>52</v>
      </c>
      <c r="H18" s="52" t="s">
        <v>37</v>
      </c>
      <c r="I18" s="51" t="s">
        <v>52</v>
      </c>
      <c r="J18" s="52" t="s">
        <v>37</v>
      </c>
      <c r="K18" s="51" t="s">
        <v>52</v>
      </c>
      <c r="L18" s="52" t="s">
        <v>37</v>
      </c>
      <c r="M18" s="51" t="s">
        <v>52</v>
      </c>
      <c r="N18" s="52" t="s">
        <v>37</v>
      </c>
      <c r="O18" s="51" t="s">
        <v>52</v>
      </c>
      <c r="P18" s="52" t="s">
        <v>37</v>
      </c>
      <c r="Q18" s="51" t="s">
        <v>52</v>
      </c>
      <c r="R18" s="52" t="s">
        <v>37</v>
      </c>
      <c r="S18" s="51" t="s">
        <v>52</v>
      </c>
      <c r="T18" s="52" t="s">
        <v>37</v>
      </c>
      <c r="U18" s="51" t="s">
        <v>52</v>
      </c>
      <c r="V18" s="52" t="s">
        <v>37</v>
      </c>
      <c r="W18" s="51" t="s">
        <v>52</v>
      </c>
      <c r="X18" s="52" t="s">
        <v>37</v>
      </c>
      <c r="Y18" s="51" t="s">
        <v>52</v>
      </c>
      <c r="Z18" s="52" t="s">
        <v>37</v>
      </c>
      <c r="AA18" s="51" t="s">
        <v>52</v>
      </c>
      <c r="AB18" s="52" t="s">
        <v>37</v>
      </c>
    </row>
    <row r="19" spans="1:29" ht="16">
      <c r="A19" s="401" t="s">
        <v>204</v>
      </c>
      <c r="B19" s="45">
        <f>Hipótesis!C$59</f>
        <v>500</v>
      </c>
      <c r="C19" s="46">
        <v>65300</v>
      </c>
      <c r="D19" s="45">
        <f>B19*C19</f>
        <v>32650000</v>
      </c>
      <c r="E19" s="53">
        <f>C19*$E$17</f>
        <v>2612</v>
      </c>
      <c r="F19" s="45">
        <f>D19*$E$17</f>
        <v>1306000</v>
      </c>
      <c r="G19" s="53">
        <f>C19*$G$17</f>
        <v>2612</v>
      </c>
      <c r="H19" s="45">
        <f>D19*$G$17</f>
        <v>1306000</v>
      </c>
      <c r="I19" s="53">
        <f t="shared" ref="I19:I23" si="0">C19*$I$17</f>
        <v>5224</v>
      </c>
      <c r="J19" s="45">
        <f t="shared" ref="J19:J23" si="1">D19*$I$17</f>
        <v>2612000</v>
      </c>
      <c r="K19" s="53">
        <f t="shared" ref="K19:K23" si="2">C19*$K$17</f>
        <v>5224</v>
      </c>
      <c r="L19" s="45">
        <f t="shared" ref="L19:L23" si="3">D19*$K$17</f>
        <v>2612000</v>
      </c>
      <c r="M19" s="53">
        <f>C19*$M$17</f>
        <v>5224</v>
      </c>
      <c r="N19" s="47">
        <f>D19*$M$17</f>
        <v>2612000</v>
      </c>
      <c r="O19" s="53">
        <f t="shared" ref="O19" si="4">C19*$O$17</f>
        <v>5224</v>
      </c>
      <c r="P19" s="47">
        <f t="shared" ref="P19" si="5">D19*$O$17</f>
        <v>2612000</v>
      </c>
      <c r="Q19" s="53">
        <f t="shared" ref="Q19" si="6">C19*$Q$17</f>
        <v>6530</v>
      </c>
      <c r="R19" s="47">
        <f t="shared" ref="R19" si="7">D19*$Q$17</f>
        <v>3265000</v>
      </c>
      <c r="S19" s="53">
        <f t="shared" ref="S19" si="8">C19*$S$17</f>
        <v>6530</v>
      </c>
      <c r="T19" s="47">
        <f t="shared" ref="T19" si="9">D19*$S$17</f>
        <v>3265000</v>
      </c>
      <c r="U19" s="53">
        <f t="shared" ref="U19" si="10">C19*$U$17</f>
        <v>6530</v>
      </c>
      <c r="V19" s="47">
        <f t="shared" ref="V19" si="11">D19*$U$17</f>
        <v>3265000</v>
      </c>
      <c r="W19" s="426">
        <f t="shared" ref="W19" si="12">C19*$W$17</f>
        <v>7836</v>
      </c>
      <c r="X19" s="42">
        <f t="shared" ref="X19" si="13">D19*$W$17</f>
        <v>3918000</v>
      </c>
      <c r="Y19" s="53">
        <f t="shared" ref="Y19" si="14">C19*$Y$17</f>
        <v>7836</v>
      </c>
      <c r="Z19" s="56">
        <f t="shared" ref="Z19" si="15">D19*$Y$17</f>
        <v>3918000</v>
      </c>
      <c r="AA19" s="53">
        <f>C19*$AA$17</f>
        <v>3918</v>
      </c>
      <c r="AB19" s="47">
        <f>D19*$AA$17</f>
        <v>1959000</v>
      </c>
    </row>
    <row r="20" spans="1:29" ht="16">
      <c r="A20" s="421" t="s">
        <v>287</v>
      </c>
      <c r="B20" s="419">
        <f>Hipótesis!C$61</f>
        <v>12000</v>
      </c>
      <c r="C20" s="43">
        <v>5300</v>
      </c>
      <c r="D20" s="42">
        <f t="shared" ref="D20:D23" si="16">B20*C20</f>
        <v>63600000</v>
      </c>
      <c r="E20" s="54">
        <f t="shared" ref="E20:E23" si="17">C20*$E$17</f>
        <v>212</v>
      </c>
      <c r="F20" s="42">
        <f t="shared" ref="F20:F23" si="18">D20*$E$17</f>
        <v>2544000</v>
      </c>
      <c r="G20" s="54">
        <f t="shared" ref="G20:G23" si="19">C20*$G$17</f>
        <v>212</v>
      </c>
      <c r="H20" s="42">
        <f t="shared" ref="H20:H23" si="20">D20*$G$17</f>
        <v>2544000</v>
      </c>
      <c r="I20" s="54">
        <f t="shared" si="0"/>
        <v>424</v>
      </c>
      <c r="J20" s="42">
        <f t="shared" si="1"/>
        <v>5088000</v>
      </c>
      <c r="K20" s="54">
        <f t="shared" si="2"/>
        <v>424</v>
      </c>
      <c r="L20" s="42">
        <f t="shared" si="3"/>
        <v>5088000</v>
      </c>
      <c r="M20" s="54">
        <f t="shared" ref="M20:M23" si="21">C20*$M$17</f>
        <v>424</v>
      </c>
      <c r="N20" s="44">
        <f t="shared" ref="N20:N23" si="22">D20*$M$17</f>
        <v>5088000</v>
      </c>
      <c r="O20" s="54">
        <f t="shared" ref="O20:O23" si="23">C20*$O$17</f>
        <v>424</v>
      </c>
      <c r="P20" s="44">
        <f t="shared" ref="P20:P23" si="24">D20*$O$17</f>
        <v>5088000</v>
      </c>
      <c r="Q20" s="54">
        <f t="shared" ref="Q20:Q23" si="25">C20*$Q$17</f>
        <v>530</v>
      </c>
      <c r="R20" s="44">
        <f t="shared" ref="R20:R23" si="26">D20*$Q$17</f>
        <v>6360000</v>
      </c>
      <c r="S20" s="54">
        <f t="shared" ref="S20:S23" si="27">C20*$S$17</f>
        <v>530</v>
      </c>
      <c r="T20" s="44">
        <f t="shared" ref="T20:T23" si="28">D20*$S$17</f>
        <v>6360000</v>
      </c>
      <c r="U20" s="54">
        <f t="shared" ref="U20:U23" si="29">C20*$U$17</f>
        <v>530</v>
      </c>
      <c r="V20" s="44">
        <f t="shared" ref="V20:V23" si="30">D20*$U$17</f>
        <v>6360000</v>
      </c>
      <c r="W20" s="426">
        <f t="shared" ref="W20:W23" si="31">C20*$W$17</f>
        <v>636</v>
      </c>
      <c r="X20" s="42">
        <f t="shared" ref="X20:X23" si="32">D20*$W$17</f>
        <v>7632000</v>
      </c>
      <c r="Y20" s="54">
        <f t="shared" ref="Y20:Y23" si="33">C20*$Y$17</f>
        <v>636</v>
      </c>
      <c r="Z20" s="57">
        <f t="shared" ref="Z20:Z23" si="34">D20*$Y$17</f>
        <v>7632000</v>
      </c>
      <c r="AA20" s="54">
        <f t="shared" ref="AA20:AA23" si="35">C20*$AA$17</f>
        <v>318</v>
      </c>
      <c r="AB20" s="44">
        <f t="shared" ref="AB20:AB23" si="36">D20*$AA$17</f>
        <v>3816000</v>
      </c>
    </row>
    <row r="21" spans="1:29" ht="16">
      <c r="A21" s="422" t="s">
        <v>288</v>
      </c>
      <c r="B21" s="42">
        <f>Hipótesis!C$60</f>
        <v>1200</v>
      </c>
      <c r="C21" s="43">
        <v>43300</v>
      </c>
      <c r="D21" s="42">
        <f t="shared" si="16"/>
        <v>51960000</v>
      </c>
      <c r="E21" s="54">
        <f t="shared" si="17"/>
        <v>1732</v>
      </c>
      <c r="F21" s="42">
        <f t="shared" si="18"/>
        <v>2078400</v>
      </c>
      <c r="G21" s="54">
        <f t="shared" si="19"/>
        <v>1732</v>
      </c>
      <c r="H21" s="42">
        <f t="shared" si="20"/>
        <v>2078400</v>
      </c>
      <c r="I21" s="54">
        <f t="shared" si="0"/>
        <v>3464</v>
      </c>
      <c r="J21" s="42">
        <f t="shared" si="1"/>
        <v>4156800</v>
      </c>
      <c r="K21" s="54">
        <f t="shared" si="2"/>
        <v>3464</v>
      </c>
      <c r="L21" s="42">
        <f t="shared" si="3"/>
        <v>4156800</v>
      </c>
      <c r="M21" s="54">
        <f t="shared" si="21"/>
        <v>3464</v>
      </c>
      <c r="N21" s="44">
        <f t="shared" si="22"/>
        <v>4156800</v>
      </c>
      <c r="O21" s="54">
        <f t="shared" si="23"/>
        <v>3464</v>
      </c>
      <c r="P21" s="44">
        <f t="shared" si="24"/>
        <v>4156800</v>
      </c>
      <c r="Q21" s="54">
        <f t="shared" si="25"/>
        <v>4330</v>
      </c>
      <c r="R21" s="44">
        <f t="shared" si="26"/>
        <v>5196000</v>
      </c>
      <c r="S21" s="54">
        <f t="shared" si="27"/>
        <v>4330</v>
      </c>
      <c r="T21" s="44">
        <f t="shared" si="28"/>
        <v>5196000</v>
      </c>
      <c r="U21" s="54">
        <f t="shared" si="29"/>
        <v>4330</v>
      </c>
      <c r="V21" s="44">
        <f t="shared" si="30"/>
        <v>5196000</v>
      </c>
      <c r="W21" s="426">
        <f t="shared" si="31"/>
        <v>5196</v>
      </c>
      <c r="X21" s="42">
        <f t="shared" si="32"/>
        <v>6235200</v>
      </c>
      <c r="Y21" s="54">
        <f t="shared" si="33"/>
        <v>5196</v>
      </c>
      <c r="Z21" s="57">
        <f t="shared" si="34"/>
        <v>6235200</v>
      </c>
      <c r="AA21" s="54">
        <f t="shared" si="35"/>
        <v>2598</v>
      </c>
      <c r="AB21" s="44">
        <f t="shared" si="36"/>
        <v>3117600</v>
      </c>
    </row>
    <row r="22" spans="1:29" ht="16">
      <c r="A22" s="423" t="s">
        <v>286</v>
      </c>
      <c r="B22" s="420">
        <f>Hipótesis!C$63</f>
        <v>18000</v>
      </c>
      <c r="C22" s="43">
        <v>1010</v>
      </c>
      <c r="D22" s="42">
        <f t="shared" si="16"/>
        <v>18180000</v>
      </c>
      <c r="E22" s="54">
        <f t="shared" si="17"/>
        <v>40.4</v>
      </c>
      <c r="F22" s="42">
        <f t="shared" si="18"/>
        <v>727200</v>
      </c>
      <c r="G22" s="54">
        <f t="shared" si="19"/>
        <v>40.4</v>
      </c>
      <c r="H22" s="42">
        <f t="shared" si="20"/>
        <v>727200</v>
      </c>
      <c r="I22" s="54">
        <f t="shared" si="0"/>
        <v>80.8</v>
      </c>
      <c r="J22" s="42">
        <f t="shared" si="1"/>
        <v>1454400</v>
      </c>
      <c r="K22" s="54">
        <f t="shared" si="2"/>
        <v>80.8</v>
      </c>
      <c r="L22" s="42">
        <f t="shared" si="3"/>
        <v>1454400</v>
      </c>
      <c r="M22" s="54">
        <f t="shared" si="21"/>
        <v>80.8</v>
      </c>
      <c r="N22" s="44">
        <f t="shared" si="22"/>
        <v>1454400</v>
      </c>
      <c r="O22" s="54">
        <f t="shared" si="23"/>
        <v>80.8</v>
      </c>
      <c r="P22" s="44">
        <f t="shared" si="24"/>
        <v>1454400</v>
      </c>
      <c r="Q22" s="54">
        <f t="shared" si="25"/>
        <v>101</v>
      </c>
      <c r="R22" s="44">
        <f t="shared" si="26"/>
        <v>1818000</v>
      </c>
      <c r="S22" s="54">
        <f t="shared" si="27"/>
        <v>101</v>
      </c>
      <c r="T22" s="44">
        <f t="shared" si="28"/>
        <v>1818000</v>
      </c>
      <c r="U22" s="54">
        <f t="shared" si="29"/>
        <v>101</v>
      </c>
      <c r="V22" s="44">
        <f t="shared" si="30"/>
        <v>1818000</v>
      </c>
      <c r="W22" s="426">
        <f t="shared" si="31"/>
        <v>121.19999999999999</v>
      </c>
      <c r="X22" s="42">
        <f t="shared" si="32"/>
        <v>2181600</v>
      </c>
      <c r="Y22" s="54">
        <f t="shared" si="33"/>
        <v>121.19999999999999</v>
      </c>
      <c r="Z22" s="57">
        <f t="shared" si="34"/>
        <v>2181600</v>
      </c>
      <c r="AA22" s="54">
        <f t="shared" si="35"/>
        <v>60.599999999999994</v>
      </c>
      <c r="AB22" s="44">
        <f t="shared" si="36"/>
        <v>1090800</v>
      </c>
    </row>
    <row r="23" spans="1:29" ht="17" thickBot="1">
      <c r="A23" s="424" t="s">
        <v>289</v>
      </c>
      <c r="B23" s="48">
        <f>Hipótesis!C$62</f>
        <v>1800</v>
      </c>
      <c r="C23" s="49">
        <v>6150</v>
      </c>
      <c r="D23" s="48">
        <f t="shared" si="16"/>
        <v>11070000</v>
      </c>
      <c r="E23" s="55">
        <f t="shared" si="17"/>
        <v>246</v>
      </c>
      <c r="F23" s="48">
        <f t="shared" si="18"/>
        <v>442800</v>
      </c>
      <c r="G23" s="55">
        <f t="shared" si="19"/>
        <v>246</v>
      </c>
      <c r="H23" s="48">
        <f t="shared" si="20"/>
        <v>442800</v>
      </c>
      <c r="I23" s="55">
        <f t="shared" si="0"/>
        <v>492</v>
      </c>
      <c r="J23" s="48">
        <f t="shared" si="1"/>
        <v>885600</v>
      </c>
      <c r="K23" s="55">
        <f t="shared" si="2"/>
        <v>492</v>
      </c>
      <c r="L23" s="48">
        <f t="shared" si="3"/>
        <v>885600</v>
      </c>
      <c r="M23" s="55">
        <f t="shared" si="21"/>
        <v>492</v>
      </c>
      <c r="N23" s="50">
        <f t="shared" si="22"/>
        <v>885600</v>
      </c>
      <c r="O23" s="55">
        <f t="shared" si="23"/>
        <v>492</v>
      </c>
      <c r="P23" s="50">
        <f t="shared" si="24"/>
        <v>885600</v>
      </c>
      <c r="Q23" s="55">
        <f t="shared" si="25"/>
        <v>615</v>
      </c>
      <c r="R23" s="50">
        <f t="shared" si="26"/>
        <v>1107000</v>
      </c>
      <c r="S23" s="55">
        <f t="shared" si="27"/>
        <v>615</v>
      </c>
      <c r="T23" s="50">
        <f t="shared" si="28"/>
        <v>1107000</v>
      </c>
      <c r="U23" s="55">
        <f t="shared" si="29"/>
        <v>615</v>
      </c>
      <c r="V23" s="50">
        <f t="shared" si="30"/>
        <v>1107000</v>
      </c>
      <c r="W23" s="426">
        <f t="shared" si="31"/>
        <v>738</v>
      </c>
      <c r="X23" s="42">
        <f t="shared" si="32"/>
        <v>1328400</v>
      </c>
      <c r="Y23" s="55">
        <f t="shared" si="33"/>
        <v>738</v>
      </c>
      <c r="Z23" s="58">
        <f t="shared" si="34"/>
        <v>1328400</v>
      </c>
      <c r="AA23" s="55">
        <f t="shared" si="35"/>
        <v>369</v>
      </c>
      <c r="AB23" s="50">
        <f t="shared" si="36"/>
        <v>664200</v>
      </c>
    </row>
    <row r="24" spans="1:29" ht="16">
      <c r="A24" s="645" t="s">
        <v>66</v>
      </c>
      <c r="B24" s="646"/>
      <c r="C24" s="105"/>
      <c r="D24" s="109">
        <f>SUM(D19:D23)</f>
        <v>177460000</v>
      </c>
      <c r="E24" s="110"/>
      <c r="F24" s="111">
        <f>SUM(F19:F23)</f>
        <v>7098400</v>
      </c>
      <c r="G24" s="110"/>
      <c r="H24" s="111">
        <f>SUM(H19:H23)</f>
        <v>7098400</v>
      </c>
      <c r="I24" s="110"/>
      <c r="J24" s="111">
        <f>SUM(J19:J23)</f>
        <v>14196800</v>
      </c>
      <c r="K24" s="110"/>
      <c r="L24" s="111">
        <f>SUM(L19:L23)</f>
        <v>14196800</v>
      </c>
      <c r="M24" s="110"/>
      <c r="N24" s="111">
        <f>SUM(N19:N23)</f>
        <v>14196800</v>
      </c>
      <c r="O24" s="110"/>
      <c r="P24" s="111">
        <f>SUM(P19:P23)</f>
        <v>14196800</v>
      </c>
      <c r="Q24" s="110"/>
      <c r="R24" s="111">
        <f>SUM(R19:R23)</f>
        <v>17746000</v>
      </c>
      <c r="S24" s="110"/>
      <c r="T24" s="111">
        <f>SUM(T19:T23)</f>
        <v>17746000</v>
      </c>
      <c r="U24" s="110"/>
      <c r="V24" s="111">
        <f>SUM(V19:V23)</f>
        <v>17746000</v>
      </c>
      <c r="W24" s="110"/>
      <c r="X24" s="111">
        <f>SUM(X19:X23)</f>
        <v>21295200</v>
      </c>
      <c r="Y24" s="110"/>
      <c r="Z24" s="111">
        <f>SUM(Z19:Z23)</f>
        <v>21295200</v>
      </c>
      <c r="AA24" s="110"/>
      <c r="AB24" s="111">
        <f>SUM(AB19:AB23)</f>
        <v>10647600</v>
      </c>
      <c r="AC24" s="41"/>
    </row>
    <row r="25" spans="1:29" ht="17" thickBot="1">
      <c r="A25" s="647" t="s">
        <v>209</v>
      </c>
      <c r="B25" s="648"/>
      <c r="C25" s="116">
        <f>SUM(C19:C23)</f>
        <v>121060</v>
      </c>
      <c r="D25" s="114"/>
      <c r="E25" s="116">
        <f>SUM(E19:E23)</f>
        <v>4842.3999999999996</v>
      </c>
      <c r="F25" s="114"/>
      <c r="G25" s="116">
        <f>SUM(G19:G23)</f>
        <v>4842.3999999999996</v>
      </c>
      <c r="H25" s="114"/>
      <c r="I25" s="116">
        <f>SUM(I19:I23)</f>
        <v>9684.7999999999993</v>
      </c>
      <c r="J25" s="114"/>
      <c r="K25" s="116">
        <f>SUM(K19:K23)</f>
        <v>9684.7999999999993</v>
      </c>
      <c r="L25" s="114"/>
      <c r="M25" s="116">
        <f>SUM(M19:M23)</f>
        <v>9684.7999999999993</v>
      </c>
      <c r="N25" s="114"/>
      <c r="O25" s="116">
        <f>SUM(O19:O23)</f>
        <v>9684.7999999999993</v>
      </c>
      <c r="P25" s="114"/>
      <c r="Q25" s="116">
        <f>SUM(Q19:Q23)</f>
        <v>12106</v>
      </c>
      <c r="R25" s="114"/>
      <c r="S25" s="116">
        <f>SUM(S19:S23)</f>
        <v>12106</v>
      </c>
      <c r="T25" s="114"/>
      <c r="U25" s="116">
        <f>SUM(U19:U23)</f>
        <v>12106</v>
      </c>
      <c r="V25" s="114"/>
      <c r="W25" s="116">
        <f>SUM(W19:W23)</f>
        <v>14527.2</v>
      </c>
      <c r="X25" s="114"/>
      <c r="Y25" s="116">
        <f>SUM(Y19:Y23)</f>
        <v>14527.2</v>
      </c>
      <c r="Z25" s="114"/>
      <c r="AA25" s="116">
        <f>SUM(AA19:AA23)</f>
        <v>7263.6</v>
      </c>
      <c r="AB25" s="114"/>
    </row>
    <row r="26" spans="1:29" ht="16" thickBot="1">
      <c r="D26" s="34"/>
      <c r="I26" s="40"/>
      <c r="J26" s="40"/>
      <c r="K26" s="40"/>
      <c r="L26" s="40"/>
      <c r="N26" s="40"/>
      <c r="O26" s="40"/>
      <c r="P26" s="40"/>
      <c r="Q26" s="40"/>
      <c r="R26" s="40"/>
      <c r="S26" s="40"/>
      <c r="T26" s="40"/>
      <c r="U26" s="40"/>
      <c r="V26" s="40"/>
      <c r="W26" s="40"/>
      <c r="X26" s="40"/>
      <c r="Y26" s="40"/>
      <c r="Z26" s="40"/>
      <c r="AB26" s="40"/>
    </row>
    <row r="27" spans="1:29" ht="27" thickBot="1">
      <c r="A27" s="556" t="s">
        <v>211</v>
      </c>
      <c r="B27" s="557"/>
      <c r="C27" s="557"/>
      <c r="D27" s="557"/>
      <c r="E27" s="557"/>
      <c r="F27" s="557"/>
      <c r="G27" s="557"/>
      <c r="H27" s="557"/>
      <c r="I27" s="557"/>
      <c r="J27" s="557"/>
      <c r="K27" s="557"/>
      <c r="L27" s="557"/>
      <c r="M27" s="557"/>
      <c r="N27" s="557"/>
      <c r="O27" s="557"/>
      <c r="P27" s="557"/>
      <c r="Q27" s="557"/>
      <c r="R27" s="557"/>
      <c r="S27" s="557"/>
      <c r="T27" s="557"/>
      <c r="U27" s="557"/>
      <c r="V27" s="557"/>
      <c r="W27" s="557"/>
      <c r="X27" s="557"/>
      <c r="Y27" s="557"/>
      <c r="Z27" s="557"/>
      <c r="AA27" s="557"/>
      <c r="AB27" s="558"/>
    </row>
    <row r="28" spans="1:29" ht="184.5" customHeight="1" thickBot="1">
      <c r="A28" s="88" t="s">
        <v>61</v>
      </c>
      <c r="B28" s="544" t="s">
        <v>278</v>
      </c>
      <c r="C28" s="545"/>
      <c r="D28" s="545"/>
      <c r="E28" s="545"/>
      <c r="F28" s="545"/>
      <c r="G28" s="545"/>
      <c r="H28" s="545"/>
      <c r="I28" s="545"/>
      <c r="J28" s="545"/>
      <c r="K28" s="545"/>
      <c r="L28" s="545"/>
      <c r="M28" s="545"/>
      <c r="N28" s="545"/>
      <c r="O28" s="545"/>
      <c r="P28" s="545"/>
      <c r="Q28" s="545"/>
      <c r="R28" s="545"/>
      <c r="S28" s="545"/>
      <c r="T28" s="545"/>
      <c r="U28" s="545"/>
      <c r="V28" s="545"/>
      <c r="W28" s="545"/>
      <c r="X28" s="545"/>
      <c r="Y28" s="545"/>
      <c r="Z28" s="545"/>
      <c r="AA28" s="545"/>
      <c r="AB28" s="546"/>
    </row>
    <row r="29" spans="1:29" ht="22" thickBot="1">
      <c r="A29" s="606" t="s">
        <v>55</v>
      </c>
      <c r="B29" s="607"/>
      <c r="C29" s="583" t="s">
        <v>56</v>
      </c>
      <c r="D29" s="584"/>
      <c r="E29" s="604" t="s">
        <v>192</v>
      </c>
      <c r="F29" s="604"/>
      <c r="G29" s="604"/>
      <c r="H29" s="604"/>
      <c r="I29" s="604"/>
      <c r="J29" s="604"/>
      <c r="K29" s="604"/>
      <c r="L29" s="604"/>
      <c r="M29" s="604"/>
      <c r="N29" s="604"/>
      <c r="O29" s="604"/>
      <c r="P29" s="604"/>
      <c r="Q29" s="604"/>
      <c r="R29" s="604"/>
      <c r="S29" s="604"/>
      <c r="T29" s="604"/>
      <c r="U29" s="604"/>
      <c r="V29" s="604"/>
      <c r="W29" s="604"/>
      <c r="X29" s="604"/>
      <c r="Y29" s="604"/>
      <c r="Z29" s="604"/>
      <c r="AA29" s="604"/>
      <c r="AB29" s="605"/>
    </row>
    <row r="30" spans="1:29" ht="16" thickBot="1">
      <c r="A30" s="559"/>
      <c r="B30" s="560"/>
      <c r="C30" s="86" t="s">
        <v>52</v>
      </c>
      <c r="D30" s="87" t="s">
        <v>55</v>
      </c>
      <c r="E30" s="592" t="s">
        <v>38</v>
      </c>
      <c r="F30" s="593"/>
      <c r="G30" s="592" t="s">
        <v>39</v>
      </c>
      <c r="H30" s="593"/>
      <c r="I30" s="592" t="s">
        <v>40</v>
      </c>
      <c r="J30" s="593"/>
      <c r="K30" s="592" t="s">
        <v>41</v>
      </c>
      <c r="L30" s="593"/>
      <c r="M30" s="592" t="s">
        <v>42</v>
      </c>
      <c r="N30" s="593"/>
      <c r="O30" s="592" t="s">
        <v>43</v>
      </c>
      <c r="P30" s="593"/>
      <c r="Q30" s="592" t="s">
        <v>44</v>
      </c>
      <c r="R30" s="593"/>
      <c r="S30" s="592" t="s">
        <v>45</v>
      </c>
      <c r="T30" s="593"/>
      <c r="U30" s="592" t="s">
        <v>46</v>
      </c>
      <c r="V30" s="593"/>
      <c r="W30" s="592" t="s">
        <v>47</v>
      </c>
      <c r="X30" s="593"/>
      <c r="Y30" s="592" t="s">
        <v>48</v>
      </c>
      <c r="Z30" s="593"/>
      <c r="AA30" s="592" t="s">
        <v>49</v>
      </c>
      <c r="AB30" s="593"/>
    </row>
    <row r="31" spans="1:29" ht="16">
      <c r="A31" s="608" t="s">
        <v>54</v>
      </c>
      <c r="B31" s="609"/>
      <c r="C31" s="402">
        <v>0</v>
      </c>
      <c r="D31" s="403" t="s">
        <v>214</v>
      </c>
      <c r="E31" s="591" t="s">
        <v>57</v>
      </c>
      <c r="F31" s="579"/>
      <c r="G31" s="579" t="s">
        <v>57</v>
      </c>
      <c r="H31" s="579"/>
      <c r="I31" s="579" t="s">
        <v>57</v>
      </c>
      <c r="J31" s="579"/>
      <c r="K31" s="579" t="s">
        <v>57</v>
      </c>
      <c r="L31" s="579"/>
      <c r="M31" s="579" t="s">
        <v>57</v>
      </c>
      <c r="N31" s="579"/>
      <c r="O31" s="579" t="s">
        <v>57</v>
      </c>
      <c r="P31" s="579"/>
      <c r="Q31" s="579" t="s">
        <v>57</v>
      </c>
      <c r="R31" s="579"/>
      <c r="S31" s="579" t="s">
        <v>57</v>
      </c>
      <c r="T31" s="579"/>
      <c r="U31" s="579" t="s">
        <v>57</v>
      </c>
      <c r="V31" s="579"/>
      <c r="W31" s="579" t="s">
        <v>57</v>
      </c>
      <c r="X31" s="579"/>
      <c r="Y31" s="579" t="s">
        <v>57</v>
      </c>
      <c r="Z31" s="579"/>
      <c r="AA31" s="579" t="s">
        <v>57</v>
      </c>
      <c r="AB31" s="601"/>
    </row>
    <row r="32" spans="1:29" ht="16">
      <c r="A32" s="610"/>
      <c r="B32" s="611"/>
      <c r="C32" s="85">
        <v>0</v>
      </c>
      <c r="D32" s="82" t="s">
        <v>215</v>
      </c>
      <c r="E32" s="598" t="s">
        <v>57</v>
      </c>
      <c r="F32" s="578"/>
      <c r="G32" s="578" t="s">
        <v>57</v>
      </c>
      <c r="H32" s="578"/>
      <c r="I32" s="578" t="s">
        <v>57</v>
      </c>
      <c r="J32" s="578"/>
      <c r="K32" s="578" t="s">
        <v>57</v>
      </c>
      <c r="L32" s="578"/>
      <c r="M32" s="578" t="s">
        <v>57</v>
      </c>
      <c r="N32" s="578"/>
      <c r="O32" s="578" t="s">
        <v>57</v>
      </c>
      <c r="P32" s="578"/>
      <c r="Q32" s="578" t="s">
        <v>57</v>
      </c>
      <c r="R32" s="578"/>
      <c r="S32" s="578" t="s">
        <v>57</v>
      </c>
      <c r="T32" s="578"/>
      <c r="U32" s="578" t="s">
        <v>57</v>
      </c>
      <c r="V32" s="578"/>
      <c r="W32" s="578" t="s">
        <v>57</v>
      </c>
      <c r="X32" s="578"/>
      <c r="Y32" s="578" t="s">
        <v>57</v>
      </c>
      <c r="Z32" s="578"/>
      <c r="AA32" s="578" t="s">
        <v>57</v>
      </c>
      <c r="AB32" s="602"/>
    </row>
    <row r="33" spans="1:28" ht="16">
      <c r="A33" s="610"/>
      <c r="B33" s="611"/>
      <c r="C33" s="85">
        <v>0</v>
      </c>
      <c r="D33" s="82" t="s">
        <v>216</v>
      </c>
      <c r="E33" s="598" t="s">
        <v>57</v>
      </c>
      <c r="F33" s="578"/>
      <c r="G33" s="578" t="s">
        <v>57</v>
      </c>
      <c r="H33" s="578"/>
      <c r="I33" s="578" t="s">
        <v>57</v>
      </c>
      <c r="J33" s="578"/>
      <c r="K33" s="578" t="s">
        <v>57</v>
      </c>
      <c r="L33" s="578"/>
      <c r="M33" s="578" t="s">
        <v>57</v>
      </c>
      <c r="N33" s="578"/>
      <c r="O33" s="578" t="s">
        <v>57</v>
      </c>
      <c r="P33" s="578"/>
      <c r="Q33" s="578" t="s">
        <v>57</v>
      </c>
      <c r="R33" s="578"/>
      <c r="S33" s="578" t="s">
        <v>57</v>
      </c>
      <c r="T33" s="578"/>
      <c r="U33" s="578" t="s">
        <v>57</v>
      </c>
      <c r="V33" s="578"/>
      <c r="W33" s="578" t="s">
        <v>57</v>
      </c>
      <c r="X33" s="578"/>
      <c r="Y33" s="578" t="s">
        <v>57</v>
      </c>
      <c r="Z33" s="578"/>
      <c r="AA33" s="578" t="s">
        <v>57</v>
      </c>
      <c r="AB33" s="602"/>
    </row>
    <row r="34" spans="1:28" ht="16">
      <c r="A34" s="610"/>
      <c r="B34" s="611"/>
      <c r="C34" s="85">
        <v>0</v>
      </c>
      <c r="D34" s="82" t="s">
        <v>217</v>
      </c>
      <c r="E34" s="598" t="s">
        <v>57</v>
      </c>
      <c r="F34" s="578"/>
      <c r="G34" s="578" t="s">
        <v>57</v>
      </c>
      <c r="H34" s="578"/>
      <c r="I34" s="578" t="s">
        <v>57</v>
      </c>
      <c r="J34" s="578"/>
      <c r="K34" s="578" t="s">
        <v>57</v>
      </c>
      <c r="L34" s="578"/>
      <c r="M34" s="578" t="s">
        <v>57</v>
      </c>
      <c r="N34" s="578"/>
      <c r="O34" s="578" t="s">
        <v>57</v>
      </c>
      <c r="P34" s="578"/>
      <c r="Q34" s="578" t="s">
        <v>57</v>
      </c>
      <c r="R34" s="578"/>
      <c r="S34" s="578" t="s">
        <v>57</v>
      </c>
      <c r="T34" s="578"/>
      <c r="U34" s="578" t="s">
        <v>57</v>
      </c>
      <c r="V34" s="578"/>
      <c r="W34" s="578" t="s">
        <v>57</v>
      </c>
      <c r="X34" s="578"/>
      <c r="Y34" s="578" t="s">
        <v>57</v>
      </c>
      <c r="Z34" s="578"/>
      <c r="AA34" s="578" t="s">
        <v>57</v>
      </c>
      <c r="AB34" s="602"/>
    </row>
    <row r="35" spans="1:28" ht="16">
      <c r="A35" s="610"/>
      <c r="B35" s="611"/>
      <c r="C35" s="85">
        <v>0</v>
      </c>
      <c r="D35" s="82" t="s">
        <v>218</v>
      </c>
      <c r="E35" s="598" t="s">
        <v>57</v>
      </c>
      <c r="F35" s="578"/>
      <c r="G35" s="578" t="s">
        <v>57</v>
      </c>
      <c r="H35" s="578"/>
      <c r="I35" s="578" t="s">
        <v>57</v>
      </c>
      <c r="J35" s="578"/>
      <c r="K35" s="578" t="s">
        <v>57</v>
      </c>
      <c r="L35" s="578"/>
      <c r="M35" s="578" t="s">
        <v>57</v>
      </c>
      <c r="N35" s="578"/>
      <c r="O35" s="578" t="s">
        <v>57</v>
      </c>
      <c r="P35" s="578"/>
      <c r="Q35" s="578" t="s">
        <v>57</v>
      </c>
      <c r="R35" s="578"/>
      <c r="S35" s="578" t="s">
        <v>57</v>
      </c>
      <c r="T35" s="578"/>
      <c r="U35" s="578" t="s">
        <v>57</v>
      </c>
      <c r="V35" s="578"/>
      <c r="W35" s="578" t="s">
        <v>57</v>
      </c>
      <c r="X35" s="578"/>
      <c r="Y35" s="578" t="s">
        <v>57</v>
      </c>
      <c r="Z35" s="578"/>
      <c r="AA35" s="578" t="s">
        <v>57</v>
      </c>
      <c r="AB35" s="602"/>
    </row>
    <row r="36" spans="1:28" ht="16">
      <c r="A36" s="610"/>
      <c r="B36" s="611"/>
      <c r="C36" s="85">
        <v>0</v>
      </c>
      <c r="D36" s="82" t="s">
        <v>219</v>
      </c>
      <c r="E36" s="598" t="s">
        <v>57</v>
      </c>
      <c r="F36" s="578"/>
      <c r="G36" s="578" t="s">
        <v>57</v>
      </c>
      <c r="H36" s="578"/>
      <c r="I36" s="578" t="s">
        <v>57</v>
      </c>
      <c r="J36" s="578"/>
      <c r="K36" s="578" t="s">
        <v>57</v>
      </c>
      <c r="L36" s="578"/>
      <c r="M36" s="578" t="s">
        <v>57</v>
      </c>
      <c r="N36" s="578"/>
      <c r="O36" s="578" t="s">
        <v>57</v>
      </c>
      <c r="P36" s="578"/>
      <c r="Q36" s="578" t="s">
        <v>57</v>
      </c>
      <c r="R36" s="578"/>
      <c r="S36" s="578" t="s">
        <v>57</v>
      </c>
      <c r="T36" s="578"/>
      <c r="U36" s="578" t="s">
        <v>57</v>
      </c>
      <c r="V36" s="578"/>
      <c r="W36" s="578" t="s">
        <v>57</v>
      </c>
      <c r="X36" s="578"/>
      <c r="Y36" s="578" t="s">
        <v>57</v>
      </c>
      <c r="Z36" s="578"/>
      <c r="AA36" s="578" t="s">
        <v>57</v>
      </c>
      <c r="AB36" s="602"/>
    </row>
    <row r="37" spans="1:28" ht="16">
      <c r="A37" s="610"/>
      <c r="B37" s="611"/>
      <c r="C37" s="85">
        <v>0</v>
      </c>
      <c r="D37" s="82" t="s">
        <v>220</v>
      </c>
      <c r="E37" s="598" t="s">
        <v>57</v>
      </c>
      <c r="F37" s="578"/>
      <c r="G37" s="578" t="s">
        <v>57</v>
      </c>
      <c r="H37" s="578"/>
      <c r="I37" s="578" t="s">
        <v>57</v>
      </c>
      <c r="J37" s="578"/>
      <c r="K37" s="578" t="s">
        <v>57</v>
      </c>
      <c r="L37" s="578"/>
      <c r="M37" s="578" t="s">
        <v>57</v>
      </c>
      <c r="N37" s="578"/>
      <c r="O37" s="578" t="s">
        <v>57</v>
      </c>
      <c r="P37" s="578"/>
      <c r="Q37" s="578" t="s">
        <v>57</v>
      </c>
      <c r="R37" s="578"/>
      <c r="S37" s="578" t="s">
        <v>57</v>
      </c>
      <c r="T37" s="578"/>
      <c r="U37" s="578" t="s">
        <v>57</v>
      </c>
      <c r="V37" s="578"/>
      <c r="W37" s="578" t="s">
        <v>57</v>
      </c>
      <c r="X37" s="578"/>
      <c r="Y37" s="578" t="s">
        <v>57</v>
      </c>
      <c r="Z37" s="578"/>
      <c r="AA37" s="578" t="s">
        <v>57</v>
      </c>
      <c r="AB37" s="602"/>
    </row>
    <row r="38" spans="1:28" ht="16">
      <c r="A38" s="610"/>
      <c r="B38" s="611"/>
      <c r="C38" s="85">
        <v>0</v>
      </c>
      <c r="D38" s="82" t="s">
        <v>221</v>
      </c>
      <c r="E38" s="598" t="s">
        <v>57</v>
      </c>
      <c r="F38" s="578"/>
      <c r="G38" s="578" t="s">
        <v>57</v>
      </c>
      <c r="H38" s="578"/>
      <c r="I38" s="578" t="s">
        <v>57</v>
      </c>
      <c r="J38" s="578"/>
      <c r="K38" s="578" t="s">
        <v>57</v>
      </c>
      <c r="L38" s="578"/>
      <c r="M38" s="578" t="s">
        <v>57</v>
      </c>
      <c r="N38" s="578"/>
      <c r="O38" s="578" t="s">
        <v>57</v>
      </c>
      <c r="P38" s="578"/>
      <c r="Q38" s="578" t="s">
        <v>57</v>
      </c>
      <c r="R38" s="578"/>
      <c r="S38" s="578" t="s">
        <v>57</v>
      </c>
      <c r="T38" s="578"/>
      <c r="U38" s="578" t="s">
        <v>57</v>
      </c>
      <c r="V38" s="578"/>
      <c r="W38" s="578" t="s">
        <v>57</v>
      </c>
      <c r="X38" s="578"/>
      <c r="Y38" s="578" t="s">
        <v>57</v>
      </c>
      <c r="Z38" s="578"/>
      <c r="AA38" s="578" t="s">
        <v>57</v>
      </c>
      <c r="AB38" s="602"/>
    </row>
    <row r="39" spans="1:28" ht="16">
      <c r="A39" s="610"/>
      <c r="B39" s="611"/>
      <c r="C39" s="85">
        <v>1</v>
      </c>
      <c r="D39" s="82" t="s">
        <v>222</v>
      </c>
      <c r="E39" s="598" t="s">
        <v>57</v>
      </c>
      <c r="F39" s="578"/>
      <c r="G39" s="578" t="s">
        <v>57</v>
      </c>
      <c r="H39" s="578"/>
      <c r="I39" s="578" t="s">
        <v>57</v>
      </c>
      <c r="J39" s="578"/>
      <c r="K39" s="578" t="s">
        <v>57</v>
      </c>
      <c r="L39" s="578"/>
      <c r="M39" s="578" t="s">
        <v>57</v>
      </c>
      <c r="N39" s="578"/>
      <c r="O39" s="578" t="s">
        <v>57</v>
      </c>
      <c r="P39" s="578"/>
      <c r="Q39" s="578" t="s">
        <v>57</v>
      </c>
      <c r="R39" s="578"/>
      <c r="S39" s="578" t="s">
        <v>57</v>
      </c>
      <c r="T39" s="578"/>
      <c r="U39" s="578" t="s">
        <v>57</v>
      </c>
      <c r="V39" s="578"/>
      <c r="W39" s="578" t="s">
        <v>57</v>
      </c>
      <c r="X39" s="578"/>
      <c r="Y39" s="578" t="s">
        <v>57</v>
      </c>
      <c r="Z39" s="578"/>
      <c r="AA39" s="578" t="s">
        <v>57</v>
      </c>
      <c r="AB39" s="602"/>
    </row>
    <row r="40" spans="1:28" ht="16">
      <c r="A40" s="610"/>
      <c r="B40" s="611"/>
      <c r="C40" s="85">
        <v>0</v>
      </c>
      <c r="D40" s="82" t="s">
        <v>223</v>
      </c>
      <c r="E40" s="598" t="s">
        <v>57</v>
      </c>
      <c r="F40" s="578"/>
      <c r="G40" s="578" t="s">
        <v>57</v>
      </c>
      <c r="H40" s="578"/>
      <c r="I40" s="578" t="s">
        <v>57</v>
      </c>
      <c r="J40" s="578"/>
      <c r="K40" s="578" t="s">
        <v>57</v>
      </c>
      <c r="L40" s="578"/>
      <c r="M40" s="578" t="s">
        <v>57</v>
      </c>
      <c r="N40" s="578"/>
      <c r="O40" s="578" t="s">
        <v>57</v>
      </c>
      <c r="P40" s="578"/>
      <c r="Q40" s="578" t="s">
        <v>57</v>
      </c>
      <c r="R40" s="578"/>
      <c r="S40" s="578" t="s">
        <v>57</v>
      </c>
      <c r="T40" s="578"/>
      <c r="U40" s="578" t="s">
        <v>57</v>
      </c>
      <c r="V40" s="578"/>
      <c r="W40" s="578" t="s">
        <v>57</v>
      </c>
      <c r="X40" s="578"/>
      <c r="Y40" s="578" t="s">
        <v>57</v>
      </c>
      <c r="Z40" s="578"/>
      <c r="AA40" s="578" t="s">
        <v>57</v>
      </c>
      <c r="AB40" s="602"/>
    </row>
    <row r="41" spans="1:28" ht="16">
      <c r="A41" s="610"/>
      <c r="B41" s="611"/>
      <c r="C41" s="85">
        <v>0</v>
      </c>
      <c r="D41" s="82" t="s">
        <v>224</v>
      </c>
      <c r="E41" s="598" t="s">
        <v>57</v>
      </c>
      <c r="F41" s="578"/>
      <c r="G41" s="578" t="s">
        <v>57</v>
      </c>
      <c r="H41" s="578"/>
      <c r="I41" s="578" t="s">
        <v>57</v>
      </c>
      <c r="J41" s="578"/>
      <c r="K41" s="578" t="s">
        <v>57</v>
      </c>
      <c r="L41" s="578"/>
      <c r="M41" s="578" t="s">
        <v>57</v>
      </c>
      <c r="N41" s="578"/>
      <c r="O41" s="578" t="s">
        <v>57</v>
      </c>
      <c r="P41" s="578"/>
      <c r="Q41" s="578" t="s">
        <v>57</v>
      </c>
      <c r="R41" s="578"/>
      <c r="S41" s="578" t="s">
        <v>57</v>
      </c>
      <c r="T41" s="578"/>
      <c r="U41" s="578" t="s">
        <v>57</v>
      </c>
      <c r="V41" s="578"/>
      <c r="W41" s="578" t="s">
        <v>57</v>
      </c>
      <c r="X41" s="578"/>
      <c r="Y41" s="578" t="s">
        <v>57</v>
      </c>
      <c r="Z41" s="578"/>
      <c r="AA41" s="578" t="s">
        <v>57</v>
      </c>
      <c r="AB41" s="602"/>
    </row>
    <row r="42" spans="1:28" ht="16">
      <c r="A42" s="610"/>
      <c r="B42" s="611"/>
      <c r="C42" s="85">
        <v>0</v>
      </c>
      <c r="D42" s="82" t="s">
        <v>225</v>
      </c>
      <c r="E42" s="598" t="s">
        <v>57</v>
      </c>
      <c r="F42" s="578"/>
      <c r="G42" s="578" t="s">
        <v>57</v>
      </c>
      <c r="H42" s="578"/>
      <c r="I42" s="578" t="s">
        <v>57</v>
      </c>
      <c r="J42" s="578"/>
      <c r="K42" s="578" t="s">
        <v>57</v>
      </c>
      <c r="L42" s="578"/>
      <c r="M42" s="578" t="s">
        <v>57</v>
      </c>
      <c r="N42" s="578"/>
      <c r="O42" s="578" t="s">
        <v>57</v>
      </c>
      <c r="P42" s="578"/>
      <c r="Q42" s="578" t="s">
        <v>57</v>
      </c>
      <c r="R42" s="578"/>
      <c r="S42" s="578" t="s">
        <v>57</v>
      </c>
      <c r="T42" s="578"/>
      <c r="U42" s="578" t="s">
        <v>57</v>
      </c>
      <c r="V42" s="578"/>
      <c r="W42" s="578" t="s">
        <v>57</v>
      </c>
      <c r="X42" s="578"/>
      <c r="Y42" s="578" t="s">
        <v>57</v>
      </c>
      <c r="Z42" s="578"/>
      <c r="AA42" s="578" t="s">
        <v>57</v>
      </c>
      <c r="AB42" s="602"/>
    </row>
    <row r="43" spans="1:28" ht="16">
      <c r="A43" s="610"/>
      <c r="B43" s="611"/>
      <c r="C43" s="85">
        <v>0</v>
      </c>
      <c r="D43" s="82" t="s">
        <v>226</v>
      </c>
      <c r="E43" s="598" t="s">
        <v>57</v>
      </c>
      <c r="F43" s="578"/>
      <c r="G43" s="578" t="s">
        <v>57</v>
      </c>
      <c r="H43" s="578"/>
      <c r="I43" s="578" t="s">
        <v>57</v>
      </c>
      <c r="J43" s="578"/>
      <c r="K43" s="578" t="s">
        <v>57</v>
      </c>
      <c r="L43" s="578"/>
      <c r="M43" s="578" t="s">
        <v>57</v>
      </c>
      <c r="N43" s="578"/>
      <c r="O43" s="578" t="s">
        <v>57</v>
      </c>
      <c r="P43" s="578"/>
      <c r="Q43" s="578" t="s">
        <v>57</v>
      </c>
      <c r="R43" s="578"/>
      <c r="S43" s="578" t="s">
        <v>57</v>
      </c>
      <c r="T43" s="578"/>
      <c r="U43" s="578" t="s">
        <v>57</v>
      </c>
      <c r="V43" s="578"/>
      <c r="W43" s="578" t="s">
        <v>57</v>
      </c>
      <c r="X43" s="578"/>
      <c r="Y43" s="578" t="s">
        <v>57</v>
      </c>
      <c r="Z43" s="578"/>
      <c r="AA43" s="578" t="s">
        <v>57</v>
      </c>
      <c r="AB43" s="602"/>
    </row>
    <row r="44" spans="1:28" ht="16">
      <c r="A44" s="610"/>
      <c r="B44" s="611"/>
      <c r="C44" s="85">
        <v>0</v>
      </c>
      <c r="D44" s="82" t="s">
        <v>227</v>
      </c>
      <c r="E44" s="598" t="s">
        <v>57</v>
      </c>
      <c r="F44" s="578"/>
      <c r="G44" s="578" t="s">
        <v>57</v>
      </c>
      <c r="H44" s="578"/>
      <c r="I44" s="578" t="s">
        <v>57</v>
      </c>
      <c r="J44" s="578"/>
      <c r="K44" s="578" t="s">
        <v>57</v>
      </c>
      <c r="L44" s="578"/>
      <c r="M44" s="578" t="s">
        <v>57</v>
      </c>
      <c r="N44" s="578"/>
      <c r="O44" s="578" t="s">
        <v>57</v>
      </c>
      <c r="P44" s="578"/>
      <c r="Q44" s="578" t="s">
        <v>57</v>
      </c>
      <c r="R44" s="578"/>
      <c r="S44" s="578" t="s">
        <v>57</v>
      </c>
      <c r="T44" s="578"/>
      <c r="U44" s="578" t="s">
        <v>57</v>
      </c>
      <c r="V44" s="578"/>
      <c r="W44" s="578" t="s">
        <v>57</v>
      </c>
      <c r="X44" s="578"/>
      <c r="Y44" s="578" t="s">
        <v>57</v>
      </c>
      <c r="Z44" s="578"/>
      <c r="AA44" s="578" t="s">
        <v>57</v>
      </c>
      <c r="AB44" s="602"/>
    </row>
    <row r="45" spans="1:28" ht="17" customHeight="1">
      <c r="A45" s="610"/>
      <c r="B45" s="611"/>
      <c r="C45" s="85">
        <v>0</v>
      </c>
      <c r="D45" s="82" t="s">
        <v>228</v>
      </c>
      <c r="E45" s="598" t="s">
        <v>57</v>
      </c>
      <c r="F45" s="578"/>
      <c r="G45" s="578" t="s">
        <v>57</v>
      </c>
      <c r="H45" s="578"/>
      <c r="I45" s="578" t="s">
        <v>57</v>
      </c>
      <c r="J45" s="578"/>
      <c r="K45" s="578" t="s">
        <v>57</v>
      </c>
      <c r="L45" s="578"/>
      <c r="M45" s="578" t="s">
        <v>57</v>
      </c>
      <c r="N45" s="578"/>
      <c r="O45" s="578" t="s">
        <v>57</v>
      </c>
      <c r="P45" s="578"/>
      <c r="Q45" s="578" t="s">
        <v>57</v>
      </c>
      <c r="R45" s="578"/>
      <c r="S45" s="578" t="s">
        <v>57</v>
      </c>
      <c r="T45" s="578"/>
      <c r="U45" s="578" t="s">
        <v>57</v>
      </c>
      <c r="V45" s="578"/>
      <c r="W45" s="578" t="s">
        <v>57</v>
      </c>
      <c r="X45" s="578"/>
      <c r="Y45" s="578" t="s">
        <v>57</v>
      </c>
      <c r="Z45" s="578"/>
      <c r="AA45" s="578" t="s">
        <v>57</v>
      </c>
      <c r="AB45" s="602"/>
    </row>
    <row r="46" spans="1:28" ht="16" customHeight="1">
      <c r="A46" s="610"/>
      <c r="B46" s="611"/>
      <c r="C46" s="85">
        <v>1</v>
      </c>
      <c r="D46" s="82" t="s">
        <v>229</v>
      </c>
      <c r="E46" s="598" t="s">
        <v>57</v>
      </c>
      <c r="F46" s="578"/>
      <c r="G46" s="578" t="s">
        <v>57</v>
      </c>
      <c r="H46" s="578"/>
      <c r="I46" s="578" t="s">
        <v>57</v>
      </c>
      <c r="J46" s="578"/>
      <c r="K46" s="578" t="s">
        <v>57</v>
      </c>
      <c r="L46" s="578"/>
      <c r="M46" s="578" t="s">
        <v>57</v>
      </c>
      <c r="N46" s="578"/>
      <c r="O46" s="578" t="s">
        <v>57</v>
      </c>
      <c r="P46" s="578"/>
      <c r="Q46" s="578" t="s">
        <v>57</v>
      </c>
      <c r="R46" s="578"/>
      <c r="S46" s="578" t="s">
        <v>57</v>
      </c>
      <c r="T46" s="578"/>
      <c r="U46" s="578" t="s">
        <v>57</v>
      </c>
      <c r="V46" s="578"/>
      <c r="W46" s="578" t="s">
        <v>57</v>
      </c>
      <c r="X46" s="578"/>
      <c r="Y46" s="578" t="s">
        <v>57</v>
      </c>
      <c r="Z46" s="578"/>
      <c r="AA46" s="578" t="s">
        <v>57</v>
      </c>
      <c r="AB46" s="602"/>
    </row>
    <row r="47" spans="1:28" ht="16">
      <c r="A47" s="610"/>
      <c r="B47" s="611"/>
      <c r="C47" s="85">
        <v>1</v>
      </c>
      <c r="D47" s="82" t="s">
        <v>230</v>
      </c>
      <c r="E47" s="598" t="s">
        <v>57</v>
      </c>
      <c r="F47" s="578"/>
      <c r="G47" s="578" t="s">
        <v>57</v>
      </c>
      <c r="H47" s="578"/>
      <c r="I47" s="578" t="s">
        <v>57</v>
      </c>
      <c r="J47" s="578"/>
      <c r="K47" s="578" t="s">
        <v>57</v>
      </c>
      <c r="L47" s="578"/>
      <c r="M47" s="578" t="s">
        <v>57</v>
      </c>
      <c r="N47" s="578"/>
      <c r="O47" s="578" t="s">
        <v>57</v>
      </c>
      <c r="P47" s="578"/>
      <c r="Q47" s="578" t="s">
        <v>57</v>
      </c>
      <c r="R47" s="578"/>
      <c r="S47" s="578" t="s">
        <v>57</v>
      </c>
      <c r="T47" s="578"/>
      <c r="U47" s="578" t="s">
        <v>57</v>
      </c>
      <c r="V47" s="578"/>
      <c r="W47" s="578" t="s">
        <v>57</v>
      </c>
      <c r="X47" s="578"/>
      <c r="Y47" s="578" t="s">
        <v>57</v>
      </c>
      <c r="Z47" s="578"/>
      <c r="AA47" s="578" t="s">
        <v>57</v>
      </c>
      <c r="AB47" s="602"/>
    </row>
    <row r="48" spans="1:28" ht="16">
      <c r="A48" s="612"/>
      <c r="B48" s="613"/>
      <c r="C48" s="85">
        <v>1</v>
      </c>
      <c r="D48" s="404" t="s">
        <v>231</v>
      </c>
      <c r="E48" s="598" t="s">
        <v>57</v>
      </c>
      <c r="F48" s="578"/>
      <c r="G48" s="578" t="s">
        <v>57</v>
      </c>
      <c r="H48" s="578"/>
      <c r="I48" s="578" t="s">
        <v>57</v>
      </c>
      <c r="J48" s="578"/>
      <c r="K48" s="578" t="s">
        <v>57</v>
      </c>
      <c r="L48" s="578"/>
      <c r="M48" s="578" t="s">
        <v>57</v>
      </c>
      <c r="N48" s="578"/>
      <c r="O48" s="578" t="s">
        <v>57</v>
      </c>
      <c r="P48" s="578"/>
      <c r="Q48" s="578" t="s">
        <v>57</v>
      </c>
      <c r="R48" s="578"/>
      <c r="S48" s="578" t="s">
        <v>57</v>
      </c>
      <c r="T48" s="578"/>
      <c r="U48" s="578" t="s">
        <v>57</v>
      </c>
      <c r="V48" s="578"/>
      <c r="W48" s="578" t="s">
        <v>57</v>
      </c>
      <c r="X48" s="578"/>
      <c r="Y48" s="578" t="s">
        <v>57</v>
      </c>
      <c r="Z48" s="578"/>
      <c r="AA48" s="578" t="s">
        <v>57</v>
      </c>
      <c r="AB48" s="602"/>
    </row>
    <row r="49" spans="1:28" ht="16">
      <c r="A49" s="612"/>
      <c r="B49" s="613"/>
      <c r="C49" s="85">
        <v>0</v>
      </c>
      <c r="D49" s="404" t="s">
        <v>232</v>
      </c>
      <c r="E49" s="598" t="s">
        <v>57</v>
      </c>
      <c r="F49" s="578"/>
      <c r="G49" s="578" t="s">
        <v>57</v>
      </c>
      <c r="H49" s="578"/>
      <c r="I49" s="578" t="s">
        <v>57</v>
      </c>
      <c r="J49" s="578"/>
      <c r="K49" s="578" t="s">
        <v>57</v>
      </c>
      <c r="L49" s="578"/>
      <c r="M49" s="578" t="s">
        <v>57</v>
      </c>
      <c r="N49" s="578"/>
      <c r="O49" s="578" t="s">
        <v>57</v>
      </c>
      <c r="P49" s="578"/>
      <c r="Q49" s="578" t="s">
        <v>57</v>
      </c>
      <c r="R49" s="578"/>
      <c r="S49" s="578" t="s">
        <v>57</v>
      </c>
      <c r="T49" s="578"/>
      <c r="U49" s="578" t="s">
        <v>57</v>
      </c>
      <c r="V49" s="578"/>
      <c r="W49" s="578" t="s">
        <v>57</v>
      </c>
      <c r="X49" s="578"/>
      <c r="Y49" s="578" t="s">
        <v>57</v>
      </c>
      <c r="Z49" s="578"/>
      <c r="AA49" s="578" t="s">
        <v>57</v>
      </c>
      <c r="AB49" s="602"/>
    </row>
    <row r="50" spans="1:28" ht="16">
      <c r="A50" s="612"/>
      <c r="B50" s="613"/>
      <c r="C50" s="85">
        <v>0</v>
      </c>
      <c r="D50" s="404" t="s">
        <v>233</v>
      </c>
      <c r="E50" s="598" t="s">
        <v>57</v>
      </c>
      <c r="F50" s="578"/>
      <c r="G50" s="578" t="s">
        <v>57</v>
      </c>
      <c r="H50" s="578"/>
      <c r="I50" s="578" t="s">
        <v>57</v>
      </c>
      <c r="J50" s="578"/>
      <c r="K50" s="578" t="s">
        <v>57</v>
      </c>
      <c r="L50" s="578"/>
      <c r="M50" s="578" t="s">
        <v>57</v>
      </c>
      <c r="N50" s="578"/>
      <c r="O50" s="578" t="s">
        <v>57</v>
      </c>
      <c r="P50" s="578"/>
      <c r="Q50" s="578" t="s">
        <v>57</v>
      </c>
      <c r="R50" s="578"/>
      <c r="S50" s="578" t="s">
        <v>57</v>
      </c>
      <c r="T50" s="578"/>
      <c r="U50" s="578" t="s">
        <v>57</v>
      </c>
      <c r="V50" s="578"/>
      <c r="W50" s="578" t="s">
        <v>57</v>
      </c>
      <c r="X50" s="578"/>
      <c r="Y50" s="578" t="s">
        <v>57</v>
      </c>
      <c r="Z50" s="578"/>
      <c r="AA50" s="578" t="s">
        <v>57</v>
      </c>
      <c r="AB50" s="602"/>
    </row>
    <row r="51" spans="1:28" ht="16">
      <c r="A51" s="612"/>
      <c r="B51" s="613"/>
      <c r="C51" s="85">
        <v>0</v>
      </c>
      <c r="D51" s="404" t="s">
        <v>234</v>
      </c>
      <c r="E51" s="598" t="s">
        <v>57</v>
      </c>
      <c r="F51" s="578"/>
      <c r="G51" s="578" t="s">
        <v>57</v>
      </c>
      <c r="H51" s="578"/>
      <c r="I51" s="578" t="s">
        <v>57</v>
      </c>
      <c r="J51" s="578"/>
      <c r="K51" s="578" t="s">
        <v>57</v>
      </c>
      <c r="L51" s="578"/>
      <c r="M51" s="578" t="s">
        <v>57</v>
      </c>
      <c r="N51" s="578"/>
      <c r="O51" s="578" t="s">
        <v>57</v>
      </c>
      <c r="P51" s="578"/>
      <c r="Q51" s="578" t="s">
        <v>57</v>
      </c>
      <c r="R51" s="578"/>
      <c r="S51" s="578" t="s">
        <v>57</v>
      </c>
      <c r="T51" s="578"/>
      <c r="U51" s="578" t="s">
        <v>57</v>
      </c>
      <c r="V51" s="578"/>
      <c r="W51" s="578" t="s">
        <v>57</v>
      </c>
      <c r="X51" s="578"/>
      <c r="Y51" s="578" t="s">
        <v>57</v>
      </c>
      <c r="Z51" s="578"/>
      <c r="AA51" s="578" t="s">
        <v>57</v>
      </c>
      <c r="AB51" s="602"/>
    </row>
    <row r="52" spans="1:28" ht="17" customHeight="1">
      <c r="A52" s="612"/>
      <c r="B52" s="613"/>
      <c r="C52" s="85">
        <v>0</v>
      </c>
      <c r="D52" s="404" t="s">
        <v>235</v>
      </c>
      <c r="E52" s="598" t="s">
        <v>57</v>
      </c>
      <c r="F52" s="578"/>
      <c r="G52" s="578" t="s">
        <v>57</v>
      </c>
      <c r="H52" s="578"/>
      <c r="I52" s="578" t="s">
        <v>57</v>
      </c>
      <c r="J52" s="578"/>
      <c r="K52" s="578" t="s">
        <v>57</v>
      </c>
      <c r="L52" s="578"/>
      <c r="M52" s="578" t="s">
        <v>57</v>
      </c>
      <c r="N52" s="578"/>
      <c r="O52" s="578" t="s">
        <v>57</v>
      </c>
      <c r="P52" s="578"/>
      <c r="Q52" s="578" t="s">
        <v>57</v>
      </c>
      <c r="R52" s="578"/>
      <c r="S52" s="578" t="s">
        <v>57</v>
      </c>
      <c r="T52" s="578"/>
      <c r="U52" s="578" t="s">
        <v>57</v>
      </c>
      <c r="V52" s="578"/>
      <c r="W52" s="578" t="s">
        <v>57</v>
      </c>
      <c r="X52" s="578"/>
      <c r="Y52" s="578" t="s">
        <v>57</v>
      </c>
      <c r="Z52" s="578"/>
      <c r="AA52" s="578" t="s">
        <v>57</v>
      </c>
      <c r="AB52" s="602"/>
    </row>
    <row r="53" spans="1:28" ht="16">
      <c r="A53" s="612"/>
      <c r="B53" s="613"/>
      <c r="C53" s="85">
        <v>0</v>
      </c>
      <c r="D53" s="82" t="s">
        <v>236</v>
      </c>
      <c r="E53" s="598" t="s">
        <v>57</v>
      </c>
      <c r="F53" s="578"/>
      <c r="G53" s="578" t="s">
        <v>57</v>
      </c>
      <c r="H53" s="578"/>
      <c r="I53" s="578" t="s">
        <v>57</v>
      </c>
      <c r="J53" s="578"/>
      <c r="K53" s="578" t="s">
        <v>57</v>
      </c>
      <c r="L53" s="578"/>
      <c r="M53" s="578" t="s">
        <v>57</v>
      </c>
      <c r="N53" s="578"/>
      <c r="O53" s="578" t="s">
        <v>57</v>
      </c>
      <c r="P53" s="578"/>
      <c r="Q53" s="578" t="s">
        <v>57</v>
      </c>
      <c r="R53" s="578"/>
      <c r="S53" s="578" t="s">
        <v>57</v>
      </c>
      <c r="T53" s="578"/>
      <c r="U53" s="578" t="s">
        <v>57</v>
      </c>
      <c r="V53" s="578"/>
      <c r="W53" s="578" t="s">
        <v>57</v>
      </c>
      <c r="X53" s="578"/>
      <c r="Y53" s="578" t="s">
        <v>57</v>
      </c>
      <c r="Z53" s="578"/>
      <c r="AA53" s="578" t="s">
        <v>57</v>
      </c>
      <c r="AB53" s="602"/>
    </row>
    <row r="54" spans="1:28" ht="16">
      <c r="A54" s="612"/>
      <c r="B54" s="613"/>
      <c r="C54" s="85">
        <v>0</v>
      </c>
      <c r="D54" s="82" t="s">
        <v>237</v>
      </c>
      <c r="E54" s="598" t="s">
        <v>57</v>
      </c>
      <c r="F54" s="578"/>
      <c r="G54" s="578" t="s">
        <v>57</v>
      </c>
      <c r="H54" s="578"/>
      <c r="I54" s="578" t="s">
        <v>57</v>
      </c>
      <c r="J54" s="578"/>
      <c r="K54" s="578" t="s">
        <v>57</v>
      </c>
      <c r="L54" s="578"/>
      <c r="M54" s="578" t="s">
        <v>57</v>
      </c>
      <c r="N54" s="578"/>
      <c r="O54" s="578" t="s">
        <v>57</v>
      </c>
      <c r="P54" s="578"/>
      <c r="Q54" s="578" t="s">
        <v>57</v>
      </c>
      <c r="R54" s="578"/>
      <c r="S54" s="578" t="s">
        <v>57</v>
      </c>
      <c r="T54" s="578"/>
      <c r="U54" s="578" t="s">
        <v>57</v>
      </c>
      <c r="V54" s="578"/>
      <c r="W54" s="578" t="s">
        <v>57</v>
      </c>
      <c r="X54" s="578"/>
      <c r="Y54" s="578" t="s">
        <v>57</v>
      </c>
      <c r="Z54" s="578"/>
      <c r="AA54" s="578" t="s">
        <v>57</v>
      </c>
      <c r="AB54" s="602"/>
    </row>
    <row r="55" spans="1:28" ht="16">
      <c r="A55" s="612"/>
      <c r="B55" s="613"/>
      <c r="C55" s="85">
        <v>0</v>
      </c>
      <c r="D55" s="82" t="s">
        <v>238</v>
      </c>
      <c r="E55" s="598" t="s">
        <v>57</v>
      </c>
      <c r="F55" s="578"/>
      <c r="G55" s="578" t="s">
        <v>57</v>
      </c>
      <c r="H55" s="578"/>
      <c r="I55" s="578" t="s">
        <v>57</v>
      </c>
      <c r="J55" s="578"/>
      <c r="K55" s="578" t="s">
        <v>57</v>
      </c>
      <c r="L55" s="578"/>
      <c r="M55" s="578" t="s">
        <v>57</v>
      </c>
      <c r="N55" s="578"/>
      <c r="O55" s="578" t="s">
        <v>57</v>
      </c>
      <c r="P55" s="578"/>
      <c r="Q55" s="578" t="s">
        <v>57</v>
      </c>
      <c r="R55" s="578"/>
      <c r="S55" s="578" t="s">
        <v>57</v>
      </c>
      <c r="T55" s="578"/>
      <c r="U55" s="578" t="s">
        <v>57</v>
      </c>
      <c r="V55" s="578"/>
      <c r="W55" s="578" t="s">
        <v>57</v>
      </c>
      <c r="X55" s="578"/>
      <c r="Y55" s="578" t="s">
        <v>57</v>
      </c>
      <c r="Z55" s="578"/>
      <c r="AA55" s="578" t="s">
        <v>57</v>
      </c>
      <c r="AB55" s="602"/>
    </row>
    <row r="56" spans="1:28" ht="17" thickBot="1">
      <c r="A56" s="612"/>
      <c r="B56" s="613"/>
      <c r="C56" s="85">
        <v>0</v>
      </c>
      <c r="D56" s="411" t="s">
        <v>239</v>
      </c>
      <c r="E56" s="617" t="s">
        <v>57</v>
      </c>
      <c r="F56" s="618"/>
      <c r="G56" s="618" t="s">
        <v>57</v>
      </c>
      <c r="H56" s="618"/>
      <c r="I56" s="618" t="s">
        <v>57</v>
      </c>
      <c r="J56" s="618"/>
      <c r="K56" s="618" t="s">
        <v>57</v>
      </c>
      <c r="L56" s="618"/>
      <c r="M56" s="618" t="s">
        <v>57</v>
      </c>
      <c r="N56" s="618"/>
      <c r="O56" s="618" t="s">
        <v>57</v>
      </c>
      <c r="P56" s="618"/>
      <c r="Q56" s="618" t="s">
        <v>57</v>
      </c>
      <c r="R56" s="618"/>
      <c r="S56" s="618" t="s">
        <v>57</v>
      </c>
      <c r="T56" s="618"/>
      <c r="U56" s="618" t="s">
        <v>57</v>
      </c>
      <c r="V56" s="618"/>
      <c r="W56" s="618" t="s">
        <v>57</v>
      </c>
      <c r="X56" s="618"/>
      <c r="Y56" s="618" t="s">
        <v>57</v>
      </c>
      <c r="Z56" s="618"/>
      <c r="AA56" s="618" t="s">
        <v>57</v>
      </c>
      <c r="AB56" s="619"/>
    </row>
    <row r="57" spans="1:28" ht="16">
      <c r="A57" s="585" t="s">
        <v>58</v>
      </c>
      <c r="B57" s="586"/>
      <c r="C57" s="402">
        <f>SUM($C$31:$C$56)</f>
        <v>4</v>
      </c>
      <c r="D57" s="405" t="s">
        <v>130</v>
      </c>
      <c r="E57" s="599" t="s">
        <v>57</v>
      </c>
      <c r="F57" s="600"/>
      <c r="G57" s="600" t="s">
        <v>57</v>
      </c>
      <c r="H57" s="600"/>
      <c r="I57" s="600" t="s">
        <v>57</v>
      </c>
      <c r="J57" s="600"/>
      <c r="K57" s="615" t="s">
        <v>57</v>
      </c>
      <c r="L57" s="615"/>
      <c r="M57" s="615" t="s">
        <v>57</v>
      </c>
      <c r="N57" s="615"/>
      <c r="O57" s="615" t="s">
        <v>57</v>
      </c>
      <c r="P57" s="615"/>
      <c r="Q57" s="600" t="s">
        <v>57</v>
      </c>
      <c r="R57" s="600"/>
      <c r="S57" s="615" t="s">
        <v>57</v>
      </c>
      <c r="T57" s="615"/>
      <c r="U57" s="615" t="s">
        <v>57</v>
      </c>
      <c r="V57" s="615"/>
      <c r="W57" s="600" t="s">
        <v>57</v>
      </c>
      <c r="X57" s="600"/>
      <c r="Y57" s="615" t="s">
        <v>57</v>
      </c>
      <c r="Z57" s="615"/>
      <c r="AA57" s="600" t="s">
        <v>57</v>
      </c>
      <c r="AB57" s="600"/>
    </row>
    <row r="58" spans="1:28" ht="16">
      <c r="A58" s="587"/>
      <c r="B58" s="588"/>
      <c r="C58" s="85">
        <f>SUM($C$31:$C$56)</f>
        <v>4</v>
      </c>
      <c r="D58" s="82" t="s">
        <v>255</v>
      </c>
      <c r="E58" s="614" t="s">
        <v>57</v>
      </c>
      <c r="F58" s="578"/>
      <c r="G58" s="578" t="s">
        <v>57</v>
      </c>
      <c r="H58" s="578"/>
      <c r="I58" s="578" t="s">
        <v>57</v>
      </c>
      <c r="J58" s="578"/>
      <c r="K58" s="603" t="s">
        <v>57</v>
      </c>
      <c r="L58" s="603"/>
      <c r="M58" s="603" t="s">
        <v>57</v>
      </c>
      <c r="N58" s="603"/>
      <c r="O58" s="603" t="s">
        <v>57</v>
      </c>
      <c r="P58" s="603"/>
      <c r="Q58" s="578" t="s">
        <v>57</v>
      </c>
      <c r="R58" s="578"/>
      <c r="S58" s="603" t="s">
        <v>57</v>
      </c>
      <c r="T58" s="603"/>
      <c r="U58" s="603" t="s">
        <v>57</v>
      </c>
      <c r="V58" s="603"/>
      <c r="W58" s="578" t="s">
        <v>57</v>
      </c>
      <c r="X58" s="578"/>
      <c r="Y58" s="603" t="s">
        <v>57</v>
      </c>
      <c r="Z58" s="603"/>
      <c r="AA58" s="578" t="s">
        <v>57</v>
      </c>
      <c r="AB58" s="578"/>
    </row>
    <row r="59" spans="1:28" ht="16">
      <c r="A59" s="587"/>
      <c r="B59" s="588"/>
      <c r="C59" s="85">
        <f t="shared" ref="C59:C61" si="37">SUM($C$31:$C$56)</f>
        <v>4</v>
      </c>
      <c r="D59" s="82" t="s">
        <v>246</v>
      </c>
      <c r="E59" s="614" t="s">
        <v>57</v>
      </c>
      <c r="F59" s="578"/>
      <c r="G59" s="578" t="s">
        <v>57</v>
      </c>
      <c r="H59" s="578"/>
      <c r="I59" s="578" t="s">
        <v>57</v>
      </c>
      <c r="J59" s="578"/>
      <c r="K59" s="603" t="s">
        <v>57</v>
      </c>
      <c r="L59" s="603"/>
      <c r="M59" s="603" t="s">
        <v>57</v>
      </c>
      <c r="N59" s="603"/>
      <c r="O59" s="603" t="s">
        <v>57</v>
      </c>
      <c r="P59" s="603"/>
      <c r="Q59" s="578" t="s">
        <v>57</v>
      </c>
      <c r="R59" s="578"/>
      <c r="S59" s="603" t="s">
        <v>57</v>
      </c>
      <c r="T59" s="603"/>
      <c r="U59" s="603" t="s">
        <v>57</v>
      </c>
      <c r="V59" s="603"/>
      <c r="W59" s="578" t="s">
        <v>57</v>
      </c>
      <c r="X59" s="578"/>
      <c r="Y59" s="603" t="s">
        <v>57</v>
      </c>
      <c r="Z59" s="603"/>
      <c r="AA59" s="578" t="s">
        <v>57</v>
      </c>
      <c r="AB59" s="578"/>
    </row>
    <row r="60" spans="1:28" ht="16">
      <c r="A60" s="587"/>
      <c r="B60" s="588"/>
      <c r="C60" s="85">
        <f t="shared" si="37"/>
        <v>4</v>
      </c>
      <c r="D60" s="82" t="s">
        <v>247</v>
      </c>
      <c r="E60" s="614" t="s">
        <v>57</v>
      </c>
      <c r="F60" s="578"/>
      <c r="G60" s="578" t="s">
        <v>57</v>
      </c>
      <c r="H60" s="578"/>
      <c r="I60" s="578" t="s">
        <v>57</v>
      </c>
      <c r="J60" s="578"/>
      <c r="K60" s="603" t="s">
        <v>57</v>
      </c>
      <c r="L60" s="603"/>
      <c r="M60" s="603" t="s">
        <v>57</v>
      </c>
      <c r="N60" s="603"/>
      <c r="O60" s="603" t="s">
        <v>57</v>
      </c>
      <c r="P60" s="603"/>
      <c r="Q60" s="578" t="s">
        <v>57</v>
      </c>
      <c r="R60" s="578"/>
      <c r="S60" s="603" t="s">
        <v>57</v>
      </c>
      <c r="T60" s="603"/>
      <c r="U60" s="603" t="s">
        <v>57</v>
      </c>
      <c r="V60" s="603"/>
      <c r="W60" s="578" t="s">
        <v>57</v>
      </c>
      <c r="X60" s="578"/>
      <c r="Y60" s="603" t="s">
        <v>57</v>
      </c>
      <c r="Z60" s="603"/>
      <c r="AA60" s="578" t="s">
        <v>57</v>
      </c>
      <c r="AB60" s="578"/>
    </row>
    <row r="61" spans="1:28" ht="17" thickBot="1">
      <c r="A61" s="587"/>
      <c r="B61" s="588"/>
      <c r="C61" s="85">
        <f t="shared" si="37"/>
        <v>4</v>
      </c>
      <c r="D61" s="82" t="s">
        <v>249</v>
      </c>
      <c r="E61" s="616" t="s">
        <v>57</v>
      </c>
      <c r="F61" s="603"/>
      <c r="G61" s="603" t="s">
        <v>57</v>
      </c>
      <c r="H61" s="603"/>
      <c r="I61" s="603" t="s">
        <v>57</v>
      </c>
      <c r="J61" s="603"/>
      <c r="K61" s="603" t="s">
        <v>57</v>
      </c>
      <c r="L61" s="603"/>
      <c r="M61" s="603" t="s">
        <v>57</v>
      </c>
      <c r="N61" s="603"/>
      <c r="O61" s="603" t="s">
        <v>57</v>
      </c>
      <c r="P61" s="603"/>
      <c r="Q61" s="603" t="s">
        <v>57</v>
      </c>
      <c r="R61" s="603"/>
      <c r="S61" s="603" t="s">
        <v>57</v>
      </c>
      <c r="T61" s="603"/>
      <c r="U61" s="603" t="s">
        <v>57</v>
      </c>
      <c r="V61" s="603"/>
      <c r="W61" s="578" t="s">
        <v>57</v>
      </c>
      <c r="X61" s="578"/>
      <c r="Y61" s="603" t="s">
        <v>57</v>
      </c>
      <c r="Z61" s="603"/>
      <c r="AA61" s="603" t="s">
        <v>57</v>
      </c>
      <c r="AB61" s="603"/>
    </row>
    <row r="62" spans="1:28">
      <c r="A62" s="585" t="s">
        <v>59</v>
      </c>
      <c r="B62" s="586"/>
      <c r="C62" s="402">
        <v>1</v>
      </c>
      <c r="D62" s="406" t="s">
        <v>248</v>
      </c>
      <c r="E62" s="591" t="s">
        <v>57</v>
      </c>
      <c r="F62" s="579"/>
      <c r="G62" s="579" t="s">
        <v>57</v>
      </c>
      <c r="H62" s="579"/>
      <c r="I62" s="579" t="s">
        <v>57</v>
      </c>
      <c r="J62" s="579"/>
      <c r="K62" s="579" t="s">
        <v>57</v>
      </c>
      <c r="L62" s="579"/>
      <c r="M62" s="579" t="s">
        <v>57</v>
      </c>
      <c r="N62" s="579"/>
      <c r="O62" s="579" t="s">
        <v>57</v>
      </c>
      <c r="P62" s="579"/>
      <c r="Q62" s="579" t="s">
        <v>57</v>
      </c>
      <c r="R62" s="579"/>
      <c r="S62" s="579" t="s">
        <v>57</v>
      </c>
      <c r="T62" s="579"/>
      <c r="U62" s="579" t="s">
        <v>57</v>
      </c>
      <c r="V62" s="579"/>
      <c r="W62" s="579" t="s">
        <v>57</v>
      </c>
      <c r="X62" s="579"/>
      <c r="Y62" s="579" t="s">
        <v>57</v>
      </c>
      <c r="Z62" s="579"/>
      <c r="AA62" s="579" t="s">
        <v>57</v>
      </c>
      <c r="AB62" s="601"/>
    </row>
    <row r="63" spans="1:28" ht="16" thickBot="1">
      <c r="A63" s="589"/>
      <c r="B63" s="590"/>
      <c r="C63" s="407">
        <v>1</v>
      </c>
      <c r="D63" s="408" t="s">
        <v>250</v>
      </c>
      <c r="E63" s="617" t="s">
        <v>57</v>
      </c>
      <c r="F63" s="618"/>
      <c r="G63" s="618" t="s">
        <v>57</v>
      </c>
      <c r="H63" s="618"/>
      <c r="I63" s="618" t="s">
        <v>57</v>
      </c>
      <c r="J63" s="618"/>
      <c r="K63" s="618" t="s">
        <v>57</v>
      </c>
      <c r="L63" s="618"/>
      <c r="M63" s="618" t="s">
        <v>57</v>
      </c>
      <c r="N63" s="618"/>
      <c r="O63" s="618" t="s">
        <v>57</v>
      </c>
      <c r="P63" s="618"/>
      <c r="Q63" s="618" t="s">
        <v>57</v>
      </c>
      <c r="R63" s="618"/>
      <c r="S63" s="618" t="s">
        <v>57</v>
      </c>
      <c r="T63" s="618"/>
      <c r="U63" s="618" t="s">
        <v>57</v>
      </c>
      <c r="V63" s="618"/>
      <c r="W63" s="618" t="s">
        <v>57</v>
      </c>
      <c r="X63" s="618"/>
      <c r="Y63" s="618" t="s">
        <v>57</v>
      </c>
      <c r="Z63" s="618"/>
      <c r="AA63" s="618" t="s">
        <v>57</v>
      </c>
      <c r="AB63" s="619"/>
    </row>
    <row r="64" spans="1:28" ht="18.75" customHeight="1">
      <c r="A64" s="83"/>
      <c r="B64" s="83"/>
      <c r="D64" s="34"/>
      <c r="E64" s="84"/>
      <c r="F64" s="84"/>
      <c r="G64" s="84"/>
      <c r="H64" s="84"/>
      <c r="I64" s="84"/>
      <c r="J64" s="84"/>
      <c r="K64" s="84"/>
      <c r="L64" s="84"/>
      <c r="M64" s="84"/>
      <c r="N64" s="84"/>
      <c r="O64" s="84"/>
      <c r="P64" s="84"/>
      <c r="Q64" s="84"/>
      <c r="R64" s="84"/>
      <c r="S64" s="84"/>
      <c r="T64" s="84"/>
      <c r="U64" s="84"/>
      <c r="V64" s="84"/>
      <c r="W64" s="84"/>
      <c r="X64" s="84"/>
      <c r="Y64" s="84"/>
      <c r="Z64" s="84"/>
      <c r="AA64" s="84"/>
      <c r="AB64" s="84"/>
    </row>
    <row r="65" spans="1:43" ht="6.75" customHeight="1">
      <c r="A65" s="104"/>
      <c r="B65" s="104"/>
      <c r="C65" s="105"/>
      <c r="D65" s="106"/>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5"/>
      <c r="AD65" s="105"/>
      <c r="AE65" s="105"/>
      <c r="AF65" s="105"/>
      <c r="AG65" s="105"/>
      <c r="AH65" s="105"/>
      <c r="AI65" s="105"/>
      <c r="AJ65" s="105"/>
      <c r="AK65" s="105"/>
      <c r="AL65" s="105"/>
      <c r="AM65" s="105"/>
      <c r="AN65" s="105"/>
      <c r="AO65" s="105"/>
      <c r="AP65" s="105"/>
      <c r="AQ65" s="105"/>
    </row>
    <row r="66" spans="1:43" ht="16" thickBot="1">
      <c r="D66" s="409">
        <v>1107000000</v>
      </c>
    </row>
    <row r="67" spans="1:43" ht="27" thickBot="1">
      <c r="A67" s="594" t="s">
        <v>212</v>
      </c>
      <c r="B67" s="595"/>
      <c r="C67" s="595"/>
      <c r="D67" s="595"/>
      <c r="E67" s="595"/>
      <c r="F67" s="595"/>
      <c r="G67" s="595"/>
      <c r="H67" s="595"/>
      <c r="I67" s="595"/>
      <c r="J67" s="595"/>
      <c r="K67" s="595"/>
      <c r="L67" s="595"/>
      <c r="M67" s="595"/>
      <c r="N67" s="595"/>
      <c r="O67" s="595"/>
      <c r="P67" s="595"/>
      <c r="Q67" s="595"/>
      <c r="R67" s="595"/>
      <c r="S67" s="595"/>
      <c r="T67" s="595"/>
      <c r="U67" s="595"/>
      <c r="V67" s="595"/>
      <c r="W67" s="595"/>
      <c r="X67" s="595"/>
      <c r="Y67" s="595"/>
      <c r="Z67" s="595"/>
      <c r="AA67" s="595"/>
      <c r="AB67" s="596"/>
    </row>
    <row r="68" spans="1:43">
      <c r="A68" s="576" t="s">
        <v>29</v>
      </c>
      <c r="B68" s="580" t="s">
        <v>30</v>
      </c>
      <c r="C68" s="576" t="s">
        <v>53</v>
      </c>
      <c r="D68" s="577"/>
      <c r="E68" s="540" t="s">
        <v>38</v>
      </c>
      <c r="F68" s="541"/>
      <c r="G68" s="540" t="s">
        <v>39</v>
      </c>
      <c r="H68" s="541"/>
      <c r="I68" s="540" t="s">
        <v>40</v>
      </c>
      <c r="J68" s="541"/>
      <c r="K68" s="540" t="s">
        <v>41</v>
      </c>
      <c r="L68" s="541"/>
      <c r="M68" s="540" t="s">
        <v>42</v>
      </c>
      <c r="N68" s="541"/>
      <c r="O68" s="540" t="s">
        <v>43</v>
      </c>
      <c r="P68" s="541"/>
      <c r="Q68" s="540" t="s">
        <v>44</v>
      </c>
      <c r="R68" s="541"/>
      <c r="S68" s="540" t="s">
        <v>45</v>
      </c>
      <c r="T68" s="541"/>
      <c r="U68" s="540" t="s">
        <v>46</v>
      </c>
      <c r="V68" s="541"/>
      <c r="W68" s="540" t="s">
        <v>47</v>
      </c>
      <c r="X68" s="541"/>
      <c r="Y68" s="540" t="s">
        <v>48</v>
      </c>
      <c r="Z68" s="541"/>
      <c r="AA68" s="540" t="s">
        <v>49</v>
      </c>
      <c r="AB68" s="541"/>
    </row>
    <row r="69" spans="1:43">
      <c r="A69" s="565"/>
      <c r="B69" s="568"/>
      <c r="C69" s="571" t="s">
        <v>52</v>
      </c>
      <c r="D69" s="573" t="s">
        <v>37</v>
      </c>
      <c r="E69" s="542">
        <v>0.04</v>
      </c>
      <c r="F69" s="543"/>
      <c r="G69" s="542">
        <v>0.04</v>
      </c>
      <c r="H69" s="543"/>
      <c r="I69" s="542">
        <v>0.08</v>
      </c>
      <c r="J69" s="543"/>
      <c r="K69" s="542">
        <v>0.08</v>
      </c>
      <c r="L69" s="543"/>
      <c r="M69" s="542">
        <v>0.08</v>
      </c>
      <c r="N69" s="543"/>
      <c r="O69" s="542">
        <v>0.08</v>
      </c>
      <c r="P69" s="543"/>
      <c r="Q69" s="542">
        <v>0.1</v>
      </c>
      <c r="R69" s="543"/>
      <c r="S69" s="542">
        <v>0.1</v>
      </c>
      <c r="T69" s="543"/>
      <c r="U69" s="542">
        <v>0.1</v>
      </c>
      <c r="V69" s="543"/>
      <c r="W69" s="542">
        <v>0.12</v>
      </c>
      <c r="X69" s="543"/>
      <c r="Y69" s="542">
        <v>0.12</v>
      </c>
      <c r="Z69" s="543"/>
      <c r="AA69" s="542">
        <v>0.06</v>
      </c>
      <c r="AB69" s="543"/>
    </row>
    <row r="70" spans="1:43" ht="17" thickBot="1">
      <c r="A70" s="566"/>
      <c r="B70" s="569"/>
      <c r="C70" s="581"/>
      <c r="D70" s="582"/>
      <c r="E70" s="59" t="s">
        <v>52</v>
      </c>
      <c r="F70" s="60" t="s">
        <v>37</v>
      </c>
      <c r="G70" s="59" t="s">
        <v>52</v>
      </c>
      <c r="H70" s="60" t="s">
        <v>37</v>
      </c>
      <c r="I70" s="59" t="s">
        <v>52</v>
      </c>
      <c r="J70" s="60" t="s">
        <v>37</v>
      </c>
      <c r="K70" s="59" t="s">
        <v>52</v>
      </c>
      <c r="L70" s="60" t="s">
        <v>37</v>
      </c>
      <c r="M70" s="59" t="s">
        <v>52</v>
      </c>
      <c r="N70" s="60" t="s">
        <v>37</v>
      </c>
      <c r="O70" s="59" t="s">
        <v>52</v>
      </c>
      <c r="P70" s="60" t="s">
        <v>37</v>
      </c>
      <c r="Q70" s="59" t="s">
        <v>52</v>
      </c>
      <c r="R70" s="60" t="s">
        <v>37</v>
      </c>
      <c r="S70" s="51" t="s">
        <v>52</v>
      </c>
      <c r="T70" s="52" t="s">
        <v>37</v>
      </c>
      <c r="U70" s="51" t="s">
        <v>52</v>
      </c>
      <c r="V70" s="52" t="s">
        <v>37</v>
      </c>
      <c r="W70" s="51" t="s">
        <v>52</v>
      </c>
      <c r="X70" s="52" t="s">
        <v>37</v>
      </c>
      <c r="Y70" s="51" t="s">
        <v>52</v>
      </c>
      <c r="Z70" s="52" t="s">
        <v>37</v>
      </c>
      <c r="AA70" s="51" t="s">
        <v>52</v>
      </c>
      <c r="AB70" s="52" t="s">
        <v>37</v>
      </c>
    </row>
    <row r="71" spans="1:43" ht="16">
      <c r="A71" s="401" t="s">
        <v>204</v>
      </c>
      <c r="B71" s="45">
        <f>Hipótesis!C$59</f>
        <v>500</v>
      </c>
      <c r="C71" s="46">
        <v>91000</v>
      </c>
      <c r="D71" s="47">
        <f>B71*C71</f>
        <v>45500000</v>
      </c>
      <c r="E71" s="53">
        <f>$C$71*E69</f>
        <v>3640</v>
      </c>
      <c r="F71" s="47">
        <f>$D$71*E69</f>
        <v>1820000</v>
      </c>
      <c r="G71" s="53">
        <f t="shared" ref="G71" si="38">$C$71*G69</f>
        <v>3640</v>
      </c>
      <c r="H71" s="47">
        <f t="shared" ref="H71" si="39">$D$71*G69</f>
        <v>1820000</v>
      </c>
      <c r="I71" s="53">
        <f t="shared" ref="I71" si="40">$C$71*I69</f>
        <v>7280</v>
      </c>
      <c r="J71" s="47">
        <f t="shared" ref="J71" si="41">$D$71*I69</f>
        <v>3640000</v>
      </c>
      <c r="K71" s="53">
        <f t="shared" ref="K71" si="42">$C$71*K69</f>
        <v>7280</v>
      </c>
      <c r="L71" s="47">
        <f t="shared" ref="L71" si="43">$D$71*K69</f>
        <v>3640000</v>
      </c>
      <c r="M71" s="53">
        <f t="shared" ref="M71" si="44">$C$71*M69</f>
        <v>7280</v>
      </c>
      <c r="N71" s="47">
        <f t="shared" ref="N71" si="45">$D$71*M69</f>
        <v>3640000</v>
      </c>
      <c r="O71" s="53">
        <f t="shared" ref="O71" si="46">$C$71*O69</f>
        <v>7280</v>
      </c>
      <c r="P71" s="47">
        <f t="shared" ref="P71" si="47">$D$71*O69</f>
        <v>3640000</v>
      </c>
      <c r="Q71" s="53">
        <f t="shared" ref="Q71" si="48">$C$71*Q69</f>
        <v>9100</v>
      </c>
      <c r="R71" s="47">
        <f t="shared" ref="R71" si="49">$D$71*Q69</f>
        <v>4550000</v>
      </c>
      <c r="S71" s="53">
        <f t="shared" ref="S71" si="50">$C$71*S69</f>
        <v>9100</v>
      </c>
      <c r="T71" s="47">
        <f t="shared" ref="T71" si="51">$D$71*S69</f>
        <v>4550000</v>
      </c>
      <c r="U71" s="53">
        <f t="shared" ref="U71" si="52">$C$71*U69</f>
        <v>9100</v>
      </c>
      <c r="V71" s="47">
        <f t="shared" ref="V71" si="53">$D$71*U69</f>
        <v>4550000</v>
      </c>
      <c r="W71" s="53">
        <f t="shared" ref="W71" si="54">$C$71*W69</f>
        <v>10920</v>
      </c>
      <c r="X71" s="47">
        <f t="shared" ref="X71" si="55">$D$71*W69</f>
        <v>5460000</v>
      </c>
      <c r="Y71" s="53">
        <f t="shared" ref="Y71" si="56">$C$71*Y69</f>
        <v>10920</v>
      </c>
      <c r="Z71" s="47">
        <f t="shared" ref="Z71" si="57">$D$71*Y69</f>
        <v>5460000</v>
      </c>
      <c r="AA71" s="53">
        <f t="shared" ref="AA71" si="58">$C$71*AA69</f>
        <v>5460</v>
      </c>
      <c r="AB71" s="47">
        <f t="shared" ref="AB71" si="59">$D$71*AA69</f>
        <v>2730000</v>
      </c>
    </row>
    <row r="72" spans="1:43" ht="16">
      <c r="A72" s="421" t="s">
        <v>287</v>
      </c>
      <c r="B72" s="419">
        <f>Hipótesis!C$61</f>
        <v>12000</v>
      </c>
      <c r="C72" s="43">
        <v>7850</v>
      </c>
      <c r="D72" s="44">
        <f t="shared" ref="D72:D75" si="60">B72*C72</f>
        <v>94200000</v>
      </c>
      <c r="E72" s="54">
        <f>$C$72*E69</f>
        <v>314</v>
      </c>
      <c r="F72" s="44">
        <f>$D$72*E69</f>
        <v>3768000</v>
      </c>
      <c r="G72" s="54">
        <f t="shared" ref="G72" si="61">$C$72*G69</f>
        <v>314</v>
      </c>
      <c r="H72" s="44">
        <f t="shared" ref="H72" si="62">$D$72*G69</f>
        <v>3768000</v>
      </c>
      <c r="I72" s="54">
        <f t="shared" ref="I72" si="63">$C$72*I69</f>
        <v>628</v>
      </c>
      <c r="J72" s="44">
        <f t="shared" ref="J72" si="64">$D$72*I69</f>
        <v>7536000</v>
      </c>
      <c r="K72" s="54">
        <f t="shared" ref="K72" si="65">$C$72*K69</f>
        <v>628</v>
      </c>
      <c r="L72" s="44">
        <f t="shared" ref="L72" si="66">$D$72*K69</f>
        <v>7536000</v>
      </c>
      <c r="M72" s="54">
        <f t="shared" ref="M72" si="67">$C$72*M69</f>
        <v>628</v>
      </c>
      <c r="N72" s="44">
        <f t="shared" ref="N72" si="68">$D$72*M69</f>
        <v>7536000</v>
      </c>
      <c r="O72" s="54">
        <f t="shared" ref="O72" si="69">$C$72*O69</f>
        <v>628</v>
      </c>
      <c r="P72" s="44">
        <f t="shared" ref="P72" si="70">$D$72*O69</f>
        <v>7536000</v>
      </c>
      <c r="Q72" s="54">
        <f t="shared" ref="Q72" si="71">$C$72*Q69</f>
        <v>785</v>
      </c>
      <c r="R72" s="44">
        <f t="shared" ref="R72" si="72">$D$72*Q69</f>
        <v>9420000</v>
      </c>
      <c r="S72" s="54">
        <f t="shared" ref="S72" si="73">$C$72*S69</f>
        <v>785</v>
      </c>
      <c r="T72" s="44">
        <f t="shared" ref="T72" si="74">$D$72*S69</f>
        <v>9420000</v>
      </c>
      <c r="U72" s="54">
        <f t="shared" ref="U72" si="75">$C$72*U69</f>
        <v>785</v>
      </c>
      <c r="V72" s="44">
        <f t="shared" ref="V72" si="76">$D$72*U69</f>
        <v>9420000</v>
      </c>
      <c r="W72" s="54">
        <f t="shared" ref="W72" si="77">$C$72*W69</f>
        <v>942</v>
      </c>
      <c r="X72" s="44">
        <f t="shared" ref="X72" si="78">$D$72*W69</f>
        <v>11304000</v>
      </c>
      <c r="Y72" s="54">
        <f t="shared" ref="Y72" si="79">$C$72*Y69</f>
        <v>942</v>
      </c>
      <c r="Z72" s="44">
        <f t="shared" ref="Z72" si="80">$D$72*Y69</f>
        <v>11304000</v>
      </c>
      <c r="AA72" s="54">
        <f t="shared" ref="AA72" si="81">$C$72*AA69</f>
        <v>471</v>
      </c>
      <c r="AB72" s="44">
        <f t="shared" ref="AB72" si="82">$D$72*AA69</f>
        <v>5652000</v>
      </c>
    </row>
    <row r="73" spans="1:43" ht="16">
      <c r="A73" s="422" t="s">
        <v>288</v>
      </c>
      <c r="B73" s="42">
        <f>Hipótesis!C$60</f>
        <v>1200</v>
      </c>
      <c r="C73" s="43">
        <v>60950</v>
      </c>
      <c r="D73" s="44">
        <f t="shared" si="60"/>
        <v>73140000</v>
      </c>
      <c r="E73" s="54">
        <f>$C$73*E69</f>
        <v>2438</v>
      </c>
      <c r="F73" s="44">
        <f>$D$73*E69</f>
        <v>2925600</v>
      </c>
      <c r="G73" s="54">
        <f t="shared" ref="G73" si="83">$C$73*G69</f>
        <v>2438</v>
      </c>
      <c r="H73" s="44">
        <f t="shared" ref="H73" si="84">$D$73*G69</f>
        <v>2925600</v>
      </c>
      <c r="I73" s="54">
        <f t="shared" ref="I73" si="85">$C$73*I69</f>
        <v>4876</v>
      </c>
      <c r="J73" s="44">
        <f t="shared" ref="J73" si="86">$D$73*I69</f>
        <v>5851200</v>
      </c>
      <c r="K73" s="54">
        <f t="shared" ref="K73" si="87">$C$73*K69</f>
        <v>4876</v>
      </c>
      <c r="L73" s="44">
        <f t="shared" ref="L73" si="88">$D$73*K69</f>
        <v>5851200</v>
      </c>
      <c r="M73" s="54">
        <f t="shared" ref="M73" si="89">$C$73*M69</f>
        <v>4876</v>
      </c>
      <c r="N73" s="44">
        <f t="shared" ref="N73" si="90">$D$73*M69</f>
        <v>5851200</v>
      </c>
      <c r="O73" s="54">
        <f t="shared" ref="O73" si="91">$C$73*O69</f>
        <v>4876</v>
      </c>
      <c r="P73" s="44">
        <f t="shared" ref="P73" si="92">$D$73*O69</f>
        <v>5851200</v>
      </c>
      <c r="Q73" s="54">
        <f t="shared" ref="Q73" si="93">$C$73*Q69</f>
        <v>6095</v>
      </c>
      <c r="R73" s="44">
        <f t="shared" ref="R73" si="94">$D$73*Q69</f>
        <v>7314000</v>
      </c>
      <c r="S73" s="54">
        <f t="shared" ref="S73" si="95">$C$73*S69</f>
        <v>6095</v>
      </c>
      <c r="T73" s="44">
        <f t="shared" ref="T73" si="96">$D$73*S69</f>
        <v>7314000</v>
      </c>
      <c r="U73" s="54">
        <f t="shared" ref="U73" si="97">$C$73*U69</f>
        <v>6095</v>
      </c>
      <c r="V73" s="44">
        <f t="shared" ref="V73" si="98">$D$73*U69</f>
        <v>7314000</v>
      </c>
      <c r="W73" s="54">
        <f t="shared" ref="W73" si="99">$C$73*W69</f>
        <v>7314</v>
      </c>
      <c r="X73" s="44">
        <f t="shared" ref="X73" si="100">$D$73*W69</f>
        <v>8776800</v>
      </c>
      <c r="Y73" s="54">
        <f t="shared" ref="Y73" si="101">$C$73*Y69</f>
        <v>7314</v>
      </c>
      <c r="Z73" s="44">
        <f t="shared" ref="Z73" si="102">$D$73*Y69</f>
        <v>8776800</v>
      </c>
      <c r="AA73" s="54">
        <f t="shared" ref="AA73" si="103">$C$73*AA69</f>
        <v>3657</v>
      </c>
      <c r="AB73" s="44">
        <f t="shared" ref="AB73" si="104">$D$73*AA69</f>
        <v>4388400</v>
      </c>
    </row>
    <row r="74" spans="1:43" ht="16">
      <c r="A74" s="423" t="s">
        <v>286</v>
      </c>
      <c r="B74" s="420">
        <f>Hipótesis!C$63</f>
        <v>18000</v>
      </c>
      <c r="C74" s="43">
        <v>2100</v>
      </c>
      <c r="D74" s="44">
        <f t="shared" si="60"/>
        <v>37800000</v>
      </c>
      <c r="E74" s="54">
        <f>$C$74*E69</f>
        <v>84</v>
      </c>
      <c r="F74" s="44">
        <f>$D$74*E69</f>
        <v>1512000</v>
      </c>
      <c r="G74" s="54">
        <f t="shared" ref="G74" si="105">$C$74*G69</f>
        <v>84</v>
      </c>
      <c r="H74" s="44">
        <f t="shared" ref="H74" si="106">$D$74*G69</f>
        <v>1512000</v>
      </c>
      <c r="I74" s="54">
        <f t="shared" ref="I74" si="107">$C$74*I69</f>
        <v>168</v>
      </c>
      <c r="J74" s="44">
        <f t="shared" ref="J74" si="108">$D$74*I69</f>
        <v>3024000</v>
      </c>
      <c r="K74" s="54">
        <f t="shared" ref="K74" si="109">$C$74*K69</f>
        <v>168</v>
      </c>
      <c r="L74" s="44">
        <f t="shared" ref="L74" si="110">$D$74*K69</f>
        <v>3024000</v>
      </c>
      <c r="M74" s="54">
        <f t="shared" ref="M74" si="111">$C$74*M69</f>
        <v>168</v>
      </c>
      <c r="N74" s="44">
        <f t="shared" ref="N74" si="112">$D$74*M69</f>
        <v>3024000</v>
      </c>
      <c r="O74" s="54">
        <f t="shared" ref="O74" si="113">$C$74*O69</f>
        <v>168</v>
      </c>
      <c r="P74" s="44">
        <f t="shared" ref="P74" si="114">$D$74*O69</f>
        <v>3024000</v>
      </c>
      <c r="Q74" s="54">
        <f t="shared" ref="Q74" si="115">$C$74*Q69</f>
        <v>210</v>
      </c>
      <c r="R74" s="44">
        <f t="shared" ref="R74" si="116">$D$74*Q69</f>
        <v>3780000</v>
      </c>
      <c r="S74" s="54">
        <f t="shared" ref="S74" si="117">$C$74*S69</f>
        <v>210</v>
      </c>
      <c r="T74" s="44">
        <f t="shared" ref="T74" si="118">$D$74*S69</f>
        <v>3780000</v>
      </c>
      <c r="U74" s="54">
        <f t="shared" ref="U74" si="119">$C$74*U69</f>
        <v>210</v>
      </c>
      <c r="V74" s="44">
        <f t="shared" ref="V74" si="120">$D$74*U69</f>
        <v>3780000</v>
      </c>
      <c r="W74" s="54">
        <f t="shared" ref="W74" si="121">$C$74*W69</f>
        <v>252</v>
      </c>
      <c r="X74" s="44">
        <f t="shared" ref="X74" si="122">$D$74*W69</f>
        <v>4536000</v>
      </c>
      <c r="Y74" s="54">
        <f t="shared" ref="Y74" si="123">$C$74*Y69</f>
        <v>252</v>
      </c>
      <c r="Z74" s="44">
        <f t="shared" ref="Z74" si="124">$D$74*Y69</f>
        <v>4536000</v>
      </c>
      <c r="AA74" s="54">
        <f t="shared" ref="AA74" si="125">$C$74*AA69</f>
        <v>126</v>
      </c>
      <c r="AB74" s="44">
        <f t="shared" ref="AB74" si="126">$D$74*AA69</f>
        <v>2268000</v>
      </c>
    </row>
    <row r="75" spans="1:43" ht="17" thickBot="1">
      <c r="A75" s="424" t="s">
        <v>289</v>
      </c>
      <c r="B75" s="48">
        <f>Hipótesis!C$62</f>
        <v>1800</v>
      </c>
      <c r="C75" s="49">
        <v>8000</v>
      </c>
      <c r="D75" s="50">
        <f t="shared" si="60"/>
        <v>14400000</v>
      </c>
      <c r="E75" s="55">
        <f>$C$75*E69</f>
        <v>320</v>
      </c>
      <c r="F75" s="50">
        <f>$D$75*E69</f>
        <v>576000</v>
      </c>
      <c r="G75" s="55">
        <f t="shared" ref="G75" si="127">$C$75*G69</f>
        <v>320</v>
      </c>
      <c r="H75" s="50">
        <f t="shared" ref="H75" si="128">$D$75*G69</f>
        <v>576000</v>
      </c>
      <c r="I75" s="55">
        <f t="shared" ref="I75" si="129">$C$75*I69</f>
        <v>640</v>
      </c>
      <c r="J75" s="50">
        <f t="shared" ref="J75" si="130">$D$75*I69</f>
        <v>1152000</v>
      </c>
      <c r="K75" s="55">
        <f t="shared" ref="K75" si="131">$C$75*K69</f>
        <v>640</v>
      </c>
      <c r="L75" s="50">
        <f t="shared" ref="L75" si="132">$D$75*K69</f>
        <v>1152000</v>
      </c>
      <c r="M75" s="55">
        <f t="shared" ref="M75" si="133">$C$75*M69</f>
        <v>640</v>
      </c>
      <c r="N75" s="50">
        <f t="shared" ref="N75" si="134">$D$75*M69</f>
        <v>1152000</v>
      </c>
      <c r="O75" s="55">
        <f t="shared" ref="O75" si="135">$C$75*O69</f>
        <v>640</v>
      </c>
      <c r="P75" s="50">
        <f t="shared" ref="P75" si="136">$D$75*O69</f>
        <v>1152000</v>
      </c>
      <c r="Q75" s="55">
        <f t="shared" ref="Q75" si="137">$C$75*Q69</f>
        <v>800</v>
      </c>
      <c r="R75" s="50">
        <f t="shared" ref="R75" si="138">$D$75*Q69</f>
        <v>1440000</v>
      </c>
      <c r="S75" s="55">
        <f t="shared" ref="S75" si="139">$C$75*S69</f>
        <v>800</v>
      </c>
      <c r="T75" s="50">
        <f t="shared" ref="T75" si="140">$D$75*S69</f>
        <v>1440000</v>
      </c>
      <c r="U75" s="55">
        <f t="shared" ref="U75" si="141">$C$75*U69</f>
        <v>800</v>
      </c>
      <c r="V75" s="50">
        <f t="shared" ref="V75" si="142">$D$75*U69</f>
        <v>1440000</v>
      </c>
      <c r="W75" s="55">
        <f t="shared" ref="W75" si="143">$C$75*W69</f>
        <v>960</v>
      </c>
      <c r="X75" s="50">
        <f t="shared" ref="X75" si="144">$D$75*W69</f>
        <v>1728000</v>
      </c>
      <c r="Y75" s="55">
        <f t="shared" ref="Y75" si="145">$C$75*Y69</f>
        <v>960</v>
      </c>
      <c r="Z75" s="50">
        <f t="shared" ref="Z75" si="146">$D$75*Y69</f>
        <v>1728000</v>
      </c>
      <c r="AA75" s="55">
        <f t="shared" ref="AA75" si="147">$C$75*AA69</f>
        <v>480</v>
      </c>
      <c r="AB75" s="50">
        <f t="shared" ref="AB75" si="148">$D$75*AA69</f>
        <v>864000</v>
      </c>
    </row>
    <row r="76" spans="1:43" ht="17" thickBot="1">
      <c r="A76" s="643" t="s">
        <v>66</v>
      </c>
      <c r="B76" s="644"/>
      <c r="C76" s="105"/>
      <c r="D76" s="109">
        <f>SUM(D71:D75)</f>
        <v>265040000</v>
      </c>
      <c r="E76" s="110"/>
      <c r="F76" s="111">
        <f>SUM(F71:F75)</f>
        <v>10601600</v>
      </c>
      <c r="G76" s="110"/>
      <c r="H76" s="111">
        <f>SUM(H71:H75)</f>
        <v>10601600</v>
      </c>
      <c r="I76" s="110"/>
      <c r="J76" s="111">
        <f>SUM(J71:J75)</f>
        <v>21203200</v>
      </c>
      <c r="K76" s="110"/>
      <c r="L76" s="111">
        <f>SUM(L71:L75)</f>
        <v>21203200</v>
      </c>
      <c r="M76" s="110"/>
      <c r="N76" s="111">
        <f>SUM(N71:N75)</f>
        <v>21203200</v>
      </c>
      <c r="O76" s="110"/>
      <c r="P76" s="111">
        <f>SUM(P71:P75)</f>
        <v>21203200</v>
      </c>
      <c r="Q76" s="110"/>
      <c r="R76" s="111">
        <f>SUM(R71:R75)</f>
        <v>26504000</v>
      </c>
      <c r="S76" s="110"/>
      <c r="T76" s="111">
        <f>SUM(T71:T75)</f>
        <v>26504000</v>
      </c>
      <c r="U76" s="110"/>
      <c r="V76" s="111">
        <f>SUM(V71:V75)</f>
        <v>26504000</v>
      </c>
      <c r="W76" s="110"/>
      <c r="X76" s="111">
        <f>SUM(X71:X75)</f>
        <v>31804800</v>
      </c>
      <c r="Y76" s="110"/>
      <c r="Z76" s="111">
        <f>SUM(Z71:Z75)</f>
        <v>31804800</v>
      </c>
      <c r="AA76" s="110"/>
      <c r="AB76" s="111">
        <f>SUM(AB71:AB75)</f>
        <v>15902400</v>
      </c>
    </row>
    <row r="77" spans="1:43" ht="16">
      <c r="A77" s="641" t="s">
        <v>209</v>
      </c>
      <c r="B77" s="642"/>
      <c r="C77" s="115">
        <f>SUM(C71:C75)</f>
        <v>169900</v>
      </c>
      <c r="D77" s="113"/>
      <c r="E77" s="115">
        <f t="shared" ref="E77" si="149">SUM(E71:E75)</f>
        <v>6796</v>
      </c>
      <c r="F77" s="113"/>
      <c r="G77" s="115">
        <f t="shared" ref="G77" si="150">SUM(G71:G75)</f>
        <v>6796</v>
      </c>
      <c r="H77" s="113"/>
      <c r="I77" s="115">
        <f t="shared" ref="I77" si="151">SUM(I71:I75)</f>
        <v>13592</v>
      </c>
      <c r="J77" s="113"/>
      <c r="K77" s="115">
        <f t="shared" ref="K77" si="152">SUM(K71:K75)</f>
        <v>13592</v>
      </c>
      <c r="L77" s="113"/>
      <c r="M77" s="115">
        <f t="shared" ref="M77" si="153">SUM(M71:M75)</f>
        <v>13592</v>
      </c>
      <c r="N77" s="113"/>
      <c r="O77" s="115">
        <f t="shared" ref="O77" si="154">SUM(O71:O75)</f>
        <v>13592</v>
      </c>
      <c r="P77" s="113"/>
      <c r="Q77" s="115">
        <f t="shared" ref="Q77" si="155">SUM(Q71:Q75)</f>
        <v>16990</v>
      </c>
      <c r="R77" s="113"/>
      <c r="S77" s="115">
        <f t="shared" ref="S77" si="156">SUM(S71:S75)</f>
        <v>16990</v>
      </c>
      <c r="T77" s="113"/>
      <c r="U77" s="115">
        <f t="shared" ref="U77" si="157">SUM(U71:U75)</f>
        <v>16990</v>
      </c>
      <c r="V77" s="113"/>
      <c r="W77" s="115">
        <f t="shared" ref="W77" si="158">SUM(W71:W75)</f>
        <v>20388</v>
      </c>
      <c r="X77" s="113"/>
      <c r="Y77" s="115">
        <f t="shared" ref="Y77" si="159">SUM(Y71:Y75)</f>
        <v>20388</v>
      </c>
      <c r="Z77" s="113"/>
      <c r="AA77" s="115">
        <f t="shared" ref="AA77" si="160">SUM(AA71:AA75)</f>
        <v>10194</v>
      </c>
      <c r="AB77" s="113"/>
    </row>
    <row r="78" spans="1:43" ht="16" thickBot="1">
      <c r="D78" s="34"/>
    </row>
    <row r="79" spans="1:43" ht="27" thickBot="1">
      <c r="A79" s="556" t="s">
        <v>241</v>
      </c>
      <c r="B79" s="557"/>
      <c r="C79" s="557"/>
      <c r="D79" s="557"/>
      <c r="E79" s="557"/>
      <c r="F79" s="557"/>
      <c r="G79" s="557"/>
      <c r="H79" s="557"/>
      <c r="I79" s="557"/>
      <c r="J79" s="557"/>
      <c r="K79" s="557"/>
      <c r="L79" s="557"/>
      <c r="M79" s="557"/>
      <c r="N79" s="557"/>
      <c r="O79" s="557"/>
      <c r="P79" s="557"/>
      <c r="Q79" s="557"/>
      <c r="R79" s="557"/>
      <c r="S79" s="557"/>
      <c r="T79" s="557"/>
      <c r="U79" s="557"/>
      <c r="V79" s="557"/>
      <c r="W79" s="557"/>
      <c r="X79" s="557"/>
      <c r="Y79" s="557"/>
      <c r="Z79" s="557"/>
      <c r="AA79" s="557"/>
      <c r="AB79" s="558"/>
    </row>
    <row r="80" spans="1:43" ht="107.25" customHeight="1" thickBot="1">
      <c r="A80" s="88" t="s">
        <v>61</v>
      </c>
      <c r="B80" s="544" t="s">
        <v>279</v>
      </c>
      <c r="C80" s="545"/>
      <c r="D80" s="545"/>
      <c r="E80" s="545"/>
      <c r="F80" s="545"/>
      <c r="G80" s="545"/>
      <c r="H80" s="545"/>
      <c r="I80" s="545"/>
      <c r="J80" s="545"/>
      <c r="K80" s="545"/>
      <c r="L80" s="545"/>
      <c r="M80" s="545"/>
      <c r="N80" s="545"/>
      <c r="O80" s="545"/>
      <c r="P80" s="545"/>
      <c r="Q80" s="545"/>
      <c r="R80" s="545"/>
      <c r="S80" s="545"/>
      <c r="T80" s="545"/>
      <c r="U80" s="545"/>
      <c r="V80" s="545"/>
      <c r="W80" s="545"/>
      <c r="X80" s="545"/>
      <c r="Y80" s="545"/>
      <c r="Z80" s="545"/>
      <c r="AA80" s="545"/>
      <c r="AB80" s="546"/>
    </row>
    <row r="81" spans="1:28" ht="22" thickBot="1">
      <c r="A81" s="559"/>
      <c r="B81" s="560"/>
      <c r="C81" s="592" t="s">
        <v>55</v>
      </c>
      <c r="D81" s="593"/>
      <c r="E81" s="561" t="s">
        <v>38</v>
      </c>
      <c r="F81" s="562"/>
      <c r="G81" s="563" t="s">
        <v>39</v>
      </c>
      <c r="H81" s="562"/>
      <c r="I81" s="563" t="s">
        <v>40</v>
      </c>
      <c r="J81" s="562"/>
      <c r="K81" s="563" t="s">
        <v>41</v>
      </c>
      <c r="L81" s="562"/>
      <c r="M81" s="563" t="s">
        <v>42</v>
      </c>
      <c r="N81" s="562"/>
      <c r="O81" s="563" t="s">
        <v>43</v>
      </c>
      <c r="P81" s="562"/>
      <c r="Q81" s="563" t="s">
        <v>44</v>
      </c>
      <c r="R81" s="562"/>
      <c r="S81" s="563" t="s">
        <v>45</v>
      </c>
      <c r="T81" s="562"/>
      <c r="U81" s="563" t="s">
        <v>46</v>
      </c>
      <c r="V81" s="562"/>
      <c r="W81" s="563" t="s">
        <v>47</v>
      </c>
      <c r="X81" s="562"/>
      <c r="Y81" s="563" t="s">
        <v>48</v>
      </c>
      <c r="Z81" s="562"/>
      <c r="AA81" s="563" t="s">
        <v>49</v>
      </c>
      <c r="AB81" s="562"/>
    </row>
    <row r="82" spans="1:28" ht="16">
      <c r="A82" s="608" t="s">
        <v>54</v>
      </c>
      <c r="B82" s="609"/>
      <c r="C82" s="402">
        <v>0</v>
      </c>
      <c r="D82" s="403" t="s">
        <v>214</v>
      </c>
      <c r="E82" s="622" t="s">
        <v>57</v>
      </c>
      <c r="F82" s="623"/>
      <c r="G82" s="624" t="s">
        <v>57</v>
      </c>
      <c r="H82" s="623"/>
      <c r="I82" s="624" t="s">
        <v>57</v>
      </c>
      <c r="J82" s="623"/>
      <c r="K82" s="624" t="s">
        <v>57</v>
      </c>
      <c r="L82" s="623"/>
      <c r="M82" s="624" t="s">
        <v>57</v>
      </c>
      <c r="N82" s="623"/>
      <c r="O82" s="624" t="s">
        <v>57</v>
      </c>
      <c r="P82" s="623"/>
      <c r="Q82" s="624" t="s">
        <v>57</v>
      </c>
      <c r="R82" s="623"/>
      <c r="S82" s="624" t="s">
        <v>57</v>
      </c>
      <c r="T82" s="623"/>
      <c r="U82" s="579" t="s">
        <v>57</v>
      </c>
      <c r="V82" s="579"/>
      <c r="W82" s="579" t="s">
        <v>57</v>
      </c>
      <c r="X82" s="579"/>
      <c r="Y82" s="579" t="s">
        <v>57</v>
      </c>
      <c r="Z82" s="579"/>
      <c r="AA82" s="579" t="s">
        <v>57</v>
      </c>
      <c r="AB82" s="601"/>
    </row>
    <row r="83" spans="1:28" ht="16">
      <c r="A83" s="610"/>
      <c r="B83" s="611"/>
      <c r="C83" s="85">
        <v>0</v>
      </c>
      <c r="D83" s="82" t="s">
        <v>215</v>
      </c>
      <c r="E83" s="614" t="s">
        <v>57</v>
      </c>
      <c r="F83" s="578"/>
      <c r="G83" s="578" t="s">
        <v>57</v>
      </c>
      <c r="H83" s="578"/>
      <c r="I83" s="578" t="s">
        <v>57</v>
      </c>
      <c r="J83" s="578"/>
      <c r="K83" s="578" t="s">
        <v>57</v>
      </c>
      <c r="L83" s="578"/>
      <c r="M83" s="578" t="s">
        <v>57</v>
      </c>
      <c r="N83" s="578"/>
      <c r="O83" s="578" t="s">
        <v>57</v>
      </c>
      <c r="P83" s="578"/>
      <c r="Q83" s="578" t="s">
        <v>57</v>
      </c>
      <c r="R83" s="578"/>
      <c r="S83" s="578" t="s">
        <v>57</v>
      </c>
      <c r="T83" s="578"/>
      <c r="U83" s="578" t="s">
        <v>57</v>
      </c>
      <c r="V83" s="578"/>
      <c r="W83" s="578" t="s">
        <v>57</v>
      </c>
      <c r="X83" s="578"/>
      <c r="Y83" s="578" t="s">
        <v>57</v>
      </c>
      <c r="Z83" s="578"/>
      <c r="AA83" s="578" t="s">
        <v>57</v>
      </c>
      <c r="AB83" s="602"/>
    </row>
    <row r="84" spans="1:28" ht="16">
      <c r="A84" s="610"/>
      <c r="B84" s="611"/>
      <c r="C84" s="85">
        <v>0</v>
      </c>
      <c r="D84" s="82" t="s">
        <v>216</v>
      </c>
      <c r="E84" s="614" t="s">
        <v>57</v>
      </c>
      <c r="F84" s="578"/>
      <c r="G84" s="578" t="s">
        <v>57</v>
      </c>
      <c r="H84" s="578"/>
      <c r="I84" s="578" t="s">
        <v>57</v>
      </c>
      <c r="J84" s="578"/>
      <c r="K84" s="578" t="s">
        <v>57</v>
      </c>
      <c r="L84" s="578"/>
      <c r="M84" s="578" t="s">
        <v>57</v>
      </c>
      <c r="N84" s="578"/>
      <c r="O84" s="578" t="s">
        <v>57</v>
      </c>
      <c r="P84" s="578"/>
      <c r="Q84" s="578" t="s">
        <v>57</v>
      </c>
      <c r="R84" s="578"/>
      <c r="S84" s="578" t="s">
        <v>57</v>
      </c>
      <c r="T84" s="578"/>
      <c r="U84" s="578" t="s">
        <v>57</v>
      </c>
      <c r="V84" s="578"/>
      <c r="W84" s="578" t="s">
        <v>57</v>
      </c>
      <c r="X84" s="578"/>
      <c r="Y84" s="578" t="s">
        <v>57</v>
      </c>
      <c r="Z84" s="578"/>
      <c r="AA84" s="578" t="s">
        <v>57</v>
      </c>
      <c r="AB84" s="602"/>
    </row>
    <row r="85" spans="1:28" ht="16">
      <c r="A85" s="610"/>
      <c r="B85" s="611"/>
      <c r="C85" s="85">
        <v>0</v>
      </c>
      <c r="D85" s="82" t="s">
        <v>217</v>
      </c>
      <c r="E85" s="614" t="s">
        <v>57</v>
      </c>
      <c r="F85" s="578"/>
      <c r="G85" s="578" t="s">
        <v>57</v>
      </c>
      <c r="H85" s="578"/>
      <c r="I85" s="578" t="s">
        <v>57</v>
      </c>
      <c r="J85" s="578"/>
      <c r="K85" s="578" t="s">
        <v>57</v>
      </c>
      <c r="L85" s="578"/>
      <c r="M85" s="578" t="s">
        <v>57</v>
      </c>
      <c r="N85" s="578"/>
      <c r="O85" s="578" t="s">
        <v>57</v>
      </c>
      <c r="P85" s="578"/>
      <c r="Q85" s="578" t="s">
        <v>57</v>
      </c>
      <c r="R85" s="578"/>
      <c r="S85" s="578" t="s">
        <v>57</v>
      </c>
      <c r="T85" s="578"/>
      <c r="U85" s="578" t="s">
        <v>57</v>
      </c>
      <c r="V85" s="578"/>
      <c r="W85" s="578" t="s">
        <v>57</v>
      </c>
      <c r="X85" s="578"/>
      <c r="Y85" s="578" t="s">
        <v>57</v>
      </c>
      <c r="Z85" s="578"/>
      <c r="AA85" s="578" t="s">
        <v>57</v>
      </c>
      <c r="AB85" s="602"/>
    </row>
    <row r="86" spans="1:28" ht="16">
      <c r="A86" s="610"/>
      <c r="B86" s="611"/>
      <c r="C86" s="85">
        <v>0</v>
      </c>
      <c r="D86" s="82" t="s">
        <v>218</v>
      </c>
      <c r="E86" s="614" t="s">
        <v>57</v>
      </c>
      <c r="F86" s="578"/>
      <c r="G86" s="578" t="s">
        <v>57</v>
      </c>
      <c r="H86" s="578"/>
      <c r="I86" s="578" t="s">
        <v>57</v>
      </c>
      <c r="J86" s="578"/>
      <c r="K86" s="578" t="s">
        <v>57</v>
      </c>
      <c r="L86" s="578"/>
      <c r="M86" s="578" t="s">
        <v>57</v>
      </c>
      <c r="N86" s="578"/>
      <c r="O86" s="578" t="s">
        <v>57</v>
      </c>
      <c r="P86" s="578"/>
      <c r="Q86" s="578" t="s">
        <v>57</v>
      </c>
      <c r="R86" s="578"/>
      <c r="S86" s="578" t="s">
        <v>57</v>
      </c>
      <c r="T86" s="578"/>
      <c r="U86" s="578" t="s">
        <v>57</v>
      </c>
      <c r="V86" s="578"/>
      <c r="W86" s="578" t="s">
        <v>57</v>
      </c>
      <c r="X86" s="578"/>
      <c r="Y86" s="578" t="s">
        <v>57</v>
      </c>
      <c r="Z86" s="578"/>
      <c r="AA86" s="578" t="s">
        <v>57</v>
      </c>
      <c r="AB86" s="602"/>
    </row>
    <row r="87" spans="1:28" ht="16">
      <c r="A87" s="610"/>
      <c r="B87" s="611"/>
      <c r="C87" s="85">
        <v>0</v>
      </c>
      <c r="D87" s="82" t="s">
        <v>219</v>
      </c>
      <c r="E87" s="614" t="s">
        <v>57</v>
      </c>
      <c r="F87" s="578"/>
      <c r="G87" s="578" t="s">
        <v>57</v>
      </c>
      <c r="H87" s="578"/>
      <c r="I87" s="578" t="s">
        <v>57</v>
      </c>
      <c r="J87" s="578"/>
      <c r="K87" s="578" t="s">
        <v>57</v>
      </c>
      <c r="L87" s="578"/>
      <c r="M87" s="578" t="s">
        <v>57</v>
      </c>
      <c r="N87" s="578"/>
      <c r="O87" s="578" t="s">
        <v>57</v>
      </c>
      <c r="P87" s="578"/>
      <c r="Q87" s="578" t="s">
        <v>57</v>
      </c>
      <c r="R87" s="578"/>
      <c r="S87" s="578" t="s">
        <v>57</v>
      </c>
      <c r="T87" s="578"/>
      <c r="U87" s="578" t="s">
        <v>57</v>
      </c>
      <c r="V87" s="578"/>
      <c r="W87" s="578" t="s">
        <v>57</v>
      </c>
      <c r="X87" s="578"/>
      <c r="Y87" s="578" t="s">
        <v>57</v>
      </c>
      <c r="Z87" s="578"/>
      <c r="AA87" s="578" t="s">
        <v>57</v>
      </c>
      <c r="AB87" s="602"/>
    </row>
    <row r="88" spans="1:28" ht="16">
      <c r="A88" s="610"/>
      <c r="B88" s="611"/>
      <c r="C88" s="85">
        <v>0</v>
      </c>
      <c r="D88" s="82" t="s">
        <v>220</v>
      </c>
      <c r="E88" s="614" t="s">
        <v>57</v>
      </c>
      <c r="F88" s="578"/>
      <c r="G88" s="578" t="s">
        <v>57</v>
      </c>
      <c r="H88" s="578"/>
      <c r="I88" s="578" t="s">
        <v>57</v>
      </c>
      <c r="J88" s="578"/>
      <c r="K88" s="578" t="s">
        <v>57</v>
      </c>
      <c r="L88" s="578"/>
      <c r="M88" s="578" t="s">
        <v>57</v>
      </c>
      <c r="N88" s="578"/>
      <c r="O88" s="578" t="s">
        <v>57</v>
      </c>
      <c r="P88" s="578"/>
      <c r="Q88" s="578" t="s">
        <v>57</v>
      </c>
      <c r="R88" s="578"/>
      <c r="S88" s="578" t="s">
        <v>57</v>
      </c>
      <c r="T88" s="578"/>
      <c r="U88" s="578" t="s">
        <v>57</v>
      </c>
      <c r="V88" s="578"/>
      <c r="W88" s="578" t="s">
        <v>57</v>
      </c>
      <c r="X88" s="578"/>
      <c r="Y88" s="578" t="s">
        <v>57</v>
      </c>
      <c r="Z88" s="578"/>
      <c r="AA88" s="578" t="s">
        <v>57</v>
      </c>
      <c r="AB88" s="602"/>
    </row>
    <row r="89" spans="1:28" ht="16">
      <c r="A89" s="610"/>
      <c r="B89" s="611"/>
      <c r="C89" s="85">
        <v>0</v>
      </c>
      <c r="D89" s="82" t="s">
        <v>221</v>
      </c>
      <c r="E89" s="614" t="s">
        <v>57</v>
      </c>
      <c r="F89" s="578"/>
      <c r="G89" s="578" t="s">
        <v>57</v>
      </c>
      <c r="H89" s="578"/>
      <c r="I89" s="578" t="s">
        <v>57</v>
      </c>
      <c r="J89" s="578"/>
      <c r="K89" s="578" t="s">
        <v>57</v>
      </c>
      <c r="L89" s="578"/>
      <c r="M89" s="578" t="s">
        <v>57</v>
      </c>
      <c r="N89" s="578"/>
      <c r="O89" s="578" t="s">
        <v>57</v>
      </c>
      <c r="P89" s="578"/>
      <c r="Q89" s="578" t="s">
        <v>57</v>
      </c>
      <c r="R89" s="578"/>
      <c r="S89" s="578" t="s">
        <v>57</v>
      </c>
      <c r="T89" s="578"/>
      <c r="U89" s="578" t="s">
        <v>57</v>
      </c>
      <c r="V89" s="578"/>
      <c r="W89" s="578" t="s">
        <v>57</v>
      </c>
      <c r="X89" s="578"/>
      <c r="Y89" s="578" t="s">
        <v>57</v>
      </c>
      <c r="Z89" s="578"/>
      <c r="AA89" s="578" t="s">
        <v>57</v>
      </c>
      <c r="AB89" s="578"/>
    </row>
    <row r="90" spans="1:28" ht="16">
      <c r="A90" s="610"/>
      <c r="B90" s="611"/>
      <c r="C90" s="85">
        <v>0</v>
      </c>
      <c r="D90" s="82" t="s">
        <v>222</v>
      </c>
      <c r="E90" s="625" t="s">
        <v>57</v>
      </c>
      <c r="F90" s="614"/>
      <c r="G90" s="578" t="s">
        <v>57</v>
      </c>
      <c r="H90" s="578"/>
      <c r="I90" s="578" t="s">
        <v>57</v>
      </c>
      <c r="J90" s="578"/>
      <c r="K90" s="578" t="s">
        <v>57</v>
      </c>
      <c r="L90" s="578"/>
      <c r="M90" s="578" t="s">
        <v>57</v>
      </c>
      <c r="N90" s="578"/>
      <c r="O90" s="578" t="s">
        <v>57</v>
      </c>
      <c r="P90" s="578"/>
      <c r="Q90" s="578" t="s">
        <v>57</v>
      </c>
      <c r="R90" s="578"/>
      <c r="S90" s="578" t="s">
        <v>57</v>
      </c>
      <c r="T90" s="578"/>
      <c r="U90" s="578" t="s">
        <v>57</v>
      </c>
      <c r="V90" s="578"/>
      <c r="W90" s="578" t="s">
        <v>57</v>
      </c>
      <c r="X90" s="578"/>
      <c r="Y90" s="578" t="s">
        <v>57</v>
      </c>
      <c r="Z90" s="578"/>
      <c r="AA90" s="578" t="s">
        <v>57</v>
      </c>
      <c r="AB90" s="602"/>
    </row>
    <row r="91" spans="1:28" ht="16">
      <c r="A91" s="610"/>
      <c r="B91" s="611"/>
      <c r="C91" s="85">
        <v>0</v>
      </c>
      <c r="D91" s="82" t="s">
        <v>223</v>
      </c>
      <c r="E91" s="625" t="s">
        <v>57</v>
      </c>
      <c r="F91" s="614"/>
      <c r="G91" s="578" t="s">
        <v>57</v>
      </c>
      <c r="H91" s="578"/>
      <c r="I91" s="578" t="s">
        <v>57</v>
      </c>
      <c r="J91" s="578"/>
      <c r="K91" s="578" t="s">
        <v>57</v>
      </c>
      <c r="L91" s="578"/>
      <c r="M91" s="578" t="s">
        <v>57</v>
      </c>
      <c r="N91" s="578"/>
      <c r="O91" s="578" t="s">
        <v>57</v>
      </c>
      <c r="P91" s="578"/>
      <c r="Q91" s="578" t="s">
        <v>57</v>
      </c>
      <c r="R91" s="578"/>
      <c r="S91" s="578" t="s">
        <v>57</v>
      </c>
      <c r="T91" s="578"/>
      <c r="U91" s="578" t="s">
        <v>57</v>
      </c>
      <c r="V91" s="578"/>
      <c r="W91" s="578" t="s">
        <v>57</v>
      </c>
      <c r="X91" s="578"/>
      <c r="Y91" s="578" t="s">
        <v>57</v>
      </c>
      <c r="Z91" s="578"/>
      <c r="AA91" s="578" t="s">
        <v>57</v>
      </c>
      <c r="AB91" s="602"/>
    </row>
    <row r="92" spans="1:28" ht="16">
      <c r="A92" s="610"/>
      <c r="B92" s="611"/>
      <c r="C92" s="85">
        <v>1</v>
      </c>
      <c r="D92" s="82" t="s">
        <v>224</v>
      </c>
      <c r="E92" s="626" t="s">
        <v>266</v>
      </c>
      <c r="F92" s="627"/>
      <c r="G92" s="578" t="s">
        <v>57</v>
      </c>
      <c r="H92" s="578"/>
      <c r="I92" s="578" t="s">
        <v>57</v>
      </c>
      <c r="J92" s="578"/>
      <c r="K92" s="578" t="s">
        <v>57</v>
      </c>
      <c r="L92" s="578"/>
      <c r="M92" s="578" t="s">
        <v>57</v>
      </c>
      <c r="N92" s="578"/>
      <c r="O92" s="578" t="s">
        <v>57</v>
      </c>
      <c r="P92" s="578"/>
      <c r="Q92" s="578" t="s">
        <v>57</v>
      </c>
      <c r="R92" s="578"/>
      <c r="S92" s="578" t="s">
        <v>57</v>
      </c>
      <c r="T92" s="578"/>
      <c r="U92" s="578" t="s">
        <v>57</v>
      </c>
      <c r="V92" s="578"/>
      <c r="W92" s="578" t="s">
        <v>57</v>
      </c>
      <c r="X92" s="578"/>
      <c r="Y92" s="578" t="s">
        <v>57</v>
      </c>
      <c r="Z92" s="578"/>
      <c r="AA92" s="578" t="s">
        <v>57</v>
      </c>
      <c r="AB92" s="602"/>
    </row>
    <row r="93" spans="1:28" ht="16">
      <c r="A93" s="610"/>
      <c r="B93" s="611"/>
      <c r="C93" s="85">
        <v>1</v>
      </c>
      <c r="D93" s="82" t="s">
        <v>225</v>
      </c>
      <c r="E93" s="626" t="s">
        <v>267</v>
      </c>
      <c r="F93" s="627"/>
      <c r="G93" s="578" t="s">
        <v>57</v>
      </c>
      <c r="H93" s="578"/>
      <c r="I93" s="578" t="s">
        <v>57</v>
      </c>
      <c r="J93" s="578"/>
      <c r="K93" s="578" t="s">
        <v>57</v>
      </c>
      <c r="L93" s="578"/>
      <c r="M93" s="578" t="s">
        <v>57</v>
      </c>
      <c r="N93" s="578"/>
      <c r="O93" s="578" t="s">
        <v>57</v>
      </c>
      <c r="P93" s="578"/>
      <c r="Q93" s="578" t="s">
        <v>57</v>
      </c>
      <c r="R93" s="578"/>
      <c r="S93" s="578" t="s">
        <v>57</v>
      </c>
      <c r="T93" s="578"/>
      <c r="U93" s="578" t="s">
        <v>57</v>
      </c>
      <c r="V93" s="578"/>
      <c r="W93" s="578" t="s">
        <v>57</v>
      </c>
      <c r="X93" s="578"/>
      <c r="Y93" s="578" t="s">
        <v>57</v>
      </c>
      <c r="Z93" s="578"/>
      <c r="AA93" s="578" t="s">
        <v>57</v>
      </c>
      <c r="AB93" s="602"/>
    </row>
    <row r="94" spans="1:28" ht="16">
      <c r="A94" s="610"/>
      <c r="B94" s="611"/>
      <c r="C94" s="85">
        <v>0</v>
      </c>
      <c r="D94" s="82" t="s">
        <v>226</v>
      </c>
      <c r="E94" s="625" t="s">
        <v>57</v>
      </c>
      <c r="F94" s="614"/>
      <c r="G94" s="578" t="s">
        <v>57</v>
      </c>
      <c r="H94" s="578"/>
      <c r="I94" s="578" t="s">
        <v>57</v>
      </c>
      <c r="J94" s="578"/>
      <c r="K94" s="578" t="s">
        <v>57</v>
      </c>
      <c r="L94" s="578"/>
      <c r="M94" s="578" t="s">
        <v>57</v>
      </c>
      <c r="N94" s="578"/>
      <c r="O94" s="578" t="s">
        <v>57</v>
      </c>
      <c r="P94" s="578"/>
      <c r="Q94" s="578" t="s">
        <v>57</v>
      </c>
      <c r="R94" s="578"/>
      <c r="S94" s="578" t="s">
        <v>57</v>
      </c>
      <c r="T94" s="578"/>
      <c r="U94" s="578" t="s">
        <v>57</v>
      </c>
      <c r="V94" s="578"/>
      <c r="W94" s="578" t="s">
        <v>57</v>
      </c>
      <c r="X94" s="578"/>
      <c r="Y94" s="578" t="s">
        <v>57</v>
      </c>
      <c r="Z94" s="578"/>
      <c r="AA94" s="578" t="s">
        <v>57</v>
      </c>
      <c r="AB94" s="602"/>
    </row>
    <row r="95" spans="1:28" ht="16">
      <c r="A95" s="610"/>
      <c r="B95" s="611"/>
      <c r="C95" s="85">
        <v>0</v>
      </c>
      <c r="D95" s="82" t="s">
        <v>227</v>
      </c>
      <c r="E95" s="625" t="s">
        <v>57</v>
      </c>
      <c r="F95" s="614"/>
      <c r="G95" s="578" t="s">
        <v>57</v>
      </c>
      <c r="H95" s="578"/>
      <c r="I95" s="578" t="s">
        <v>57</v>
      </c>
      <c r="J95" s="578"/>
      <c r="K95" s="578" t="s">
        <v>57</v>
      </c>
      <c r="L95" s="578"/>
      <c r="M95" s="578" t="s">
        <v>57</v>
      </c>
      <c r="N95" s="578"/>
      <c r="O95" s="578" t="s">
        <v>57</v>
      </c>
      <c r="P95" s="578"/>
      <c r="Q95" s="578" t="s">
        <v>57</v>
      </c>
      <c r="R95" s="578"/>
      <c r="S95" s="578" t="s">
        <v>57</v>
      </c>
      <c r="T95" s="578"/>
      <c r="U95" s="578" t="s">
        <v>57</v>
      </c>
      <c r="V95" s="578"/>
      <c r="W95" s="578" t="s">
        <v>57</v>
      </c>
      <c r="X95" s="578"/>
      <c r="Y95" s="578" t="s">
        <v>57</v>
      </c>
      <c r="Z95" s="578"/>
      <c r="AA95" s="578" t="s">
        <v>57</v>
      </c>
      <c r="AB95" s="602"/>
    </row>
    <row r="96" spans="1:28" ht="16">
      <c r="A96" s="610"/>
      <c r="B96" s="611"/>
      <c r="C96" s="85">
        <v>0</v>
      </c>
      <c r="D96" s="82" t="s">
        <v>228</v>
      </c>
      <c r="E96" s="625" t="s">
        <v>57</v>
      </c>
      <c r="F96" s="614"/>
      <c r="G96" s="578" t="s">
        <v>57</v>
      </c>
      <c r="H96" s="578"/>
      <c r="I96" s="578" t="s">
        <v>57</v>
      </c>
      <c r="J96" s="578"/>
      <c r="K96" s="578" t="s">
        <v>57</v>
      </c>
      <c r="L96" s="578"/>
      <c r="M96" s="578" t="s">
        <v>57</v>
      </c>
      <c r="N96" s="578"/>
      <c r="O96" s="578" t="s">
        <v>57</v>
      </c>
      <c r="P96" s="578"/>
      <c r="Q96" s="578" t="s">
        <v>57</v>
      </c>
      <c r="R96" s="578"/>
      <c r="S96" s="578" t="s">
        <v>57</v>
      </c>
      <c r="T96" s="578"/>
      <c r="U96" s="578" t="s">
        <v>57</v>
      </c>
      <c r="V96" s="578"/>
      <c r="W96" s="578" t="s">
        <v>57</v>
      </c>
      <c r="X96" s="578"/>
      <c r="Y96" s="578" t="s">
        <v>57</v>
      </c>
      <c r="Z96" s="578"/>
      <c r="AA96" s="578" t="s">
        <v>57</v>
      </c>
      <c r="AB96" s="602"/>
    </row>
    <row r="97" spans="1:28" ht="16">
      <c r="A97" s="610"/>
      <c r="B97" s="611"/>
      <c r="C97" s="85">
        <v>0</v>
      </c>
      <c r="D97" s="82" t="s">
        <v>229</v>
      </c>
      <c r="E97" s="625" t="s">
        <v>57</v>
      </c>
      <c r="F97" s="614"/>
      <c r="G97" s="578" t="s">
        <v>57</v>
      </c>
      <c r="H97" s="578"/>
      <c r="I97" s="578" t="s">
        <v>57</v>
      </c>
      <c r="J97" s="578"/>
      <c r="K97" s="578" t="s">
        <v>57</v>
      </c>
      <c r="L97" s="578"/>
      <c r="M97" s="578" t="s">
        <v>57</v>
      </c>
      <c r="N97" s="578"/>
      <c r="O97" s="578" t="s">
        <v>57</v>
      </c>
      <c r="P97" s="578"/>
      <c r="Q97" s="578" t="s">
        <v>57</v>
      </c>
      <c r="R97" s="578"/>
      <c r="S97" s="578" t="s">
        <v>57</v>
      </c>
      <c r="T97" s="578"/>
      <c r="U97" s="578" t="s">
        <v>57</v>
      </c>
      <c r="V97" s="578"/>
      <c r="W97" s="578" t="s">
        <v>57</v>
      </c>
      <c r="X97" s="578"/>
      <c r="Y97" s="578" t="s">
        <v>57</v>
      </c>
      <c r="Z97" s="578"/>
      <c r="AA97" s="578" t="s">
        <v>57</v>
      </c>
      <c r="AB97" s="602"/>
    </row>
    <row r="98" spans="1:28" ht="16">
      <c r="A98" s="610"/>
      <c r="B98" s="611"/>
      <c r="C98" s="85">
        <v>0</v>
      </c>
      <c r="D98" s="82" t="s">
        <v>230</v>
      </c>
      <c r="E98" s="625" t="s">
        <v>57</v>
      </c>
      <c r="F98" s="614"/>
      <c r="G98" s="578" t="s">
        <v>57</v>
      </c>
      <c r="H98" s="578"/>
      <c r="I98" s="578" t="s">
        <v>57</v>
      </c>
      <c r="J98" s="578"/>
      <c r="K98" s="578" t="s">
        <v>57</v>
      </c>
      <c r="L98" s="578"/>
      <c r="M98" s="578" t="s">
        <v>57</v>
      </c>
      <c r="N98" s="578"/>
      <c r="O98" s="578" t="s">
        <v>57</v>
      </c>
      <c r="P98" s="578"/>
      <c r="Q98" s="578" t="s">
        <v>57</v>
      </c>
      <c r="R98" s="578"/>
      <c r="S98" s="578" t="s">
        <v>57</v>
      </c>
      <c r="T98" s="578"/>
      <c r="U98" s="578" t="s">
        <v>57</v>
      </c>
      <c r="V98" s="578"/>
      <c r="W98" s="578" t="s">
        <v>57</v>
      </c>
      <c r="X98" s="578"/>
      <c r="Y98" s="578" t="s">
        <v>57</v>
      </c>
      <c r="Z98" s="578"/>
      <c r="AA98" s="578" t="s">
        <v>57</v>
      </c>
      <c r="AB98" s="602"/>
    </row>
    <row r="99" spans="1:28" ht="16">
      <c r="A99" s="610"/>
      <c r="B99" s="611"/>
      <c r="C99" s="85">
        <v>0</v>
      </c>
      <c r="D99" s="404" t="s">
        <v>231</v>
      </c>
      <c r="E99" s="625" t="s">
        <v>57</v>
      </c>
      <c r="F99" s="614"/>
      <c r="G99" s="578" t="s">
        <v>57</v>
      </c>
      <c r="H99" s="578"/>
      <c r="I99" s="578" t="s">
        <v>57</v>
      </c>
      <c r="J99" s="578"/>
      <c r="K99" s="578" t="s">
        <v>57</v>
      </c>
      <c r="L99" s="578"/>
      <c r="M99" s="578" t="s">
        <v>57</v>
      </c>
      <c r="N99" s="578"/>
      <c r="O99" s="578" t="s">
        <v>57</v>
      </c>
      <c r="P99" s="578"/>
      <c r="Q99" s="578" t="s">
        <v>57</v>
      </c>
      <c r="R99" s="578"/>
      <c r="S99" s="578" t="s">
        <v>57</v>
      </c>
      <c r="T99" s="578"/>
      <c r="U99" s="578" t="s">
        <v>57</v>
      </c>
      <c r="V99" s="578"/>
      <c r="W99" s="578" t="s">
        <v>57</v>
      </c>
      <c r="X99" s="578"/>
      <c r="Y99" s="578" t="s">
        <v>57</v>
      </c>
      <c r="Z99" s="578"/>
      <c r="AA99" s="578" t="s">
        <v>57</v>
      </c>
      <c r="AB99" s="602"/>
    </row>
    <row r="100" spans="1:28" ht="16">
      <c r="A100" s="610"/>
      <c r="B100" s="611"/>
      <c r="C100" s="85">
        <v>0</v>
      </c>
      <c r="D100" s="404" t="s">
        <v>232</v>
      </c>
      <c r="E100" s="625" t="s">
        <v>57</v>
      </c>
      <c r="F100" s="614"/>
      <c r="G100" s="578" t="s">
        <v>57</v>
      </c>
      <c r="H100" s="578"/>
      <c r="I100" s="578" t="s">
        <v>57</v>
      </c>
      <c r="J100" s="578"/>
      <c r="K100" s="578" t="s">
        <v>57</v>
      </c>
      <c r="L100" s="578"/>
      <c r="M100" s="578" t="s">
        <v>57</v>
      </c>
      <c r="N100" s="578"/>
      <c r="O100" s="578" t="s">
        <v>57</v>
      </c>
      <c r="P100" s="578"/>
      <c r="Q100" s="578" t="s">
        <v>57</v>
      </c>
      <c r="R100" s="578"/>
      <c r="S100" s="578" t="s">
        <v>57</v>
      </c>
      <c r="T100" s="578"/>
      <c r="U100" s="578" t="s">
        <v>57</v>
      </c>
      <c r="V100" s="578"/>
      <c r="W100" s="578" t="s">
        <v>57</v>
      </c>
      <c r="X100" s="578"/>
      <c r="Y100" s="578" t="s">
        <v>57</v>
      </c>
      <c r="Z100" s="578"/>
      <c r="AA100" s="578" t="s">
        <v>57</v>
      </c>
      <c r="AB100" s="602"/>
    </row>
    <row r="101" spans="1:28" ht="17" customHeight="1">
      <c r="A101" s="610"/>
      <c r="B101" s="611"/>
      <c r="C101" s="85">
        <v>0</v>
      </c>
      <c r="D101" s="404" t="s">
        <v>233</v>
      </c>
      <c r="E101" s="625" t="s">
        <v>57</v>
      </c>
      <c r="F101" s="614"/>
      <c r="G101" s="578" t="s">
        <v>57</v>
      </c>
      <c r="H101" s="578"/>
      <c r="I101" s="578" t="s">
        <v>57</v>
      </c>
      <c r="J101" s="578"/>
      <c r="K101" s="578" t="s">
        <v>57</v>
      </c>
      <c r="L101" s="578"/>
      <c r="M101" s="578" t="s">
        <v>57</v>
      </c>
      <c r="N101" s="578"/>
      <c r="O101" s="578" t="s">
        <v>57</v>
      </c>
      <c r="P101" s="578"/>
      <c r="Q101" s="578" t="s">
        <v>57</v>
      </c>
      <c r="R101" s="578"/>
      <c r="S101" s="578" t="s">
        <v>57</v>
      </c>
      <c r="T101" s="578"/>
      <c r="U101" s="578" t="s">
        <v>57</v>
      </c>
      <c r="V101" s="578"/>
      <c r="W101" s="578" t="s">
        <v>57</v>
      </c>
      <c r="X101" s="578"/>
      <c r="Y101" s="578" t="s">
        <v>57</v>
      </c>
      <c r="Z101" s="578"/>
      <c r="AA101" s="578" t="s">
        <v>57</v>
      </c>
      <c r="AB101" s="602"/>
    </row>
    <row r="102" spans="1:28" ht="16">
      <c r="A102" s="610"/>
      <c r="B102" s="611"/>
      <c r="C102" s="85">
        <v>1</v>
      </c>
      <c r="D102" s="404" t="s">
        <v>234</v>
      </c>
      <c r="E102" s="625" t="s">
        <v>57</v>
      </c>
      <c r="F102" s="614"/>
      <c r="G102" s="578" t="s">
        <v>57</v>
      </c>
      <c r="H102" s="578"/>
      <c r="I102" s="578" t="s">
        <v>57</v>
      </c>
      <c r="J102" s="578"/>
      <c r="K102" s="578" t="s">
        <v>57</v>
      </c>
      <c r="L102" s="578"/>
      <c r="M102" s="578" t="s">
        <v>57</v>
      </c>
      <c r="N102" s="578"/>
      <c r="O102" s="578" t="s">
        <v>57</v>
      </c>
      <c r="P102" s="578"/>
      <c r="Q102" s="651" t="s">
        <v>275</v>
      </c>
      <c r="R102" s="651"/>
      <c r="S102" s="578" t="s">
        <v>57</v>
      </c>
      <c r="T102" s="578"/>
      <c r="U102" s="578" t="s">
        <v>57</v>
      </c>
      <c r="V102" s="578"/>
      <c r="W102" s="578" t="s">
        <v>57</v>
      </c>
      <c r="X102" s="578"/>
      <c r="Y102" s="578" t="s">
        <v>57</v>
      </c>
      <c r="Z102" s="578"/>
      <c r="AA102" s="578" t="s">
        <v>57</v>
      </c>
      <c r="AB102" s="602"/>
    </row>
    <row r="103" spans="1:28" ht="16">
      <c r="A103" s="610"/>
      <c r="B103" s="611"/>
      <c r="C103" s="85">
        <v>0</v>
      </c>
      <c r="D103" s="404" t="s">
        <v>235</v>
      </c>
      <c r="E103" s="614" t="s">
        <v>57</v>
      </c>
      <c r="F103" s="578"/>
      <c r="G103" s="578" t="s">
        <v>57</v>
      </c>
      <c r="H103" s="578"/>
      <c r="I103" s="578" t="s">
        <v>57</v>
      </c>
      <c r="J103" s="578"/>
      <c r="K103" s="578" t="s">
        <v>57</v>
      </c>
      <c r="L103" s="578"/>
      <c r="M103" s="578" t="s">
        <v>57</v>
      </c>
      <c r="N103" s="578"/>
      <c r="O103" s="578" t="s">
        <v>57</v>
      </c>
      <c r="P103" s="578"/>
      <c r="Q103" s="578" t="s">
        <v>57</v>
      </c>
      <c r="R103" s="578"/>
      <c r="S103" s="578" t="s">
        <v>57</v>
      </c>
      <c r="T103" s="578"/>
      <c r="U103" s="578" t="s">
        <v>57</v>
      </c>
      <c r="V103" s="578"/>
      <c r="W103" s="578" t="s">
        <v>57</v>
      </c>
      <c r="X103" s="578"/>
      <c r="Y103" s="578" t="s">
        <v>57</v>
      </c>
      <c r="Z103" s="578"/>
      <c r="AA103" s="578" t="s">
        <v>57</v>
      </c>
      <c r="AB103" s="602"/>
    </row>
    <row r="104" spans="1:28" ht="16">
      <c r="A104" s="610"/>
      <c r="B104" s="611"/>
      <c r="C104" s="85">
        <v>0</v>
      </c>
      <c r="D104" s="82" t="s">
        <v>236</v>
      </c>
      <c r="E104" s="614" t="s">
        <v>57</v>
      </c>
      <c r="F104" s="578"/>
      <c r="G104" s="578" t="s">
        <v>57</v>
      </c>
      <c r="H104" s="578"/>
      <c r="I104" s="578" t="s">
        <v>57</v>
      </c>
      <c r="J104" s="578"/>
      <c r="K104" s="578" t="s">
        <v>57</v>
      </c>
      <c r="L104" s="578"/>
      <c r="M104" s="578" t="s">
        <v>57</v>
      </c>
      <c r="N104" s="578"/>
      <c r="O104" s="578" t="s">
        <v>57</v>
      </c>
      <c r="P104" s="578"/>
      <c r="Q104" s="578" t="s">
        <v>57</v>
      </c>
      <c r="R104" s="578"/>
      <c r="S104" s="578" t="s">
        <v>57</v>
      </c>
      <c r="T104" s="578"/>
      <c r="U104" s="578" t="s">
        <v>57</v>
      </c>
      <c r="V104" s="578"/>
      <c r="W104" s="578" t="s">
        <v>57</v>
      </c>
      <c r="X104" s="578"/>
      <c r="Y104" s="578" t="s">
        <v>57</v>
      </c>
      <c r="Z104" s="578"/>
      <c r="AA104" s="578" t="s">
        <v>57</v>
      </c>
      <c r="AB104" s="602"/>
    </row>
    <row r="105" spans="1:28" ht="16">
      <c r="A105" s="610"/>
      <c r="B105" s="611"/>
      <c r="C105" s="85">
        <v>0</v>
      </c>
      <c r="D105" s="82" t="s">
        <v>237</v>
      </c>
      <c r="E105" s="614" t="s">
        <v>57</v>
      </c>
      <c r="F105" s="578"/>
      <c r="G105" s="578" t="s">
        <v>57</v>
      </c>
      <c r="H105" s="578"/>
      <c r="I105" s="578" t="s">
        <v>57</v>
      </c>
      <c r="J105" s="578"/>
      <c r="K105" s="578" t="s">
        <v>57</v>
      </c>
      <c r="L105" s="578"/>
      <c r="M105" s="578" t="s">
        <v>57</v>
      </c>
      <c r="N105" s="578"/>
      <c r="O105" s="578" t="s">
        <v>57</v>
      </c>
      <c r="P105" s="578"/>
      <c r="Q105" s="578" t="s">
        <v>57</v>
      </c>
      <c r="R105" s="578"/>
      <c r="S105" s="578" t="s">
        <v>57</v>
      </c>
      <c r="T105" s="578"/>
      <c r="U105" s="578" t="s">
        <v>57</v>
      </c>
      <c r="V105" s="578"/>
      <c r="W105" s="578" t="s">
        <v>57</v>
      </c>
      <c r="X105" s="578"/>
      <c r="Y105" s="578" t="s">
        <v>57</v>
      </c>
      <c r="Z105" s="578"/>
      <c r="AA105" s="578" t="s">
        <v>57</v>
      </c>
      <c r="AB105" s="578"/>
    </row>
    <row r="106" spans="1:28" ht="16">
      <c r="A106" s="610"/>
      <c r="B106" s="611"/>
      <c r="C106" s="85">
        <v>0</v>
      </c>
      <c r="D106" s="82" t="s">
        <v>238</v>
      </c>
      <c r="E106" s="614" t="s">
        <v>57</v>
      </c>
      <c r="F106" s="578"/>
      <c r="G106" s="578" t="s">
        <v>57</v>
      </c>
      <c r="H106" s="578"/>
      <c r="I106" s="628" t="s">
        <v>57</v>
      </c>
      <c r="J106" s="614"/>
      <c r="K106" s="578" t="s">
        <v>57</v>
      </c>
      <c r="L106" s="578"/>
      <c r="M106" s="578" t="s">
        <v>57</v>
      </c>
      <c r="N106" s="578"/>
      <c r="O106" s="578" t="s">
        <v>57</v>
      </c>
      <c r="P106" s="578"/>
      <c r="Q106" s="578" t="s">
        <v>57</v>
      </c>
      <c r="R106" s="578"/>
      <c r="S106" s="578" t="s">
        <v>57</v>
      </c>
      <c r="T106" s="578"/>
      <c r="U106" s="578" t="s">
        <v>57</v>
      </c>
      <c r="V106" s="578"/>
      <c r="W106" s="578" t="s">
        <v>57</v>
      </c>
      <c r="X106" s="578"/>
      <c r="Y106" s="578" t="s">
        <v>57</v>
      </c>
      <c r="Z106" s="578"/>
      <c r="AA106" s="578" t="s">
        <v>57</v>
      </c>
      <c r="AB106" s="602"/>
    </row>
    <row r="107" spans="1:28" ht="17" thickBot="1">
      <c r="A107" s="620"/>
      <c r="B107" s="621"/>
      <c r="C107" s="85">
        <v>0</v>
      </c>
      <c r="D107" s="411" t="s">
        <v>239</v>
      </c>
      <c r="E107" s="632" t="s">
        <v>57</v>
      </c>
      <c r="F107" s="618"/>
      <c r="G107" s="618" t="s">
        <v>57</v>
      </c>
      <c r="H107" s="618"/>
      <c r="I107" s="633" t="s">
        <v>57</v>
      </c>
      <c r="J107" s="632"/>
      <c r="K107" s="618" t="s">
        <v>57</v>
      </c>
      <c r="L107" s="618"/>
      <c r="M107" s="618" t="s">
        <v>57</v>
      </c>
      <c r="N107" s="618"/>
      <c r="O107" s="618" t="s">
        <v>57</v>
      </c>
      <c r="P107" s="618"/>
      <c r="Q107" s="618" t="s">
        <v>57</v>
      </c>
      <c r="R107" s="618"/>
      <c r="S107" s="618" t="s">
        <v>57</v>
      </c>
      <c r="T107" s="618"/>
      <c r="U107" s="618" t="s">
        <v>57</v>
      </c>
      <c r="V107" s="618"/>
      <c r="W107" s="618" t="s">
        <v>57</v>
      </c>
      <c r="X107" s="618"/>
      <c r="Y107" s="618" t="s">
        <v>57</v>
      </c>
      <c r="Z107" s="618"/>
      <c r="AA107" s="618" t="s">
        <v>57</v>
      </c>
      <c r="AB107" s="619"/>
    </row>
    <row r="108" spans="1:28" ht="16">
      <c r="A108" s="585" t="s">
        <v>58</v>
      </c>
      <c r="B108" s="586"/>
      <c r="C108" s="402">
        <f>SUM($C$82:$C$107)</f>
        <v>3</v>
      </c>
      <c r="D108" s="405" t="s">
        <v>130</v>
      </c>
      <c r="E108" s="629" t="s">
        <v>268</v>
      </c>
      <c r="F108" s="630"/>
      <c r="G108" s="579" t="s">
        <v>57</v>
      </c>
      <c r="H108" s="579"/>
      <c r="I108" s="579" t="s">
        <v>57</v>
      </c>
      <c r="J108" s="579"/>
      <c r="K108" s="579" t="s">
        <v>57</v>
      </c>
      <c r="L108" s="579"/>
      <c r="M108" s="578" t="s">
        <v>57</v>
      </c>
      <c r="N108" s="578"/>
      <c r="O108" s="579" t="s">
        <v>57</v>
      </c>
      <c r="P108" s="579"/>
      <c r="Q108" s="629" t="s">
        <v>261</v>
      </c>
      <c r="R108" s="630"/>
      <c r="S108" s="579" t="s">
        <v>57</v>
      </c>
      <c r="T108" s="579"/>
      <c r="U108" s="579" t="s">
        <v>57</v>
      </c>
      <c r="V108" s="579"/>
      <c r="W108" s="579" t="s">
        <v>57</v>
      </c>
      <c r="X108" s="579"/>
      <c r="Y108" s="579" t="s">
        <v>57</v>
      </c>
      <c r="Z108" s="579"/>
      <c r="AA108" s="579" t="s">
        <v>57</v>
      </c>
      <c r="AB108" s="601"/>
    </row>
    <row r="109" spans="1:28" ht="16">
      <c r="A109" s="587"/>
      <c r="B109" s="588"/>
      <c r="C109" s="85">
        <f>SUM($C$82:$C$107)</f>
        <v>3</v>
      </c>
      <c r="D109" s="82" t="s">
        <v>255</v>
      </c>
      <c r="E109" s="631" t="s">
        <v>269</v>
      </c>
      <c r="F109" s="627"/>
      <c r="G109" s="578" t="s">
        <v>57</v>
      </c>
      <c r="H109" s="578"/>
      <c r="I109" s="578" t="s">
        <v>57</v>
      </c>
      <c r="J109" s="578"/>
      <c r="K109" s="578" t="s">
        <v>57</v>
      </c>
      <c r="L109" s="578"/>
      <c r="M109" s="578" t="s">
        <v>57</v>
      </c>
      <c r="N109" s="578"/>
      <c r="O109" s="578" t="s">
        <v>57</v>
      </c>
      <c r="P109" s="578"/>
      <c r="Q109" s="631" t="s">
        <v>262</v>
      </c>
      <c r="R109" s="627"/>
      <c r="S109" s="578" t="s">
        <v>57</v>
      </c>
      <c r="T109" s="578"/>
      <c r="U109" s="578" t="s">
        <v>57</v>
      </c>
      <c r="V109" s="578"/>
      <c r="W109" s="578" t="s">
        <v>57</v>
      </c>
      <c r="X109" s="578"/>
      <c r="Y109" s="578" t="s">
        <v>57</v>
      </c>
      <c r="Z109" s="578"/>
      <c r="AA109" s="578" t="s">
        <v>57</v>
      </c>
      <c r="AB109" s="578"/>
    </row>
    <row r="110" spans="1:28" ht="16">
      <c r="A110" s="587"/>
      <c r="B110" s="588"/>
      <c r="C110" s="85">
        <f t="shared" ref="C110:C112" si="161">SUM($C$82:$C$107)</f>
        <v>3</v>
      </c>
      <c r="D110" s="82" t="s">
        <v>246</v>
      </c>
      <c r="E110" s="631" t="s">
        <v>270</v>
      </c>
      <c r="F110" s="627"/>
      <c r="G110" s="578" t="s">
        <v>57</v>
      </c>
      <c r="H110" s="578"/>
      <c r="I110" s="578" t="s">
        <v>57</v>
      </c>
      <c r="J110" s="578"/>
      <c r="K110" s="578" t="s">
        <v>57</v>
      </c>
      <c r="L110" s="578"/>
      <c r="M110" s="578" t="s">
        <v>57</v>
      </c>
      <c r="N110" s="578"/>
      <c r="O110" s="578" t="s">
        <v>57</v>
      </c>
      <c r="P110" s="578"/>
      <c r="Q110" s="631" t="s">
        <v>263</v>
      </c>
      <c r="R110" s="627"/>
      <c r="S110" s="578" t="s">
        <v>57</v>
      </c>
      <c r="T110" s="578"/>
      <c r="U110" s="578" t="s">
        <v>57</v>
      </c>
      <c r="V110" s="578"/>
      <c r="W110" s="578" t="s">
        <v>57</v>
      </c>
      <c r="X110" s="578"/>
      <c r="Y110" s="578" t="s">
        <v>57</v>
      </c>
      <c r="Z110" s="578"/>
      <c r="AA110" s="578" t="s">
        <v>57</v>
      </c>
      <c r="AB110" s="602"/>
    </row>
    <row r="111" spans="1:28" ht="16">
      <c r="A111" s="587"/>
      <c r="B111" s="588"/>
      <c r="C111" s="85">
        <f t="shared" si="161"/>
        <v>3</v>
      </c>
      <c r="D111" s="82" t="s">
        <v>247</v>
      </c>
      <c r="E111" s="631" t="s">
        <v>271</v>
      </c>
      <c r="F111" s="627"/>
      <c r="G111" s="578" t="s">
        <v>57</v>
      </c>
      <c r="H111" s="578"/>
      <c r="I111" s="578" t="s">
        <v>57</v>
      </c>
      <c r="J111" s="578"/>
      <c r="K111" s="578" t="s">
        <v>57</v>
      </c>
      <c r="L111" s="578"/>
      <c r="M111" s="578" t="s">
        <v>57</v>
      </c>
      <c r="N111" s="578"/>
      <c r="O111" s="578" t="s">
        <v>57</v>
      </c>
      <c r="P111" s="578"/>
      <c r="Q111" s="631" t="s">
        <v>264</v>
      </c>
      <c r="R111" s="627"/>
      <c r="S111" s="578" t="s">
        <v>57</v>
      </c>
      <c r="T111" s="578"/>
      <c r="U111" s="578" t="s">
        <v>57</v>
      </c>
      <c r="V111" s="578"/>
      <c r="W111" s="578" t="s">
        <v>57</v>
      </c>
      <c r="X111" s="578"/>
      <c r="Y111" s="578" t="s">
        <v>57</v>
      </c>
      <c r="Z111" s="578"/>
      <c r="AA111" s="578" t="s">
        <v>57</v>
      </c>
      <c r="AB111" s="602"/>
    </row>
    <row r="112" spans="1:28" ht="17" thickBot="1">
      <c r="A112" s="587"/>
      <c r="B112" s="588"/>
      <c r="C112" s="85">
        <f t="shared" si="161"/>
        <v>3</v>
      </c>
      <c r="D112" s="82" t="s">
        <v>249</v>
      </c>
      <c r="E112" s="634" t="s">
        <v>272</v>
      </c>
      <c r="F112" s="635"/>
      <c r="G112" s="578" t="s">
        <v>57</v>
      </c>
      <c r="H112" s="578"/>
      <c r="I112" s="578" t="s">
        <v>57</v>
      </c>
      <c r="J112" s="578"/>
      <c r="K112" s="578" t="s">
        <v>57</v>
      </c>
      <c r="L112" s="578"/>
      <c r="M112" s="578" t="s">
        <v>57</v>
      </c>
      <c r="N112" s="578"/>
      <c r="O112" s="578" t="s">
        <v>57</v>
      </c>
      <c r="P112" s="578"/>
      <c r="Q112" s="634" t="s">
        <v>265</v>
      </c>
      <c r="R112" s="635"/>
      <c r="S112" s="578" t="s">
        <v>57</v>
      </c>
      <c r="T112" s="578"/>
      <c r="U112" s="578" t="s">
        <v>57</v>
      </c>
      <c r="V112" s="578"/>
      <c r="W112" s="578" t="s">
        <v>57</v>
      </c>
      <c r="X112" s="578"/>
      <c r="Y112" s="578" t="s">
        <v>57</v>
      </c>
      <c r="Z112" s="578"/>
      <c r="AA112" s="578" t="s">
        <v>57</v>
      </c>
      <c r="AB112" s="602"/>
    </row>
    <row r="113" spans="1:43">
      <c r="A113" s="585" t="s">
        <v>59</v>
      </c>
      <c r="B113" s="586"/>
      <c r="C113" s="402">
        <v>1</v>
      </c>
      <c r="D113" s="406" t="s">
        <v>248</v>
      </c>
      <c r="E113" s="623" t="s">
        <v>57</v>
      </c>
      <c r="F113" s="579"/>
      <c r="G113" s="579" t="s">
        <v>57</v>
      </c>
      <c r="H113" s="579"/>
      <c r="I113" s="579" t="s">
        <v>57</v>
      </c>
      <c r="J113" s="579"/>
      <c r="K113" s="579" t="s">
        <v>57</v>
      </c>
      <c r="L113" s="579"/>
      <c r="M113" s="579" t="s">
        <v>57</v>
      </c>
      <c r="N113" s="579"/>
      <c r="O113" s="579" t="s">
        <v>57</v>
      </c>
      <c r="P113" s="579"/>
      <c r="Q113" s="579" t="s">
        <v>57</v>
      </c>
      <c r="R113" s="579"/>
      <c r="S113" s="579" t="s">
        <v>57</v>
      </c>
      <c r="T113" s="579"/>
      <c r="U113" s="579" t="s">
        <v>57</v>
      </c>
      <c r="V113" s="579"/>
      <c r="W113" s="579" t="s">
        <v>57</v>
      </c>
      <c r="X113" s="579"/>
      <c r="Y113" s="579" t="s">
        <v>57</v>
      </c>
      <c r="Z113" s="579"/>
      <c r="AA113" s="579" t="s">
        <v>57</v>
      </c>
      <c r="AB113" s="601"/>
    </row>
    <row r="114" spans="1:43" ht="16" thickBot="1">
      <c r="A114" s="589"/>
      <c r="B114" s="590"/>
      <c r="C114" s="407">
        <v>1</v>
      </c>
      <c r="D114" s="408" t="s">
        <v>250</v>
      </c>
      <c r="E114" s="632" t="s">
        <v>57</v>
      </c>
      <c r="F114" s="618"/>
      <c r="G114" s="618" t="s">
        <v>57</v>
      </c>
      <c r="H114" s="618"/>
      <c r="I114" s="618" t="s">
        <v>57</v>
      </c>
      <c r="J114" s="618"/>
      <c r="K114" s="618" t="s">
        <v>57</v>
      </c>
      <c r="L114" s="618"/>
      <c r="M114" s="618" t="s">
        <v>57</v>
      </c>
      <c r="N114" s="618"/>
      <c r="O114" s="618" t="s">
        <v>57</v>
      </c>
      <c r="P114" s="618"/>
      <c r="Q114" s="618" t="s">
        <v>57</v>
      </c>
      <c r="R114" s="618"/>
      <c r="S114" s="618" t="s">
        <v>57</v>
      </c>
      <c r="T114" s="618"/>
      <c r="U114" s="618" t="s">
        <v>57</v>
      </c>
      <c r="V114" s="618"/>
      <c r="W114" s="618" t="s">
        <v>57</v>
      </c>
      <c r="X114" s="618"/>
      <c r="Y114" s="618" t="s">
        <v>57</v>
      </c>
      <c r="Z114" s="618"/>
      <c r="AA114" s="618" t="s">
        <v>57</v>
      </c>
      <c r="AB114" s="619"/>
    </row>
    <row r="115" spans="1:43" ht="26">
      <c r="A115" s="83"/>
      <c r="B115" s="83"/>
      <c r="C115" s="34"/>
      <c r="D115" s="34"/>
      <c r="E115" s="84"/>
      <c r="F115" s="84"/>
      <c r="G115" s="84"/>
      <c r="H115" s="84"/>
      <c r="I115" s="84"/>
      <c r="J115" s="84"/>
      <c r="K115" s="84"/>
      <c r="L115" s="84"/>
      <c r="M115" s="84"/>
      <c r="N115" s="84"/>
      <c r="O115" s="84"/>
      <c r="P115" s="84"/>
      <c r="Q115" s="84"/>
      <c r="R115" s="84"/>
      <c r="S115" s="84"/>
      <c r="T115" s="84"/>
      <c r="U115" s="84"/>
      <c r="V115" s="84"/>
      <c r="W115" s="84"/>
      <c r="X115" s="84"/>
      <c r="Y115" s="84"/>
      <c r="Z115" s="84"/>
      <c r="AA115" s="84"/>
      <c r="AB115" s="84"/>
    </row>
    <row r="116" spans="1:43" ht="6.75" customHeight="1">
      <c r="A116" s="104"/>
      <c r="B116" s="104"/>
      <c r="C116" s="106"/>
      <c r="D116" s="106"/>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5"/>
      <c r="AD116" s="105"/>
      <c r="AE116" s="105"/>
      <c r="AF116" s="105"/>
      <c r="AG116" s="105"/>
      <c r="AH116" s="105"/>
      <c r="AI116" s="105"/>
      <c r="AJ116" s="105"/>
      <c r="AK116" s="105"/>
      <c r="AL116" s="105"/>
      <c r="AM116" s="105"/>
      <c r="AN116" s="105"/>
      <c r="AO116" s="105"/>
      <c r="AP116" s="105"/>
      <c r="AQ116" s="105"/>
    </row>
    <row r="117" spans="1:43" ht="15" customHeight="1" thickBot="1">
      <c r="A117" s="83"/>
      <c r="B117" s="83"/>
      <c r="C117" s="34"/>
      <c r="D117" s="34"/>
      <c r="E117" s="84"/>
      <c r="F117" s="84"/>
      <c r="G117" s="84"/>
      <c r="H117" s="84"/>
      <c r="I117" s="84"/>
      <c r="J117" s="84"/>
      <c r="K117" s="84"/>
      <c r="L117" s="84"/>
      <c r="M117" s="84"/>
      <c r="N117" s="84"/>
      <c r="O117" s="84"/>
      <c r="P117" s="84"/>
      <c r="Q117" s="84"/>
      <c r="R117" s="84"/>
      <c r="S117" s="84"/>
      <c r="T117" s="84"/>
      <c r="U117" s="84"/>
      <c r="V117" s="84"/>
      <c r="W117" s="84"/>
      <c r="X117" s="84"/>
      <c r="Y117" s="84"/>
      <c r="Z117" s="84"/>
      <c r="AA117" s="84"/>
      <c r="AB117" s="84"/>
    </row>
    <row r="118" spans="1:43" ht="27" thickBot="1">
      <c r="A118" s="505" t="s">
        <v>240</v>
      </c>
      <c r="B118" s="506"/>
      <c r="C118" s="506"/>
      <c r="D118" s="506"/>
      <c r="E118" s="506"/>
      <c r="F118" s="506"/>
      <c r="G118" s="506"/>
      <c r="H118" s="506"/>
      <c r="I118" s="506"/>
      <c r="J118" s="506"/>
      <c r="K118" s="506"/>
      <c r="L118" s="506"/>
      <c r="M118" s="506"/>
      <c r="N118" s="506"/>
      <c r="O118" s="506"/>
      <c r="P118" s="506"/>
      <c r="Q118" s="506"/>
      <c r="R118" s="506"/>
      <c r="S118" s="506"/>
      <c r="T118" s="506"/>
      <c r="U118" s="506"/>
      <c r="V118" s="506"/>
      <c r="W118" s="506"/>
      <c r="X118" s="506"/>
      <c r="Y118" s="506"/>
      <c r="Z118" s="506"/>
      <c r="AA118" s="506"/>
      <c r="AB118" s="507"/>
    </row>
    <row r="119" spans="1:43">
      <c r="A119" s="564" t="s">
        <v>29</v>
      </c>
      <c r="B119" s="567" t="s">
        <v>30</v>
      </c>
      <c r="C119" s="564" t="s">
        <v>53</v>
      </c>
      <c r="D119" s="570"/>
      <c r="E119" s="575" t="s">
        <v>38</v>
      </c>
      <c r="F119" s="541"/>
      <c r="G119" s="540" t="s">
        <v>39</v>
      </c>
      <c r="H119" s="541"/>
      <c r="I119" s="540" t="s">
        <v>40</v>
      </c>
      <c r="J119" s="541"/>
      <c r="K119" s="540" t="s">
        <v>41</v>
      </c>
      <c r="L119" s="541"/>
      <c r="M119" s="540" t="s">
        <v>42</v>
      </c>
      <c r="N119" s="541"/>
      <c r="O119" s="540" t="s">
        <v>43</v>
      </c>
      <c r="P119" s="541"/>
      <c r="Q119" s="540" t="s">
        <v>44</v>
      </c>
      <c r="R119" s="541"/>
      <c r="S119" s="540" t="s">
        <v>45</v>
      </c>
      <c r="T119" s="541"/>
      <c r="U119" s="540" t="s">
        <v>46</v>
      </c>
      <c r="V119" s="541"/>
      <c r="W119" s="540" t="s">
        <v>47</v>
      </c>
      <c r="X119" s="541"/>
      <c r="Y119" s="540" t="s">
        <v>48</v>
      </c>
      <c r="Z119" s="541"/>
      <c r="AA119" s="540" t="s">
        <v>49</v>
      </c>
      <c r="AB119" s="541"/>
    </row>
    <row r="120" spans="1:43">
      <c r="A120" s="565"/>
      <c r="B120" s="568"/>
      <c r="C120" s="571" t="s">
        <v>52</v>
      </c>
      <c r="D120" s="573" t="s">
        <v>37</v>
      </c>
      <c r="E120" s="542">
        <v>0.04</v>
      </c>
      <c r="F120" s="543"/>
      <c r="G120" s="542">
        <v>0.04</v>
      </c>
      <c r="H120" s="543"/>
      <c r="I120" s="542">
        <v>0.08</v>
      </c>
      <c r="J120" s="543"/>
      <c r="K120" s="542">
        <v>0.08</v>
      </c>
      <c r="L120" s="543"/>
      <c r="M120" s="542">
        <v>0.08</v>
      </c>
      <c r="N120" s="543"/>
      <c r="O120" s="542">
        <v>0.08</v>
      </c>
      <c r="P120" s="543"/>
      <c r="Q120" s="542">
        <v>0.1</v>
      </c>
      <c r="R120" s="543"/>
      <c r="S120" s="542">
        <v>0.1</v>
      </c>
      <c r="T120" s="543"/>
      <c r="U120" s="542">
        <v>0.1</v>
      </c>
      <c r="V120" s="543"/>
      <c r="W120" s="542">
        <v>0.12</v>
      </c>
      <c r="X120" s="543"/>
      <c r="Y120" s="542">
        <v>0.12</v>
      </c>
      <c r="Z120" s="543"/>
      <c r="AA120" s="542">
        <v>0.06</v>
      </c>
      <c r="AB120" s="543"/>
    </row>
    <row r="121" spans="1:43" ht="17" thickBot="1">
      <c r="A121" s="566"/>
      <c r="B121" s="569"/>
      <c r="C121" s="572"/>
      <c r="D121" s="574"/>
      <c r="E121" s="59" t="s">
        <v>52</v>
      </c>
      <c r="F121" s="60" t="s">
        <v>37</v>
      </c>
      <c r="G121" s="59" t="s">
        <v>52</v>
      </c>
      <c r="H121" s="60" t="s">
        <v>37</v>
      </c>
      <c r="I121" s="59" t="s">
        <v>52</v>
      </c>
      <c r="J121" s="60" t="s">
        <v>37</v>
      </c>
      <c r="K121" s="59" t="s">
        <v>52</v>
      </c>
      <c r="L121" s="60" t="s">
        <v>37</v>
      </c>
      <c r="M121" s="59" t="s">
        <v>52</v>
      </c>
      <c r="N121" s="60" t="s">
        <v>37</v>
      </c>
      <c r="O121" s="59" t="s">
        <v>52</v>
      </c>
      <c r="P121" s="60" t="s">
        <v>37</v>
      </c>
      <c r="Q121" s="59" t="s">
        <v>52</v>
      </c>
      <c r="R121" s="60" t="s">
        <v>37</v>
      </c>
      <c r="S121" s="51" t="s">
        <v>52</v>
      </c>
      <c r="T121" s="52" t="s">
        <v>37</v>
      </c>
      <c r="U121" s="51" t="s">
        <v>52</v>
      </c>
      <c r="V121" s="52" t="s">
        <v>37</v>
      </c>
      <c r="W121" s="51" t="s">
        <v>52</v>
      </c>
      <c r="X121" s="52" t="s">
        <v>37</v>
      </c>
      <c r="Y121" s="51" t="s">
        <v>52</v>
      </c>
      <c r="Z121" s="52" t="s">
        <v>37</v>
      </c>
      <c r="AA121" s="51" t="s">
        <v>52</v>
      </c>
      <c r="AB121" s="52" t="s">
        <v>37</v>
      </c>
    </row>
    <row r="122" spans="1:43" ht="16">
      <c r="A122" s="401" t="s">
        <v>204</v>
      </c>
      <c r="B122" s="45">
        <f>Hipótesis!C$59</f>
        <v>500</v>
      </c>
      <c r="C122" s="46">
        <v>121500</v>
      </c>
      <c r="D122" s="47">
        <f>B122*C122</f>
        <v>60750000</v>
      </c>
      <c r="E122" s="425">
        <f>$C$122*E120</f>
        <v>4860</v>
      </c>
      <c r="F122" s="47">
        <f>$D$122*E120</f>
        <v>2430000</v>
      </c>
      <c r="G122" s="425">
        <f t="shared" ref="G122" si="162">$C$122*G120</f>
        <v>4860</v>
      </c>
      <c r="H122" s="47">
        <f t="shared" ref="H122" si="163">$D$122*G120</f>
        <v>2430000</v>
      </c>
      <c r="I122" s="425">
        <f t="shared" ref="I122" si="164">$C$122*I120</f>
        <v>9720</v>
      </c>
      <c r="J122" s="47">
        <f t="shared" ref="J122" si="165">$D$122*I120</f>
        <v>4860000</v>
      </c>
      <c r="K122" s="425">
        <f t="shared" ref="K122" si="166">$C$122*K120</f>
        <v>9720</v>
      </c>
      <c r="L122" s="47">
        <f t="shared" ref="L122" si="167">$D$122*K120</f>
        <v>4860000</v>
      </c>
      <c r="M122" s="425">
        <f t="shared" ref="M122" si="168">$C$122*M120</f>
        <v>9720</v>
      </c>
      <c r="N122" s="47">
        <f t="shared" ref="N122" si="169">$D$122*M120</f>
        <v>4860000</v>
      </c>
      <c r="O122" s="425">
        <f t="shared" ref="O122" si="170">$C$122*O120</f>
        <v>9720</v>
      </c>
      <c r="P122" s="47">
        <f t="shared" ref="P122" si="171">$D$122*O120</f>
        <v>4860000</v>
      </c>
      <c r="Q122" s="425">
        <f t="shared" ref="Q122" si="172">$C$122*Q120</f>
        <v>12150</v>
      </c>
      <c r="R122" s="47">
        <f t="shared" ref="R122" si="173">$D$122*Q120</f>
        <v>6075000</v>
      </c>
      <c r="S122" s="425">
        <f t="shared" ref="S122" si="174">$C$122*S120</f>
        <v>12150</v>
      </c>
      <c r="T122" s="47">
        <f t="shared" ref="T122:AB122" si="175">$D$122*S120</f>
        <v>6075000</v>
      </c>
      <c r="U122" s="425">
        <f t="shared" ref="U122" si="176">$C$122*U120</f>
        <v>12150</v>
      </c>
      <c r="V122" s="47">
        <f t="shared" si="175"/>
        <v>6075000</v>
      </c>
      <c r="W122" s="425">
        <f t="shared" ref="W122" si="177">$C$122*W120</f>
        <v>14580</v>
      </c>
      <c r="X122" s="47">
        <f t="shared" si="175"/>
        <v>7290000</v>
      </c>
      <c r="Y122" s="425">
        <f t="shared" ref="Y122" si="178">$C$122*Y120</f>
        <v>14580</v>
      </c>
      <c r="Z122" s="47">
        <f t="shared" si="175"/>
        <v>7290000</v>
      </c>
      <c r="AA122" s="425">
        <f t="shared" ref="AA122" si="179">$C$122*AA120</f>
        <v>7290</v>
      </c>
      <c r="AB122" s="47">
        <f t="shared" si="175"/>
        <v>3645000</v>
      </c>
    </row>
    <row r="123" spans="1:43" ht="16">
      <c r="A123" s="421" t="s">
        <v>287</v>
      </c>
      <c r="B123" s="419">
        <f>Hipótesis!C$61</f>
        <v>12000</v>
      </c>
      <c r="C123" s="43">
        <v>13400</v>
      </c>
      <c r="D123" s="44">
        <f t="shared" ref="D123:D126" si="180">B123*C123</f>
        <v>160800000</v>
      </c>
      <c r="E123" s="426">
        <f>$C$123*E120</f>
        <v>536</v>
      </c>
      <c r="F123" s="44">
        <f>$D$123*E120</f>
        <v>6432000</v>
      </c>
      <c r="G123" s="426">
        <f t="shared" ref="G123" si="181">$C$123*G120</f>
        <v>536</v>
      </c>
      <c r="H123" s="44">
        <f t="shared" ref="H123" si="182">$D$123*G120</f>
        <v>6432000</v>
      </c>
      <c r="I123" s="426">
        <f t="shared" ref="I123" si="183">$C$123*I120</f>
        <v>1072</v>
      </c>
      <c r="J123" s="44">
        <f t="shared" ref="J123" si="184">$D$123*I120</f>
        <v>12864000</v>
      </c>
      <c r="K123" s="426">
        <f t="shared" ref="K123" si="185">$C$123*K120</f>
        <v>1072</v>
      </c>
      <c r="L123" s="44">
        <f t="shared" ref="L123" si="186">$D$123*K120</f>
        <v>12864000</v>
      </c>
      <c r="M123" s="426">
        <f t="shared" ref="M123" si="187">$C$123*M120</f>
        <v>1072</v>
      </c>
      <c r="N123" s="44">
        <f t="shared" ref="N123" si="188">$D$123*M120</f>
        <v>12864000</v>
      </c>
      <c r="O123" s="426">
        <f t="shared" ref="O123" si="189">$C$123*O120</f>
        <v>1072</v>
      </c>
      <c r="P123" s="44">
        <f t="shared" ref="P123" si="190">$D$123*O120</f>
        <v>12864000</v>
      </c>
      <c r="Q123" s="426">
        <f t="shared" ref="Q123" si="191">$C$123*Q120</f>
        <v>1340</v>
      </c>
      <c r="R123" s="44">
        <f t="shared" ref="R123" si="192">$D$123*Q120</f>
        <v>16080000</v>
      </c>
      <c r="S123" s="426">
        <f t="shared" ref="S123" si="193">$C$123*S120</f>
        <v>1340</v>
      </c>
      <c r="T123" s="44">
        <f t="shared" ref="T123:AB123" si="194">$D$123*S120</f>
        <v>16080000</v>
      </c>
      <c r="U123" s="426">
        <f t="shared" ref="U123" si="195">$C$123*U120</f>
        <v>1340</v>
      </c>
      <c r="V123" s="44">
        <f t="shared" si="194"/>
        <v>16080000</v>
      </c>
      <c r="W123" s="426">
        <f t="shared" ref="W123" si="196">$C$123*W120</f>
        <v>1608</v>
      </c>
      <c r="X123" s="44">
        <f t="shared" si="194"/>
        <v>19296000</v>
      </c>
      <c r="Y123" s="426">
        <f t="shared" ref="Y123" si="197">$C$123*Y120</f>
        <v>1608</v>
      </c>
      <c r="Z123" s="44">
        <f t="shared" si="194"/>
        <v>19296000</v>
      </c>
      <c r="AA123" s="426">
        <f t="shared" ref="AA123" si="198">$C$123*AA120</f>
        <v>804</v>
      </c>
      <c r="AB123" s="44">
        <f t="shared" si="194"/>
        <v>9648000</v>
      </c>
    </row>
    <row r="124" spans="1:43" ht="16">
      <c r="A124" s="422" t="s">
        <v>288</v>
      </c>
      <c r="B124" s="42">
        <f>Hipótesis!C$60</f>
        <v>1200</v>
      </c>
      <c r="C124" s="43">
        <v>79350</v>
      </c>
      <c r="D124" s="44">
        <f t="shared" si="180"/>
        <v>95220000</v>
      </c>
      <c r="E124" s="426">
        <f>$C$124*E120</f>
        <v>3174</v>
      </c>
      <c r="F124" s="44">
        <f>$D$124*E120</f>
        <v>3808800</v>
      </c>
      <c r="G124" s="426">
        <f t="shared" ref="G124" si="199">$C$124*G120</f>
        <v>3174</v>
      </c>
      <c r="H124" s="44">
        <f t="shared" ref="H124" si="200">$D$124*G120</f>
        <v>3808800</v>
      </c>
      <c r="I124" s="426">
        <f t="shared" ref="I124" si="201">$C$124*I120</f>
        <v>6348</v>
      </c>
      <c r="J124" s="44">
        <f t="shared" ref="J124" si="202">$D$124*I120</f>
        <v>7617600</v>
      </c>
      <c r="K124" s="426">
        <f t="shared" ref="K124" si="203">$C$124*K120</f>
        <v>6348</v>
      </c>
      <c r="L124" s="44">
        <f t="shared" ref="L124" si="204">$D$124*K120</f>
        <v>7617600</v>
      </c>
      <c r="M124" s="426">
        <f t="shared" ref="M124" si="205">$C$124*M120</f>
        <v>6348</v>
      </c>
      <c r="N124" s="44">
        <f t="shared" ref="N124" si="206">$D$124*M120</f>
        <v>7617600</v>
      </c>
      <c r="O124" s="426">
        <f t="shared" ref="O124" si="207">$C$124*O120</f>
        <v>6348</v>
      </c>
      <c r="P124" s="44">
        <f t="shared" ref="P124" si="208">$D$124*O120</f>
        <v>7617600</v>
      </c>
      <c r="Q124" s="426">
        <f t="shared" ref="Q124" si="209">$C$124*Q120</f>
        <v>7935</v>
      </c>
      <c r="R124" s="44">
        <f t="shared" ref="R124" si="210">$D$124*Q120</f>
        <v>9522000</v>
      </c>
      <c r="S124" s="426">
        <f t="shared" ref="S124" si="211">$C$124*S120</f>
        <v>7935</v>
      </c>
      <c r="T124" s="44">
        <f t="shared" ref="T124:AB124" si="212">$D$124*S120</f>
        <v>9522000</v>
      </c>
      <c r="U124" s="426">
        <f t="shared" ref="U124" si="213">$C$124*U120</f>
        <v>7935</v>
      </c>
      <c r="V124" s="44">
        <f t="shared" si="212"/>
        <v>9522000</v>
      </c>
      <c r="W124" s="426">
        <f t="shared" ref="W124" si="214">$C$124*W120</f>
        <v>9522</v>
      </c>
      <c r="X124" s="44">
        <f t="shared" si="212"/>
        <v>11426400</v>
      </c>
      <c r="Y124" s="426">
        <f t="shared" ref="Y124" si="215">$C$124*Y120</f>
        <v>9522</v>
      </c>
      <c r="Z124" s="44">
        <f t="shared" si="212"/>
        <v>11426400</v>
      </c>
      <c r="AA124" s="426">
        <f t="shared" ref="AA124" si="216">$C$124*AA120</f>
        <v>4761</v>
      </c>
      <c r="AB124" s="44">
        <f t="shared" si="212"/>
        <v>5713200</v>
      </c>
    </row>
    <row r="125" spans="1:43" ht="16">
      <c r="A125" s="423" t="s">
        <v>286</v>
      </c>
      <c r="B125" s="420">
        <f>Hipótesis!C$63</f>
        <v>18000</v>
      </c>
      <c r="C125" s="43">
        <v>3670</v>
      </c>
      <c r="D125" s="44">
        <f t="shared" si="180"/>
        <v>66060000</v>
      </c>
      <c r="E125" s="426">
        <f>$C$125*E120</f>
        <v>146.80000000000001</v>
      </c>
      <c r="F125" s="44">
        <f>$D$125*E120</f>
        <v>2642400</v>
      </c>
      <c r="G125" s="426">
        <f t="shared" ref="G125" si="217">$C$125*G120</f>
        <v>146.80000000000001</v>
      </c>
      <c r="H125" s="44">
        <f t="shared" ref="H125" si="218">$D$125*G120</f>
        <v>2642400</v>
      </c>
      <c r="I125" s="426">
        <f t="shared" ref="I125" si="219">$C$125*I120</f>
        <v>293.60000000000002</v>
      </c>
      <c r="J125" s="44">
        <f t="shared" ref="J125" si="220">$D$125*I120</f>
        <v>5284800</v>
      </c>
      <c r="K125" s="426">
        <f t="shared" ref="K125" si="221">$C$125*K120</f>
        <v>293.60000000000002</v>
      </c>
      <c r="L125" s="44">
        <f t="shared" ref="L125" si="222">$D$125*K120</f>
        <v>5284800</v>
      </c>
      <c r="M125" s="426">
        <f t="shared" ref="M125" si="223">$C$125*M120</f>
        <v>293.60000000000002</v>
      </c>
      <c r="N125" s="44">
        <f t="shared" ref="N125" si="224">$D$125*M120</f>
        <v>5284800</v>
      </c>
      <c r="O125" s="426">
        <f t="shared" ref="O125" si="225">$C$125*O120</f>
        <v>293.60000000000002</v>
      </c>
      <c r="P125" s="44">
        <f t="shared" ref="P125" si="226">$D$125*O120</f>
        <v>5284800</v>
      </c>
      <c r="Q125" s="426">
        <f t="shared" ref="Q125" si="227">$C$125*Q120</f>
        <v>367</v>
      </c>
      <c r="R125" s="44">
        <f t="shared" ref="R125" si="228">$D$125*Q120</f>
        <v>6606000</v>
      </c>
      <c r="S125" s="426">
        <f t="shared" ref="S125" si="229">$C$125*S120</f>
        <v>367</v>
      </c>
      <c r="T125" s="44">
        <f t="shared" ref="T125:AB125" si="230">$D$125*S120</f>
        <v>6606000</v>
      </c>
      <c r="U125" s="426">
        <f t="shared" ref="U125" si="231">$C$125*U120</f>
        <v>367</v>
      </c>
      <c r="V125" s="44">
        <f t="shared" si="230"/>
        <v>6606000</v>
      </c>
      <c r="W125" s="426">
        <f t="shared" ref="W125" si="232">$C$125*W120</f>
        <v>440.4</v>
      </c>
      <c r="X125" s="44">
        <f t="shared" si="230"/>
        <v>7927200</v>
      </c>
      <c r="Y125" s="426">
        <f t="shared" ref="Y125" si="233">$C$125*Y120</f>
        <v>440.4</v>
      </c>
      <c r="Z125" s="44">
        <f t="shared" si="230"/>
        <v>7927200</v>
      </c>
      <c r="AA125" s="426">
        <f t="shared" ref="AA125" si="234">$C$125*AA120</f>
        <v>220.2</v>
      </c>
      <c r="AB125" s="44">
        <f t="shared" si="230"/>
        <v>3963600</v>
      </c>
    </row>
    <row r="126" spans="1:43" ht="17" thickBot="1">
      <c r="A126" s="424" t="s">
        <v>289</v>
      </c>
      <c r="B126" s="48">
        <f>Hipótesis!C$62</f>
        <v>1800</v>
      </c>
      <c r="C126" s="49">
        <v>8700</v>
      </c>
      <c r="D126" s="50">
        <f t="shared" si="180"/>
        <v>15660000</v>
      </c>
      <c r="E126" s="427">
        <f>$C$126*E120</f>
        <v>348</v>
      </c>
      <c r="F126" s="50">
        <f>$D$126*E120</f>
        <v>626400</v>
      </c>
      <c r="G126" s="427">
        <f t="shared" ref="G126" si="235">$C$126*G120</f>
        <v>348</v>
      </c>
      <c r="H126" s="50">
        <f t="shared" ref="H126" si="236">$D$126*G120</f>
        <v>626400</v>
      </c>
      <c r="I126" s="427">
        <f t="shared" ref="I126" si="237">$C$126*I120</f>
        <v>696</v>
      </c>
      <c r="J126" s="50">
        <f t="shared" ref="J126" si="238">$D$126*I120</f>
        <v>1252800</v>
      </c>
      <c r="K126" s="427">
        <f t="shared" ref="K126" si="239">$C$126*K120</f>
        <v>696</v>
      </c>
      <c r="L126" s="50">
        <f t="shared" ref="L126" si="240">$D$126*K120</f>
        <v>1252800</v>
      </c>
      <c r="M126" s="427">
        <f t="shared" ref="M126" si="241">$C$126*M120</f>
        <v>696</v>
      </c>
      <c r="N126" s="50">
        <f t="shared" ref="N126" si="242">$D$126*M120</f>
        <v>1252800</v>
      </c>
      <c r="O126" s="427">
        <f t="shared" ref="O126" si="243">$C$126*O120</f>
        <v>696</v>
      </c>
      <c r="P126" s="50">
        <f t="shared" ref="P126" si="244">$D$126*O120</f>
        <v>1252800</v>
      </c>
      <c r="Q126" s="427">
        <f t="shared" ref="Q126" si="245">$C$126*Q120</f>
        <v>870</v>
      </c>
      <c r="R126" s="50">
        <f t="shared" ref="R126" si="246">$D$126*Q120</f>
        <v>1566000</v>
      </c>
      <c r="S126" s="427">
        <f t="shared" ref="S126" si="247">$C$126*S120</f>
        <v>870</v>
      </c>
      <c r="T126" s="50">
        <f t="shared" ref="T126:AB126" si="248">$D$126*S120</f>
        <v>1566000</v>
      </c>
      <c r="U126" s="427">
        <f t="shared" ref="U126" si="249">$C$126*U120</f>
        <v>870</v>
      </c>
      <c r="V126" s="50">
        <f t="shared" si="248"/>
        <v>1566000</v>
      </c>
      <c r="W126" s="427">
        <f t="shared" ref="W126" si="250">$C$126*W120</f>
        <v>1044</v>
      </c>
      <c r="X126" s="50">
        <f t="shared" si="248"/>
        <v>1879200</v>
      </c>
      <c r="Y126" s="427">
        <f t="shared" ref="Y126" si="251">$C$126*Y120</f>
        <v>1044</v>
      </c>
      <c r="Z126" s="50">
        <f t="shared" si="248"/>
        <v>1879200</v>
      </c>
      <c r="AA126" s="427">
        <f t="shared" ref="AA126" si="252">$C$126*AA120</f>
        <v>522</v>
      </c>
      <c r="AB126" s="50">
        <f t="shared" si="248"/>
        <v>939600</v>
      </c>
    </row>
    <row r="127" spans="1:43" ht="16" thickBot="1">
      <c r="A127" s="649" t="s">
        <v>66</v>
      </c>
      <c r="B127" s="650"/>
      <c r="C127" s="105"/>
      <c r="D127" s="109">
        <f>SUM(D122:D126)</f>
        <v>398490000</v>
      </c>
      <c r="E127" s="110"/>
      <c r="F127" s="111">
        <f>SUM(F122:F126)</f>
        <v>15939600</v>
      </c>
      <c r="G127" s="110"/>
      <c r="H127" s="111">
        <f>SUM(H122:H126)</f>
        <v>15939600</v>
      </c>
      <c r="I127" s="110"/>
      <c r="J127" s="111">
        <f>SUM(J122:J126)</f>
        <v>31879200</v>
      </c>
      <c r="K127" s="110"/>
      <c r="L127" s="111">
        <f>SUM(L122:L126)</f>
        <v>31879200</v>
      </c>
      <c r="M127" s="110"/>
      <c r="N127" s="111">
        <f>SUM(N122:N126)</f>
        <v>31879200</v>
      </c>
      <c r="O127" s="110"/>
      <c r="P127" s="111">
        <f>SUM(P122:P126)</f>
        <v>31879200</v>
      </c>
      <c r="Q127" s="110"/>
      <c r="R127" s="111">
        <f>SUM(R122:R126)</f>
        <v>39849000</v>
      </c>
      <c r="S127" s="110"/>
      <c r="T127" s="111">
        <f>SUM(T122:T126)</f>
        <v>39849000</v>
      </c>
      <c r="U127" s="110"/>
      <c r="V127" s="111">
        <f>SUM(V122:V126)</f>
        <v>39849000</v>
      </c>
      <c r="W127" s="110"/>
      <c r="X127" s="111">
        <f>SUM(X122:X126)</f>
        <v>47818800</v>
      </c>
      <c r="Y127" s="110"/>
      <c r="Z127" s="111">
        <f>SUM(Z122:Z126)</f>
        <v>47818800</v>
      </c>
      <c r="AA127" s="110"/>
      <c r="AB127" s="111">
        <f>SUM(AB122:AB126)</f>
        <v>23909400</v>
      </c>
    </row>
    <row r="128" spans="1:43" ht="16">
      <c r="A128" s="641" t="s">
        <v>209</v>
      </c>
      <c r="B128" s="642"/>
      <c r="C128" s="115">
        <f>SUM(C122:C126)</f>
        <v>226620</v>
      </c>
      <c r="D128" s="113"/>
      <c r="E128" s="115">
        <f t="shared" ref="E128" si="253">SUM(E122:E126)</f>
        <v>9064.7999999999993</v>
      </c>
      <c r="F128" s="113"/>
      <c r="G128" s="115">
        <f t="shared" ref="G128" si="254">SUM(G122:G126)</f>
        <v>9064.7999999999993</v>
      </c>
      <c r="H128" s="113"/>
      <c r="I128" s="115">
        <f t="shared" ref="I128" si="255">SUM(I122:I126)</f>
        <v>18129.599999999999</v>
      </c>
      <c r="J128" s="113"/>
      <c r="K128" s="115">
        <f t="shared" ref="K128" si="256">SUM(K122:K126)</f>
        <v>18129.599999999999</v>
      </c>
      <c r="L128" s="113"/>
      <c r="M128" s="115">
        <f t="shared" ref="M128" si="257">SUM(M122:M126)</f>
        <v>18129.599999999999</v>
      </c>
      <c r="N128" s="113"/>
      <c r="O128" s="115">
        <f t="shared" ref="O128" si="258">SUM(O122:O126)</f>
        <v>18129.599999999999</v>
      </c>
      <c r="P128" s="113"/>
      <c r="Q128" s="115">
        <f t="shared" ref="Q128" si="259">SUM(Q122:Q126)</f>
        <v>22662</v>
      </c>
      <c r="R128" s="113"/>
      <c r="S128" s="115">
        <f t="shared" ref="S128" si="260">SUM(S122:S126)</f>
        <v>22662</v>
      </c>
      <c r="T128" s="113"/>
      <c r="U128" s="115">
        <f t="shared" ref="U128" si="261">SUM(U122:U126)</f>
        <v>22662</v>
      </c>
      <c r="V128" s="113"/>
      <c r="W128" s="115">
        <f t="shared" ref="W128" si="262">SUM(W122:W126)</f>
        <v>27194.400000000001</v>
      </c>
      <c r="X128" s="113"/>
      <c r="Y128" s="115">
        <f t="shared" ref="Y128" si="263">SUM(Y122:Y126)</f>
        <v>27194.400000000001</v>
      </c>
      <c r="Z128" s="113"/>
      <c r="AA128" s="115">
        <f t="shared" ref="AA128" si="264">SUM(AA122:AA126)</f>
        <v>13597.2</v>
      </c>
      <c r="AB128" s="113"/>
    </row>
    <row r="129" spans="1:28" ht="16" thickBot="1">
      <c r="D129" s="296"/>
      <c r="E129" s="41"/>
      <c r="F129" s="41"/>
    </row>
    <row r="130" spans="1:28" ht="27" thickBot="1">
      <c r="A130" s="556" t="s">
        <v>213</v>
      </c>
      <c r="B130" s="557"/>
      <c r="C130" s="557"/>
      <c r="D130" s="557"/>
      <c r="E130" s="557"/>
      <c r="F130" s="557"/>
      <c r="G130" s="557"/>
      <c r="H130" s="557"/>
      <c r="I130" s="557"/>
      <c r="J130" s="557"/>
      <c r="K130" s="557"/>
      <c r="L130" s="557"/>
      <c r="M130" s="557"/>
      <c r="N130" s="557"/>
      <c r="O130" s="557"/>
      <c r="P130" s="557"/>
      <c r="Q130" s="557"/>
      <c r="R130" s="557"/>
      <c r="S130" s="557"/>
      <c r="T130" s="557"/>
      <c r="U130" s="557"/>
      <c r="V130" s="557"/>
      <c r="W130" s="557"/>
      <c r="X130" s="557"/>
      <c r="Y130" s="557"/>
      <c r="Z130" s="557"/>
      <c r="AA130" s="557"/>
      <c r="AB130" s="558"/>
    </row>
    <row r="131" spans="1:28" ht="87.75" customHeight="1" thickBot="1">
      <c r="A131" s="88" t="s">
        <v>61</v>
      </c>
      <c r="B131" s="544" t="s">
        <v>276</v>
      </c>
      <c r="C131" s="545"/>
      <c r="D131" s="545"/>
      <c r="E131" s="545"/>
      <c r="F131" s="545"/>
      <c r="G131" s="545"/>
      <c r="H131" s="545"/>
      <c r="I131" s="545"/>
      <c r="J131" s="545"/>
      <c r="K131" s="545"/>
      <c r="L131" s="545"/>
      <c r="M131" s="545"/>
      <c r="N131" s="545"/>
      <c r="O131" s="545"/>
      <c r="P131" s="545"/>
      <c r="Q131" s="545"/>
      <c r="R131" s="545"/>
      <c r="S131" s="545"/>
      <c r="T131" s="545"/>
      <c r="U131" s="545"/>
      <c r="V131" s="545"/>
      <c r="W131" s="545"/>
      <c r="X131" s="545"/>
      <c r="Y131" s="545"/>
      <c r="Z131" s="545"/>
      <c r="AA131" s="545"/>
      <c r="AB131" s="546"/>
    </row>
    <row r="132" spans="1:28" ht="22" thickBot="1">
      <c r="A132" s="559"/>
      <c r="B132" s="560"/>
      <c r="C132" s="592" t="s">
        <v>55</v>
      </c>
      <c r="D132" s="593"/>
      <c r="E132" s="561" t="s">
        <v>38</v>
      </c>
      <c r="F132" s="562"/>
      <c r="G132" s="563" t="s">
        <v>39</v>
      </c>
      <c r="H132" s="562"/>
      <c r="I132" s="563" t="s">
        <v>40</v>
      </c>
      <c r="J132" s="562"/>
      <c r="K132" s="563" t="s">
        <v>41</v>
      </c>
      <c r="L132" s="562"/>
      <c r="M132" s="563" t="s">
        <v>42</v>
      </c>
      <c r="N132" s="562"/>
      <c r="O132" s="563" t="s">
        <v>43</v>
      </c>
      <c r="P132" s="562"/>
      <c r="Q132" s="563" t="s">
        <v>44</v>
      </c>
      <c r="R132" s="562"/>
      <c r="S132" s="563" t="s">
        <v>45</v>
      </c>
      <c r="T132" s="562"/>
      <c r="U132" s="563" t="s">
        <v>46</v>
      </c>
      <c r="V132" s="562"/>
      <c r="W132" s="563" t="s">
        <v>47</v>
      </c>
      <c r="X132" s="562"/>
      <c r="Y132" s="563" t="s">
        <v>48</v>
      </c>
      <c r="Z132" s="562"/>
      <c r="AA132" s="563" t="s">
        <v>49</v>
      </c>
      <c r="AB132" s="562"/>
    </row>
    <row r="133" spans="1:28" ht="16">
      <c r="A133" s="608" t="s">
        <v>54</v>
      </c>
      <c r="B133" s="609"/>
      <c r="C133" s="402">
        <v>0</v>
      </c>
      <c r="D133" s="403" t="s">
        <v>214</v>
      </c>
      <c r="E133" s="624" t="s">
        <v>57</v>
      </c>
      <c r="F133" s="623"/>
      <c r="G133" s="624" t="s">
        <v>57</v>
      </c>
      <c r="H133" s="623"/>
      <c r="I133" s="624" t="s">
        <v>57</v>
      </c>
      <c r="J133" s="623"/>
      <c r="K133" s="624" t="s">
        <v>57</v>
      </c>
      <c r="L133" s="623"/>
      <c r="M133" s="624" t="s">
        <v>57</v>
      </c>
      <c r="N133" s="623"/>
      <c r="O133" s="624" t="s">
        <v>57</v>
      </c>
      <c r="P133" s="623"/>
      <c r="Q133" s="624" t="s">
        <v>57</v>
      </c>
      <c r="R133" s="623"/>
      <c r="S133" s="624" t="s">
        <v>57</v>
      </c>
      <c r="T133" s="623"/>
      <c r="U133" s="579" t="s">
        <v>57</v>
      </c>
      <c r="V133" s="579"/>
      <c r="W133" s="579" t="s">
        <v>57</v>
      </c>
      <c r="X133" s="579"/>
      <c r="Y133" s="579" t="s">
        <v>57</v>
      </c>
      <c r="Z133" s="579"/>
      <c r="AA133" s="579" t="s">
        <v>57</v>
      </c>
      <c r="AB133" s="601"/>
    </row>
    <row r="134" spans="1:28" ht="16">
      <c r="A134" s="610"/>
      <c r="B134" s="611"/>
      <c r="C134" s="85">
        <v>0</v>
      </c>
      <c r="D134" s="82" t="s">
        <v>215</v>
      </c>
      <c r="E134" s="614" t="s">
        <v>57</v>
      </c>
      <c r="F134" s="578"/>
      <c r="G134" s="578" t="s">
        <v>57</v>
      </c>
      <c r="H134" s="578"/>
      <c r="I134" s="578" t="s">
        <v>57</v>
      </c>
      <c r="J134" s="578"/>
      <c r="K134" s="578" t="s">
        <v>57</v>
      </c>
      <c r="L134" s="578"/>
      <c r="M134" s="578" t="s">
        <v>57</v>
      </c>
      <c r="N134" s="578"/>
      <c r="O134" s="578" t="s">
        <v>57</v>
      </c>
      <c r="P134" s="578"/>
      <c r="Q134" s="578" t="s">
        <v>57</v>
      </c>
      <c r="R134" s="578"/>
      <c r="S134" s="578" t="s">
        <v>57</v>
      </c>
      <c r="T134" s="578"/>
      <c r="U134" s="578" t="s">
        <v>57</v>
      </c>
      <c r="V134" s="578"/>
      <c r="W134" s="578" t="s">
        <v>57</v>
      </c>
      <c r="X134" s="578"/>
      <c r="Y134" s="578" t="s">
        <v>57</v>
      </c>
      <c r="Z134" s="578"/>
      <c r="AA134" s="578" t="s">
        <v>57</v>
      </c>
      <c r="AB134" s="602"/>
    </row>
    <row r="135" spans="1:28" ht="16">
      <c r="A135" s="610"/>
      <c r="B135" s="611"/>
      <c r="C135" s="85">
        <v>0</v>
      </c>
      <c r="D135" s="82" t="s">
        <v>216</v>
      </c>
      <c r="E135" s="614" t="s">
        <v>57</v>
      </c>
      <c r="F135" s="578"/>
      <c r="G135" s="578" t="s">
        <v>57</v>
      </c>
      <c r="H135" s="578"/>
      <c r="I135" s="578" t="s">
        <v>57</v>
      </c>
      <c r="J135" s="578"/>
      <c r="K135" s="578" t="s">
        <v>57</v>
      </c>
      <c r="L135" s="578"/>
      <c r="M135" s="578" t="s">
        <v>57</v>
      </c>
      <c r="N135" s="578"/>
      <c r="O135" s="578" t="s">
        <v>57</v>
      </c>
      <c r="P135" s="578"/>
      <c r="Q135" s="578" t="s">
        <v>57</v>
      </c>
      <c r="R135" s="578"/>
      <c r="S135" s="578" t="s">
        <v>57</v>
      </c>
      <c r="T135" s="578"/>
      <c r="U135" s="578" t="s">
        <v>57</v>
      </c>
      <c r="V135" s="578"/>
      <c r="W135" s="578" t="s">
        <v>57</v>
      </c>
      <c r="X135" s="578"/>
      <c r="Y135" s="578" t="s">
        <v>57</v>
      </c>
      <c r="Z135" s="578"/>
      <c r="AA135" s="578" t="s">
        <v>57</v>
      </c>
      <c r="AB135" s="602"/>
    </row>
    <row r="136" spans="1:28" ht="16">
      <c r="A136" s="610"/>
      <c r="B136" s="611"/>
      <c r="C136" s="85">
        <v>0</v>
      </c>
      <c r="D136" s="82" t="s">
        <v>217</v>
      </c>
      <c r="E136" s="614" t="s">
        <v>57</v>
      </c>
      <c r="F136" s="578"/>
      <c r="G136" s="578" t="s">
        <v>57</v>
      </c>
      <c r="H136" s="578"/>
      <c r="I136" s="578" t="s">
        <v>57</v>
      </c>
      <c r="J136" s="578"/>
      <c r="K136" s="578" t="s">
        <v>57</v>
      </c>
      <c r="L136" s="578"/>
      <c r="M136" s="578" t="s">
        <v>57</v>
      </c>
      <c r="N136" s="578"/>
      <c r="O136" s="578" t="s">
        <v>57</v>
      </c>
      <c r="P136" s="578"/>
      <c r="Q136" s="578" t="s">
        <v>57</v>
      </c>
      <c r="R136" s="578"/>
      <c r="S136" s="578" t="s">
        <v>57</v>
      </c>
      <c r="T136" s="578"/>
      <c r="U136" s="578" t="s">
        <v>57</v>
      </c>
      <c r="V136" s="578"/>
      <c r="W136" s="578" t="s">
        <v>57</v>
      </c>
      <c r="X136" s="578"/>
      <c r="Y136" s="578" t="s">
        <v>57</v>
      </c>
      <c r="Z136" s="578"/>
      <c r="AA136" s="578" t="s">
        <v>57</v>
      </c>
      <c r="AB136" s="602"/>
    </row>
    <row r="137" spans="1:28" ht="16">
      <c r="A137" s="610"/>
      <c r="B137" s="611"/>
      <c r="C137" s="85">
        <v>0</v>
      </c>
      <c r="D137" s="82" t="s">
        <v>218</v>
      </c>
      <c r="E137" s="614" t="s">
        <v>57</v>
      </c>
      <c r="F137" s="578"/>
      <c r="G137" s="578" t="s">
        <v>57</v>
      </c>
      <c r="H137" s="578"/>
      <c r="I137" s="578" t="s">
        <v>57</v>
      </c>
      <c r="J137" s="578"/>
      <c r="K137" s="578" t="s">
        <v>57</v>
      </c>
      <c r="L137" s="578"/>
      <c r="M137" s="578" t="s">
        <v>57</v>
      </c>
      <c r="N137" s="578"/>
      <c r="O137" s="578" t="s">
        <v>57</v>
      </c>
      <c r="P137" s="578"/>
      <c r="Q137" s="578" t="s">
        <v>57</v>
      </c>
      <c r="R137" s="578"/>
      <c r="S137" s="578" t="s">
        <v>57</v>
      </c>
      <c r="T137" s="578"/>
      <c r="U137" s="578" t="s">
        <v>57</v>
      </c>
      <c r="V137" s="578"/>
      <c r="W137" s="578" t="s">
        <v>57</v>
      </c>
      <c r="X137" s="578"/>
      <c r="Y137" s="578" t="s">
        <v>57</v>
      </c>
      <c r="Z137" s="578"/>
      <c r="AA137" s="578" t="s">
        <v>57</v>
      </c>
      <c r="AB137" s="602"/>
    </row>
    <row r="138" spans="1:28" ht="16">
      <c r="A138" s="610"/>
      <c r="B138" s="611"/>
      <c r="C138" s="85">
        <v>0</v>
      </c>
      <c r="D138" s="82" t="s">
        <v>219</v>
      </c>
      <c r="E138" s="614" t="s">
        <v>57</v>
      </c>
      <c r="F138" s="578"/>
      <c r="G138" s="578" t="s">
        <v>57</v>
      </c>
      <c r="H138" s="578"/>
      <c r="I138" s="578" t="s">
        <v>57</v>
      </c>
      <c r="J138" s="578"/>
      <c r="K138" s="578" t="s">
        <v>57</v>
      </c>
      <c r="L138" s="578"/>
      <c r="M138" s="578" t="s">
        <v>57</v>
      </c>
      <c r="N138" s="578"/>
      <c r="O138" s="578" t="s">
        <v>57</v>
      </c>
      <c r="P138" s="578"/>
      <c r="Q138" s="578" t="s">
        <v>57</v>
      </c>
      <c r="R138" s="578"/>
      <c r="S138" s="578" t="s">
        <v>57</v>
      </c>
      <c r="T138" s="578"/>
      <c r="U138" s="578" t="s">
        <v>57</v>
      </c>
      <c r="V138" s="578"/>
      <c r="W138" s="578" t="s">
        <v>57</v>
      </c>
      <c r="X138" s="578"/>
      <c r="Y138" s="578" t="s">
        <v>57</v>
      </c>
      <c r="Z138" s="578"/>
      <c r="AA138" s="578" t="s">
        <v>57</v>
      </c>
      <c r="AB138" s="602"/>
    </row>
    <row r="139" spans="1:28" ht="16">
      <c r="A139" s="610"/>
      <c r="B139" s="611"/>
      <c r="C139" s="85">
        <v>0</v>
      </c>
      <c r="D139" s="82" t="s">
        <v>220</v>
      </c>
      <c r="E139" s="614" t="s">
        <v>57</v>
      </c>
      <c r="F139" s="578"/>
      <c r="G139" s="578" t="s">
        <v>57</v>
      </c>
      <c r="H139" s="578"/>
      <c r="I139" s="578" t="s">
        <v>57</v>
      </c>
      <c r="J139" s="578"/>
      <c r="K139" s="578" t="s">
        <v>57</v>
      </c>
      <c r="L139" s="578"/>
      <c r="M139" s="578" t="s">
        <v>57</v>
      </c>
      <c r="N139" s="578"/>
      <c r="O139" s="578" t="s">
        <v>57</v>
      </c>
      <c r="P139" s="578"/>
      <c r="Q139" s="578" t="s">
        <v>57</v>
      </c>
      <c r="R139" s="578"/>
      <c r="S139" s="578" t="s">
        <v>57</v>
      </c>
      <c r="T139" s="578"/>
      <c r="U139" s="578" t="s">
        <v>57</v>
      </c>
      <c r="V139" s="578"/>
      <c r="W139" s="578" t="s">
        <v>57</v>
      </c>
      <c r="X139" s="578"/>
      <c r="Y139" s="578" t="s">
        <v>57</v>
      </c>
      <c r="Z139" s="578"/>
      <c r="AA139" s="578" t="s">
        <v>57</v>
      </c>
      <c r="AB139" s="602"/>
    </row>
    <row r="140" spans="1:28" ht="16">
      <c r="A140" s="610"/>
      <c r="B140" s="611"/>
      <c r="C140" s="85">
        <v>1</v>
      </c>
      <c r="D140" s="82" t="s">
        <v>221</v>
      </c>
      <c r="E140" s="631" t="s">
        <v>273</v>
      </c>
      <c r="F140" s="627"/>
      <c r="G140" s="578" t="s">
        <v>57</v>
      </c>
      <c r="H140" s="578"/>
      <c r="I140" s="578" t="s">
        <v>57</v>
      </c>
      <c r="J140" s="578"/>
      <c r="K140" s="578" t="s">
        <v>57</v>
      </c>
      <c r="L140" s="578"/>
      <c r="M140" s="578" t="s">
        <v>57</v>
      </c>
      <c r="N140" s="578"/>
      <c r="O140" s="578" t="s">
        <v>57</v>
      </c>
      <c r="P140" s="578"/>
      <c r="Q140" s="578" t="s">
        <v>57</v>
      </c>
      <c r="R140" s="578"/>
      <c r="S140" s="578" t="s">
        <v>57</v>
      </c>
      <c r="T140" s="578"/>
      <c r="U140" s="578" t="s">
        <v>57</v>
      </c>
      <c r="V140" s="578"/>
      <c r="W140" s="578" t="s">
        <v>57</v>
      </c>
      <c r="X140" s="578"/>
      <c r="Y140" s="578" t="s">
        <v>57</v>
      </c>
      <c r="Z140" s="578"/>
      <c r="AA140" s="578" t="s">
        <v>57</v>
      </c>
      <c r="AB140" s="602"/>
    </row>
    <row r="141" spans="1:28" ht="16">
      <c r="A141" s="610"/>
      <c r="B141" s="611"/>
      <c r="C141" s="85">
        <v>0</v>
      </c>
      <c r="D141" s="82" t="s">
        <v>222</v>
      </c>
      <c r="E141" s="614" t="s">
        <v>57</v>
      </c>
      <c r="F141" s="578"/>
      <c r="G141" s="578" t="s">
        <v>57</v>
      </c>
      <c r="H141" s="578"/>
      <c r="I141" s="578" t="s">
        <v>57</v>
      </c>
      <c r="J141" s="578"/>
      <c r="K141" s="578" t="s">
        <v>57</v>
      </c>
      <c r="L141" s="578"/>
      <c r="M141" s="578" t="s">
        <v>57</v>
      </c>
      <c r="N141" s="578"/>
      <c r="O141" s="578" t="s">
        <v>57</v>
      </c>
      <c r="P141" s="578"/>
      <c r="Q141" s="578" t="s">
        <v>57</v>
      </c>
      <c r="R141" s="578"/>
      <c r="S141" s="578" t="s">
        <v>57</v>
      </c>
      <c r="T141" s="578"/>
      <c r="U141" s="578" t="s">
        <v>57</v>
      </c>
      <c r="V141" s="578"/>
      <c r="W141" s="578" t="s">
        <v>57</v>
      </c>
      <c r="X141" s="578"/>
      <c r="Y141" s="578" t="s">
        <v>57</v>
      </c>
      <c r="Z141" s="578"/>
      <c r="AA141" s="578" t="s">
        <v>57</v>
      </c>
      <c r="AB141" s="602"/>
    </row>
    <row r="142" spans="1:28" ht="16">
      <c r="A142" s="610"/>
      <c r="B142" s="611"/>
      <c r="C142" s="85">
        <v>0</v>
      </c>
      <c r="D142" s="82" t="s">
        <v>223</v>
      </c>
      <c r="E142" s="614" t="s">
        <v>57</v>
      </c>
      <c r="F142" s="578"/>
      <c r="G142" s="578" t="s">
        <v>57</v>
      </c>
      <c r="H142" s="578"/>
      <c r="I142" s="578" t="s">
        <v>57</v>
      </c>
      <c r="J142" s="578"/>
      <c r="K142" s="578" t="s">
        <v>57</v>
      </c>
      <c r="L142" s="578"/>
      <c r="M142" s="578" t="s">
        <v>57</v>
      </c>
      <c r="N142" s="578"/>
      <c r="O142" s="578" t="s">
        <v>57</v>
      </c>
      <c r="P142" s="578"/>
      <c r="Q142" s="578" t="s">
        <v>57</v>
      </c>
      <c r="R142" s="578"/>
      <c r="S142" s="578" t="s">
        <v>57</v>
      </c>
      <c r="T142" s="578"/>
      <c r="U142" s="578" t="s">
        <v>57</v>
      </c>
      <c r="V142" s="578"/>
      <c r="W142" s="578" t="s">
        <v>57</v>
      </c>
      <c r="X142" s="578"/>
      <c r="Y142" s="578" t="s">
        <v>57</v>
      </c>
      <c r="Z142" s="578"/>
      <c r="AA142" s="578" t="s">
        <v>57</v>
      </c>
      <c r="AB142" s="602"/>
    </row>
    <row r="143" spans="1:28" ht="16">
      <c r="A143" s="610"/>
      <c r="B143" s="611"/>
      <c r="C143" s="85">
        <v>0</v>
      </c>
      <c r="D143" s="82" t="s">
        <v>224</v>
      </c>
      <c r="E143" s="614" t="s">
        <v>57</v>
      </c>
      <c r="F143" s="578"/>
      <c r="G143" s="578" t="s">
        <v>57</v>
      </c>
      <c r="H143" s="578"/>
      <c r="I143" s="578" t="s">
        <v>57</v>
      </c>
      <c r="J143" s="578"/>
      <c r="K143" s="578" t="s">
        <v>57</v>
      </c>
      <c r="L143" s="578"/>
      <c r="M143" s="578" t="s">
        <v>57</v>
      </c>
      <c r="N143" s="578"/>
      <c r="O143" s="578" t="s">
        <v>57</v>
      </c>
      <c r="P143" s="578"/>
      <c r="Q143" s="578" t="s">
        <v>57</v>
      </c>
      <c r="R143" s="578"/>
      <c r="S143" s="578" t="s">
        <v>57</v>
      </c>
      <c r="T143" s="578"/>
      <c r="U143" s="578" t="s">
        <v>57</v>
      </c>
      <c r="V143" s="578"/>
      <c r="W143" s="578" t="s">
        <v>57</v>
      </c>
      <c r="X143" s="578"/>
      <c r="Y143" s="578" t="s">
        <v>57</v>
      </c>
      <c r="Z143" s="578"/>
      <c r="AA143" s="578" t="s">
        <v>57</v>
      </c>
      <c r="AB143" s="602"/>
    </row>
    <row r="144" spans="1:28" ht="16">
      <c r="A144" s="610"/>
      <c r="B144" s="611"/>
      <c r="C144" s="85">
        <v>0</v>
      </c>
      <c r="D144" s="82" t="s">
        <v>225</v>
      </c>
      <c r="E144" s="614" t="s">
        <v>57</v>
      </c>
      <c r="F144" s="578"/>
      <c r="G144" s="578" t="s">
        <v>57</v>
      </c>
      <c r="H144" s="578"/>
      <c r="I144" s="578" t="s">
        <v>57</v>
      </c>
      <c r="J144" s="578"/>
      <c r="K144" s="578" t="s">
        <v>57</v>
      </c>
      <c r="L144" s="578"/>
      <c r="M144" s="578" t="s">
        <v>57</v>
      </c>
      <c r="N144" s="578"/>
      <c r="O144" s="578" t="s">
        <v>57</v>
      </c>
      <c r="P144" s="578"/>
      <c r="Q144" s="578" t="s">
        <v>57</v>
      </c>
      <c r="R144" s="578"/>
      <c r="S144" s="578" t="s">
        <v>57</v>
      </c>
      <c r="T144" s="578"/>
      <c r="U144" s="578" t="s">
        <v>57</v>
      </c>
      <c r="V144" s="578"/>
      <c r="W144" s="578" t="s">
        <v>57</v>
      </c>
      <c r="X144" s="578"/>
      <c r="Y144" s="578" t="s">
        <v>57</v>
      </c>
      <c r="Z144" s="578"/>
      <c r="AA144" s="578" t="s">
        <v>57</v>
      </c>
      <c r="AB144" s="602"/>
    </row>
    <row r="145" spans="1:28" ht="16">
      <c r="A145" s="610"/>
      <c r="B145" s="611"/>
      <c r="C145" s="85">
        <v>0</v>
      </c>
      <c r="D145" s="82" t="s">
        <v>226</v>
      </c>
      <c r="E145" s="578" t="s">
        <v>57</v>
      </c>
      <c r="F145" s="578"/>
      <c r="G145" s="578" t="s">
        <v>57</v>
      </c>
      <c r="H145" s="578"/>
      <c r="I145" s="578" t="s">
        <v>57</v>
      </c>
      <c r="J145" s="578"/>
      <c r="K145" s="578" t="s">
        <v>57</v>
      </c>
      <c r="L145" s="578"/>
      <c r="M145" s="578" t="s">
        <v>57</v>
      </c>
      <c r="N145" s="578"/>
      <c r="O145" s="578" t="s">
        <v>57</v>
      </c>
      <c r="P145" s="578"/>
      <c r="Q145" s="578" t="s">
        <v>57</v>
      </c>
      <c r="R145" s="578"/>
      <c r="S145" s="578" t="s">
        <v>57</v>
      </c>
      <c r="T145" s="578"/>
      <c r="U145" s="578" t="s">
        <v>57</v>
      </c>
      <c r="V145" s="578"/>
      <c r="W145" s="578" t="s">
        <v>57</v>
      </c>
      <c r="X145" s="578"/>
      <c r="Y145" s="578" t="s">
        <v>57</v>
      </c>
      <c r="Z145" s="578"/>
      <c r="AA145" s="578" t="s">
        <v>57</v>
      </c>
      <c r="AB145" s="602"/>
    </row>
    <row r="146" spans="1:28" ht="16">
      <c r="A146" s="610"/>
      <c r="B146" s="611"/>
      <c r="C146" s="85">
        <v>0</v>
      </c>
      <c r="D146" s="82" t="s">
        <v>227</v>
      </c>
      <c r="E146" s="614" t="s">
        <v>57</v>
      </c>
      <c r="F146" s="578"/>
      <c r="G146" s="578" t="s">
        <v>57</v>
      </c>
      <c r="H146" s="578"/>
      <c r="I146" s="578" t="s">
        <v>57</v>
      </c>
      <c r="J146" s="578"/>
      <c r="K146" s="578" t="s">
        <v>57</v>
      </c>
      <c r="L146" s="578"/>
      <c r="M146" s="578" t="s">
        <v>57</v>
      </c>
      <c r="N146" s="578"/>
      <c r="O146" s="578" t="s">
        <v>57</v>
      </c>
      <c r="P146" s="578"/>
      <c r="Q146" s="578" t="s">
        <v>57</v>
      </c>
      <c r="R146" s="578"/>
      <c r="S146" s="578" t="s">
        <v>57</v>
      </c>
      <c r="T146" s="578"/>
      <c r="U146" s="578" t="s">
        <v>57</v>
      </c>
      <c r="V146" s="578"/>
      <c r="W146" s="578" t="s">
        <v>57</v>
      </c>
      <c r="X146" s="578"/>
      <c r="Y146" s="578" t="s">
        <v>57</v>
      </c>
      <c r="Z146" s="578"/>
      <c r="AA146" s="578" t="s">
        <v>57</v>
      </c>
      <c r="AB146" s="602"/>
    </row>
    <row r="147" spans="1:28" ht="16">
      <c r="A147" s="610"/>
      <c r="B147" s="611"/>
      <c r="C147" s="85">
        <v>1</v>
      </c>
      <c r="D147" s="82" t="s">
        <v>228</v>
      </c>
      <c r="E147" s="631" t="s">
        <v>254</v>
      </c>
      <c r="F147" s="627"/>
      <c r="G147" s="578" t="s">
        <v>57</v>
      </c>
      <c r="H147" s="578"/>
      <c r="I147" s="578" t="s">
        <v>57</v>
      </c>
      <c r="J147" s="578"/>
      <c r="K147" s="578" t="s">
        <v>57</v>
      </c>
      <c r="L147" s="578"/>
      <c r="M147" s="578" t="s">
        <v>57</v>
      </c>
      <c r="N147" s="578"/>
      <c r="O147" s="578" t="s">
        <v>57</v>
      </c>
      <c r="P147" s="578"/>
      <c r="Q147" s="578" t="s">
        <v>57</v>
      </c>
      <c r="R147" s="578"/>
      <c r="S147" s="578" t="s">
        <v>57</v>
      </c>
      <c r="T147" s="578"/>
      <c r="U147" s="578" t="s">
        <v>57</v>
      </c>
      <c r="V147" s="578"/>
      <c r="W147" s="578" t="s">
        <v>57</v>
      </c>
      <c r="X147" s="578"/>
      <c r="Y147" s="578" t="s">
        <v>57</v>
      </c>
      <c r="Z147" s="578"/>
      <c r="AA147" s="578" t="s">
        <v>57</v>
      </c>
      <c r="AB147" s="602"/>
    </row>
    <row r="148" spans="1:28" ht="16">
      <c r="A148" s="610"/>
      <c r="B148" s="611"/>
      <c r="C148" s="85">
        <v>0</v>
      </c>
      <c r="D148" s="82" t="s">
        <v>229</v>
      </c>
      <c r="E148" s="614" t="s">
        <v>57</v>
      </c>
      <c r="F148" s="578"/>
      <c r="G148" s="578" t="s">
        <v>57</v>
      </c>
      <c r="H148" s="578"/>
      <c r="I148" s="578" t="s">
        <v>57</v>
      </c>
      <c r="J148" s="578"/>
      <c r="K148" s="578" t="s">
        <v>57</v>
      </c>
      <c r="L148" s="578"/>
      <c r="M148" s="578" t="s">
        <v>57</v>
      </c>
      <c r="N148" s="578"/>
      <c r="O148" s="578" t="s">
        <v>57</v>
      </c>
      <c r="P148" s="578"/>
      <c r="Q148" s="578" t="s">
        <v>57</v>
      </c>
      <c r="R148" s="578"/>
      <c r="S148" s="578" t="s">
        <v>57</v>
      </c>
      <c r="T148" s="578"/>
      <c r="U148" s="578" t="s">
        <v>57</v>
      </c>
      <c r="V148" s="578"/>
      <c r="W148" s="578" t="s">
        <v>57</v>
      </c>
      <c r="X148" s="578"/>
      <c r="Y148" s="578" t="s">
        <v>57</v>
      </c>
      <c r="Z148" s="578"/>
      <c r="AA148" s="578" t="s">
        <v>57</v>
      </c>
      <c r="AB148" s="602"/>
    </row>
    <row r="149" spans="1:28" ht="16">
      <c r="A149" s="610"/>
      <c r="B149" s="611"/>
      <c r="C149" s="85">
        <v>0</v>
      </c>
      <c r="D149" s="82" t="s">
        <v>230</v>
      </c>
      <c r="E149" s="614" t="s">
        <v>57</v>
      </c>
      <c r="F149" s="578"/>
      <c r="G149" s="578" t="s">
        <v>57</v>
      </c>
      <c r="H149" s="578"/>
      <c r="I149" s="578" t="s">
        <v>57</v>
      </c>
      <c r="J149" s="578"/>
      <c r="K149" s="578" t="s">
        <v>57</v>
      </c>
      <c r="L149" s="578"/>
      <c r="M149" s="578" t="s">
        <v>57</v>
      </c>
      <c r="N149" s="578"/>
      <c r="O149" s="578" t="s">
        <v>57</v>
      </c>
      <c r="P149" s="578"/>
      <c r="Q149" s="578" t="s">
        <v>57</v>
      </c>
      <c r="R149" s="578"/>
      <c r="S149" s="578" t="s">
        <v>57</v>
      </c>
      <c r="T149" s="578"/>
      <c r="U149" s="578" t="s">
        <v>57</v>
      </c>
      <c r="V149" s="578"/>
      <c r="W149" s="578" t="s">
        <v>57</v>
      </c>
      <c r="X149" s="578"/>
      <c r="Y149" s="578" t="s">
        <v>57</v>
      </c>
      <c r="Z149" s="578"/>
      <c r="AA149" s="578" t="s">
        <v>57</v>
      </c>
      <c r="AB149" s="602"/>
    </row>
    <row r="150" spans="1:28" ht="16">
      <c r="A150" s="610"/>
      <c r="B150" s="611"/>
      <c r="C150" s="85">
        <v>0</v>
      </c>
      <c r="D150" s="404" t="s">
        <v>231</v>
      </c>
      <c r="E150" s="614" t="s">
        <v>57</v>
      </c>
      <c r="F150" s="578"/>
      <c r="G150" s="578" t="s">
        <v>57</v>
      </c>
      <c r="H150" s="578"/>
      <c r="I150" s="578" t="s">
        <v>57</v>
      </c>
      <c r="J150" s="578"/>
      <c r="K150" s="578" t="s">
        <v>57</v>
      </c>
      <c r="L150" s="578"/>
      <c r="M150" s="578" t="s">
        <v>57</v>
      </c>
      <c r="N150" s="578"/>
      <c r="O150" s="578" t="s">
        <v>57</v>
      </c>
      <c r="P150" s="578"/>
      <c r="Q150" s="578" t="s">
        <v>57</v>
      </c>
      <c r="R150" s="578"/>
      <c r="S150" s="578" t="s">
        <v>57</v>
      </c>
      <c r="T150" s="578"/>
      <c r="U150" s="578" t="s">
        <v>57</v>
      </c>
      <c r="V150" s="578"/>
      <c r="W150" s="578" t="s">
        <v>57</v>
      </c>
      <c r="X150" s="578"/>
      <c r="Y150" s="578" t="s">
        <v>57</v>
      </c>
      <c r="Z150" s="578"/>
      <c r="AA150" s="578" t="s">
        <v>57</v>
      </c>
      <c r="AB150" s="602"/>
    </row>
    <row r="151" spans="1:28" ht="16">
      <c r="A151" s="610"/>
      <c r="B151" s="611"/>
      <c r="C151" s="85">
        <v>0</v>
      </c>
      <c r="D151" s="404" t="s">
        <v>232</v>
      </c>
      <c r="E151" s="614" t="s">
        <v>57</v>
      </c>
      <c r="F151" s="578"/>
      <c r="G151" s="578" t="s">
        <v>57</v>
      </c>
      <c r="H151" s="578"/>
      <c r="I151" s="578" t="s">
        <v>57</v>
      </c>
      <c r="J151" s="578"/>
      <c r="K151" s="578" t="s">
        <v>57</v>
      </c>
      <c r="L151" s="578"/>
      <c r="M151" s="578" t="s">
        <v>57</v>
      </c>
      <c r="N151" s="578"/>
      <c r="O151" s="578" t="s">
        <v>57</v>
      </c>
      <c r="P151" s="578"/>
      <c r="Q151" s="578" t="s">
        <v>57</v>
      </c>
      <c r="R151" s="578"/>
      <c r="S151" s="578" t="s">
        <v>57</v>
      </c>
      <c r="T151" s="578"/>
      <c r="U151" s="578" t="s">
        <v>57</v>
      </c>
      <c r="V151" s="578"/>
      <c r="W151" s="578" t="s">
        <v>57</v>
      </c>
      <c r="X151" s="578"/>
      <c r="Y151" s="578" t="s">
        <v>57</v>
      </c>
      <c r="Z151" s="578"/>
      <c r="AA151" s="578" t="s">
        <v>57</v>
      </c>
      <c r="AB151" s="602"/>
    </row>
    <row r="152" spans="1:28" ht="16">
      <c r="A152" s="610"/>
      <c r="B152" s="611"/>
      <c r="C152" s="85">
        <v>0</v>
      </c>
      <c r="D152" s="404" t="s">
        <v>233</v>
      </c>
      <c r="E152" s="614" t="s">
        <v>57</v>
      </c>
      <c r="F152" s="578"/>
      <c r="G152" s="578" t="s">
        <v>57</v>
      </c>
      <c r="H152" s="578"/>
      <c r="I152" s="578" t="s">
        <v>57</v>
      </c>
      <c r="J152" s="578"/>
      <c r="K152" s="578" t="s">
        <v>57</v>
      </c>
      <c r="L152" s="578"/>
      <c r="M152" s="578" t="s">
        <v>57</v>
      </c>
      <c r="N152" s="578"/>
      <c r="O152" s="578" t="s">
        <v>57</v>
      </c>
      <c r="P152" s="578"/>
      <c r="Q152" s="578" t="s">
        <v>57</v>
      </c>
      <c r="R152" s="578"/>
      <c r="S152" s="578" t="s">
        <v>57</v>
      </c>
      <c r="T152" s="578"/>
      <c r="U152" s="578" t="s">
        <v>57</v>
      </c>
      <c r="V152" s="578"/>
      <c r="W152" s="578" t="s">
        <v>57</v>
      </c>
      <c r="X152" s="578"/>
      <c r="Y152" s="578" t="s">
        <v>57</v>
      </c>
      <c r="Z152" s="578"/>
      <c r="AA152" s="578" t="s">
        <v>57</v>
      </c>
      <c r="AB152" s="602"/>
    </row>
    <row r="153" spans="1:28" ht="16">
      <c r="A153" s="610"/>
      <c r="B153" s="611"/>
      <c r="C153" s="85">
        <v>0</v>
      </c>
      <c r="D153" s="404" t="s">
        <v>234</v>
      </c>
      <c r="E153" s="614" t="s">
        <v>57</v>
      </c>
      <c r="F153" s="578"/>
      <c r="G153" s="578" t="s">
        <v>57</v>
      </c>
      <c r="H153" s="578"/>
      <c r="I153" s="578" t="s">
        <v>57</v>
      </c>
      <c r="J153" s="578"/>
      <c r="K153" s="578" t="s">
        <v>57</v>
      </c>
      <c r="L153" s="578"/>
      <c r="M153" s="578" t="s">
        <v>57</v>
      </c>
      <c r="N153" s="578"/>
      <c r="O153" s="578" t="s">
        <v>57</v>
      </c>
      <c r="P153" s="578"/>
      <c r="Q153" s="578" t="s">
        <v>57</v>
      </c>
      <c r="R153" s="578"/>
      <c r="S153" s="578" t="s">
        <v>57</v>
      </c>
      <c r="T153" s="578"/>
      <c r="U153" s="578" t="s">
        <v>57</v>
      </c>
      <c r="V153" s="578"/>
      <c r="W153" s="578" t="s">
        <v>57</v>
      </c>
      <c r="X153" s="578"/>
      <c r="Y153" s="578" t="s">
        <v>57</v>
      </c>
      <c r="Z153" s="578"/>
      <c r="AA153" s="578" t="s">
        <v>57</v>
      </c>
      <c r="AB153" s="602"/>
    </row>
    <row r="154" spans="1:28" ht="16">
      <c r="A154" s="610"/>
      <c r="B154" s="611"/>
      <c r="C154" s="85">
        <v>0</v>
      </c>
      <c r="D154" s="404" t="s">
        <v>235</v>
      </c>
      <c r="E154" s="614" t="s">
        <v>57</v>
      </c>
      <c r="F154" s="578"/>
      <c r="G154" s="578" t="s">
        <v>57</v>
      </c>
      <c r="H154" s="578"/>
      <c r="I154" s="578" t="s">
        <v>57</v>
      </c>
      <c r="J154" s="578"/>
      <c r="K154" s="578" t="s">
        <v>57</v>
      </c>
      <c r="L154" s="578"/>
      <c r="M154" s="578" t="s">
        <v>57</v>
      </c>
      <c r="N154" s="578"/>
      <c r="O154" s="578" t="s">
        <v>57</v>
      </c>
      <c r="P154" s="578"/>
      <c r="Q154" s="578" t="s">
        <v>57</v>
      </c>
      <c r="R154" s="578"/>
      <c r="S154" s="578" t="s">
        <v>57</v>
      </c>
      <c r="T154" s="578"/>
      <c r="U154" s="578" t="s">
        <v>57</v>
      </c>
      <c r="V154" s="578"/>
      <c r="W154" s="578" t="s">
        <v>57</v>
      </c>
      <c r="X154" s="578"/>
      <c r="Y154" s="578" t="s">
        <v>57</v>
      </c>
      <c r="Z154" s="578"/>
      <c r="AA154" s="578" t="s">
        <v>57</v>
      </c>
      <c r="AB154" s="602"/>
    </row>
    <row r="155" spans="1:28" ht="16">
      <c r="A155" s="610"/>
      <c r="B155" s="611"/>
      <c r="C155" s="85">
        <v>0</v>
      </c>
      <c r="D155" s="82" t="s">
        <v>236</v>
      </c>
      <c r="E155" s="614" t="s">
        <v>57</v>
      </c>
      <c r="F155" s="578"/>
      <c r="G155" s="578" t="s">
        <v>57</v>
      </c>
      <c r="H155" s="578"/>
      <c r="I155" s="578" t="s">
        <v>57</v>
      </c>
      <c r="J155" s="578"/>
      <c r="K155" s="578" t="s">
        <v>57</v>
      </c>
      <c r="L155" s="578"/>
      <c r="M155" s="578" t="s">
        <v>57</v>
      </c>
      <c r="N155" s="578"/>
      <c r="O155" s="578" t="s">
        <v>57</v>
      </c>
      <c r="P155" s="578"/>
      <c r="Q155" s="578" t="s">
        <v>57</v>
      </c>
      <c r="R155" s="578"/>
      <c r="S155" s="578" t="s">
        <v>57</v>
      </c>
      <c r="T155" s="578"/>
      <c r="U155" s="578" t="s">
        <v>57</v>
      </c>
      <c r="V155" s="578"/>
      <c r="W155" s="578" t="s">
        <v>57</v>
      </c>
      <c r="X155" s="578"/>
      <c r="Y155" s="578" t="s">
        <v>57</v>
      </c>
      <c r="Z155" s="578"/>
      <c r="AA155" s="578" t="s">
        <v>57</v>
      </c>
      <c r="AB155" s="602"/>
    </row>
    <row r="156" spans="1:28" ht="16">
      <c r="A156" s="610"/>
      <c r="B156" s="611"/>
      <c r="C156" s="85">
        <v>1</v>
      </c>
      <c r="D156" s="82" t="s">
        <v>237</v>
      </c>
      <c r="E156" s="631" t="s">
        <v>274</v>
      </c>
      <c r="F156" s="627"/>
      <c r="G156" s="578" t="s">
        <v>57</v>
      </c>
      <c r="H156" s="578"/>
      <c r="I156" s="578" t="s">
        <v>57</v>
      </c>
      <c r="J156" s="578"/>
      <c r="K156" s="578" t="s">
        <v>57</v>
      </c>
      <c r="L156" s="578"/>
      <c r="M156" s="578" t="s">
        <v>57</v>
      </c>
      <c r="N156" s="578"/>
      <c r="O156" s="578" t="s">
        <v>57</v>
      </c>
      <c r="P156" s="578"/>
      <c r="Q156" s="578" t="s">
        <v>57</v>
      </c>
      <c r="R156" s="578"/>
      <c r="S156" s="578" t="s">
        <v>57</v>
      </c>
      <c r="T156" s="578"/>
      <c r="U156" s="578" t="s">
        <v>57</v>
      </c>
      <c r="V156" s="578"/>
      <c r="W156" s="578" t="s">
        <v>57</v>
      </c>
      <c r="X156" s="578"/>
      <c r="Y156" s="578" t="s">
        <v>57</v>
      </c>
      <c r="Z156" s="578"/>
      <c r="AA156" s="578" t="s">
        <v>57</v>
      </c>
      <c r="AB156" s="602"/>
    </row>
    <row r="157" spans="1:28" ht="16">
      <c r="A157" s="610"/>
      <c r="B157" s="611"/>
      <c r="C157" s="85">
        <v>0</v>
      </c>
      <c r="D157" s="82" t="s">
        <v>238</v>
      </c>
      <c r="E157" s="614" t="s">
        <v>57</v>
      </c>
      <c r="F157" s="578"/>
      <c r="G157" s="578" t="s">
        <v>57</v>
      </c>
      <c r="H157" s="578"/>
      <c r="I157" s="578" t="s">
        <v>57</v>
      </c>
      <c r="J157" s="578"/>
      <c r="K157" s="578" t="s">
        <v>57</v>
      </c>
      <c r="L157" s="578"/>
      <c r="M157" s="578" t="s">
        <v>57</v>
      </c>
      <c r="N157" s="578"/>
      <c r="O157" s="578" t="s">
        <v>57</v>
      </c>
      <c r="P157" s="578"/>
      <c r="Q157" s="578" t="s">
        <v>57</v>
      </c>
      <c r="R157" s="578"/>
      <c r="S157" s="578" t="s">
        <v>57</v>
      </c>
      <c r="T157" s="578"/>
      <c r="U157" s="578" t="s">
        <v>57</v>
      </c>
      <c r="V157" s="578"/>
      <c r="W157" s="578" t="s">
        <v>57</v>
      </c>
      <c r="X157" s="578"/>
      <c r="Y157" s="578" t="s">
        <v>57</v>
      </c>
      <c r="Z157" s="578"/>
      <c r="AA157" s="578" t="s">
        <v>57</v>
      </c>
      <c r="AB157" s="602"/>
    </row>
    <row r="158" spans="1:28" ht="17" thickBot="1">
      <c r="A158" s="610"/>
      <c r="B158" s="611"/>
      <c r="C158" s="85">
        <v>0</v>
      </c>
      <c r="D158" s="411" t="s">
        <v>239</v>
      </c>
      <c r="E158" s="616" t="s">
        <v>57</v>
      </c>
      <c r="F158" s="603"/>
      <c r="G158" s="603" t="s">
        <v>57</v>
      </c>
      <c r="H158" s="603"/>
      <c r="I158" s="603" t="s">
        <v>57</v>
      </c>
      <c r="J158" s="603"/>
      <c r="K158" s="603" t="s">
        <v>57</v>
      </c>
      <c r="L158" s="603"/>
      <c r="M158" s="603" t="s">
        <v>57</v>
      </c>
      <c r="N158" s="603"/>
      <c r="O158" s="603" t="s">
        <v>57</v>
      </c>
      <c r="P158" s="603"/>
      <c r="Q158" s="603" t="s">
        <v>57</v>
      </c>
      <c r="R158" s="603"/>
      <c r="S158" s="603" t="s">
        <v>57</v>
      </c>
      <c r="T158" s="603"/>
      <c r="U158" s="603" t="s">
        <v>57</v>
      </c>
      <c r="V158" s="603"/>
      <c r="W158" s="603" t="s">
        <v>57</v>
      </c>
      <c r="X158" s="603"/>
      <c r="Y158" s="603" t="s">
        <v>57</v>
      </c>
      <c r="Z158" s="603"/>
      <c r="AA158" s="603" t="s">
        <v>57</v>
      </c>
      <c r="AB158" s="636"/>
    </row>
    <row r="159" spans="1:28" ht="16">
      <c r="A159" s="585" t="s">
        <v>58</v>
      </c>
      <c r="B159" s="586"/>
      <c r="C159" s="402">
        <f>SUM($C$133:$C$158)</f>
        <v>3</v>
      </c>
      <c r="D159" s="405" t="s">
        <v>130</v>
      </c>
      <c r="E159" s="637" t="s">
        <v>256</v>
      </c>
      <c r="F159" s="638"/>
      <c r="G159" s="579" t="s">
        <v>57</v>
      </c>
      <c r="H159" s="579"/>
      <c r="I159" s="579" t="s">
        <v>57</v>
      </c>
      <c r="J159" s="579"/>
      <c r="K159" s="579" t="s">
        <v>57</v>
      </c>
      <c r="L159" s="579"/>
      <c r="M159" s="579" t="s">
        <v>57</v>
      </c>
      <c r="N159" s="579"/>
      <c r="O159" s="579" t="s">
        <v>57</v>
      </c>
      <c r="P159" s="579"/>
      <c r="Q159" s="579" t="s">
        <v>57</v>
      </c>
      <c r="R159" s="579"/>
      <c r="S159" s="579" t="s">
        <v>57</v>
      </c>
      <c r="T159" s="579"/>
      <c r="U159" s="579" t="s">
        <v>57</v>
      </c>
      <c r="V159" s="579"/>
      <c r="W159" s="579" t="s">
        <v>57</v>
      </c>
      <c r="X159" s="579"/>
      <c r="Y159" s="579" t="s">
        <v>57</v>
      </c>
      <c r="Z159" s="579"/>
      <c r="AA159" s="579" t="s">
        <v>57</v>
      </c>
      <c r="AB159" s="601"/>
    </row>
    <row r="160" spans="1:28" ht="16">
      <c r="A160" s="587"/>
      <c r="B160" s="588"/>
      <c r="C160" s="85">
        <f>SUM($C$133:$C$158)</f>
        <v>3</v>
      </c>
      <c r="D160" s="82" t="s">
        <v>255</v>
      </c>
      <c r="E160" s="626" t="s">
        <v>257</v>
      </c>
      <c r="F160" s="627"/>
      <c r="G160" s="578" t="s">
        <v>57</v>
      </c>
      <c r="H160" s="578"/>
      <c r="I160" s="578" t="s">
        <v>57</v>
      </c>
      <c r="J160" s="578"/>
      <c r="K160" s="578" t="s">
        <v>57</v>
      </c>
      <c r="L160" s="578"/>
      <c r="M160" s="578" t="s">
        <v>57</v>
      </c>
      <c r="N160" s="578"/>
      <c r="O160" s="578" t="s">
        <v>57</v>
      </c>
      <c r="P160" s="578"/>
      <c r="Q160" s="578" t="s">
        <v>57</v>
      </c>
      <c r="R160" s="578"/>
      <c r="S160" s="578" t="s">
        <v>57</v>
      </c>
      <c r="T160" s="578"/>
      <c r="U160" s="578" t="s">
        <v>57</v>
      </c>
      <c r="V160" s="578"/>
      <c r="W160" s="578" t="s">
        <v>57</v>
      </c>
      <c r="X160" s="578"/>
      <c r="Y160" s="578" t="s">
        <v>57</v>
      </c>
      <c r="Z160" s="578"/>
      <c r="AA160" s="578" t="s">
        <v>57</v>
      </c>
      <c r="AB160" s="602"/>
    </row>
    <row r="161" spans="1:28" ht="16">
      <c r="A161" s="587"/>
      <c r="B161" s="588"/>
      <c r="C161" s="85">
        <f t="shared" ref="C161:C163" si="265">SUM($C$133:$C$158)</f>
        <v>3</v>
      </c>
      <c r="D161" s="82" t="s">
        <v>246</v>
      </c>
      <c r="E161" s="626" t="s">
        <v>258</v>
      </c>
      <c r="F161" s="627"/>
      <c r="G161" s="578" t="s">
        <v>57</v>
      </c>
      <c r="H161" s="578"/>
      <c r="I161" s="578" t="s">
        <v>57</v>
      </c>
      <c r="J161" s="578"/>
      <c r="K161" s="578" t="s">
        <v>57</v>
      </c>
      <c r="L161" s="578"/>
      <c r="M161" s="578" t="s">
        <v>57</v>
      </c>
      <c r="N161" s="578"/>
      <c r="O161" s="578" t="s">
        <v>57</v>
      </c>
      <c r="P161" s="578"/>
      <c r="Q161" s="578" t="s">
        <v>57</v>
      </c>
      <c r="R161" s="578"/>
      <c r="S161" s="578" t="s">
        <v>57</v>
      </c>
      <c r="T161" s="578"/>
      <c r="U161" s="578" t="s">
        <v>57</v>
      </c>
      <c r="V161" s="578"/>
      <c r="W161" s="578" t="s">
        <v>57</v>
      </c>
      <c r="X161" s="578"/>
      <c r="Y161" s="578" t="s">
        <v>57</v>
      </c>
      <c r="Z161" s="578"/>
      <c r="AA161" s="578" t="s">
        <v>57</v>
      </c>
      <c r="AB161" s="602"/>
    </row>
    <row r="162" spans="1:28" ht="16">
      <c r="A162" s="587"/>
      <c r="B162" s="588"/>
      <c r="C162" s="85">
        <f t="shared" si="265"/>
        <v>3</v>
      </c>
      <c r="D162" s="82" t="s">
        <v>247</v>
      </c>
      <c r="E162" s="626" t="s">
        <v>259</v>
      </c>
      <c r="F162" s="627"/>
      <c r="G162" s="578" t="s">
        <v>57</v>
      </c>
      <c r="H162" s="578"/>
      <c r="I162" s="578" t="s">
        <v>57</v>
      </c>
      <c r="J162" s="578"/>
      <c r="K162" s="578" t="s">
        <v>57</v>
      </c>
      <c r="L162" s="578"/>
      <c r="M162" s="578" t="s">
        <v>57</v>
      </c>
      <c r="N162" s="578"/>
      <c r="O162" s="578" t="s">
        <v>57</v>
      </c>
      <c r="P162" s="578"/>
      <c r="Q162" s="578" t="s">
        <v>57</v>
      </c>
      <c r="R162" s="578"/>
      <c r="S162" s="578" t="s">
        <v>57</v>
      </c>
      <c r="T162" s="578"/>
      <c r="U162" s="578" t="s">
        <v>57</v>
      </c>
      <c r="V162" s="578"/>
      <c r="W162" s="578" t="s">
        <v>57</v>
      </c>
      <c r="X162" s="578"/>
      <c r="Y162" s="578" t="s">
        <v>57</v>
      </c>
      <c r="Z162" s="578"/>
      <c r="AA162" s="578" t="s">
        <v>57</v>
      </c>
      <c r="AB162" s="602"/>
    </row>
    <row r="163" spans="1:28" ht="17" thickBot="1">
      <c r="A163" s="587"/>
      <c r="B163" s="588"/>
      <c r="C163" s="85">
        <f t="shared" si="265"/>
        <v>3</v>
      </c>
      <c r="D163" s="82" t="s">
        <v>249</v>
      </c>
      <c r="E163" s="639" t="s">
        <v>260</v>
      </c>
      <c r="F163" s="640"/>
      <c r="G163" s="618" t="s">
        <v>57</v>
      </c>
      <c r="H163" s="618"/>
      <c r="I163" s="618" t="s">
        <v>57</v>
      </c>
      <c r="J163" s="618"/>
      <c r="K163" s="618" t="s">
        <v>57</v>
      </c>
      <c r="L163" s="618"/>
      <c r="M163" s="618" t="s">
        <v>57</v>
      </c>
      <c r="N163" s="618"/>
      <c r="O163" s="618" t="s">
        <v>57</v>
      </c>
      <c r="P163" s="618"/>
      <c r="Q163" s="618" t="s">
        <v>57</v>
      </c>
      <c r="R163" s="618"/>
      <c r="S163" s="618" t="s">
        <v>57</v>
      </c>
      <c r="T163" s="618"/>
      <c r="U163" s="618" t="s">
        <v>57</v>
      </c>
      <c r="V163" s="618"/>
      <c r="W163" s="618" t="s">
        <v>57</v>
      </c>
      <c r="X163" s="618"/>
      <c r="Y163" s="618" t="s">
        <v>57</v>
      </c>
      <c r="Z163" s="618"/>
      <c r="AA163" s="618" t="s">
        <v>57</v>
      </c>
      <c r="AB163" s="619"/>
    </row>
    <row r="164" spans="1:28">
      <c r="A164" s="585" t="s">
        <v>59</v>
      </c>
      <c r="B164" s="586"/>
      <c r="C164" s="402">
        <v>1</v>
      </c>
      <c r="D164" s="406" t="s">
        <v>248</v>
      </c>
      <c r="E164" s="623" t="s">
        <v>57</v>
      </c>
      <c r="F164" s="579"/>
      <c r="G164" s="579" t="s">
        <v>57</v>
      </c>
      <c r="H164" s="579"/>
      <c r="I164" s="579" t="s">
        <v>57</v>
      </c>
      <c r="J164" s="579"/>
      <c r="K164" s="579" t="s">
        <v>57</v>
      </c>
      <c r="L164" s="579"/>
      <c r="M164" s="579" t="s">
        <v>57</v>
      </c>
      <c r="N164" s="579"/>
      <c r="O164" s="579" t="s">
        <v>57</v>
      </c>
      <c r="P164" s="579"/>
      <c r="Q164" s="579" t="s">
        <v>57</v>
      </c>
      <c r="R164" s="579"/>
      <c r="S164" s="579" t="s">
        <v>57</v>
      </c>
      <c r="T164" s="579"/>
      <c r="U164" s="579" t="s">
        <v>57</v>
      </c>
      <c r="V164" s="579"/>
      <c r="W164" s="579" t="s">
        <v>57</v>
      </c>
      <c r="X164" s="579"/>
      <c r="Y164" s="579" t="s">
        <v>57</v>
      </c>
      <c r="Z164" s="579"/>
      <c r="AA164" s="579" t="s">
        <v>57</v>
      </c>
      <c r="AB164" s="601"/>
    </row>
    <row r="165" spans="1:28" ht="16" thickBot="1">
      <c r="A165" s="589"/>
      <c r="B165" s="590"/>
      <c r="C165" s="407">
        <v>1</v>
      </c>
      <c r="D165" s="408" t="s">
        <v>250</v>
      </c>
      <c r="E165" s="632" t="s">
        <v>57</v>
      </c>
      <c r="F165" s="618"/>
      <c r="G165" s="618" t="s">
        <v>57</v>
      </c>
      <c r="H165" s="618"/>
      <c r="I165" s="618" t="s">
        <v>57</v>
      </c>
      <c r="J165" s="618"/>
      <c r="K165" s="618" t="s">
        <v>57</v>
      </c>
      <c r="L165" s="618"/>
      <c r="M165" s="618" t="s">
        <v>57</v>
      </c>
      <c r="N165" s="618"/>
      <c r="O165" s="618" t="s">
        <v>57</v>
      </c>
      <c r="P165" s="618"/>
      <c r="Q165" s="618" t="s">
        <v>57</v>
      </c>
      <c r="R165" s="618"/>
      <c r="S165" s="618" t="s">
        <v>57</v>
      </c>
      <c r="T165" s="618"/>
      <c r="U165" s="633" t="s">
        <v>57</v>
      </c>
      <c r="V165" s="632"/>
      <c r="W165" s="618" t="s">
        <v>57</v>
      </c>
      <c r="X165" s="618"/>
      <c r="Y165" s="618" t="s">
        <v>57</v>
      </c>
      <c r="Z165" s="618"/>
      <c r="AA165" s="618" t="s">
        <v>57</v>
      </c>
      <c r="AB165" s="619"/>
    </row>
  </sheetData>
  <mergeCells count="1345">
    <mergeCell ref="E157:F157"/>
    <mergeCell ref="E155:F155"/>
    <mergeCell ref="G155:H155"/>
    <mergeCell ref="I155:J155"/>
    <mergeCell ref="K155:L155"/>
    <mergeCell ref="M155:N155"/>
    <mergeCell ref="O155:P155"/>
    <mergeCell ref="Q155:R155"/>
    <mergeCell ref="S155:T155"/>
    <mergeCell ref="U155:V155"/>
    <mergeCell ref="W155:X155"/>
    <mergeCell ref="Y155:Z155"/>
    <mergeCell ref="AA155:AB155"/>
    <mergeCell ref="E156:F156"/>
    <mergeCell ref="G156:H156"/>
    <mergeCell ref="I156:J156"/>
    <mergeCell ref="K156:L156"/>
    <mergeCell ref="M156:N156"/>
    <mergeCell ref="O156:P156"/>
    <mergeCell ref="Q156:R156"/>
    <mergeCell ref="S156:T156"/>
    <mergeCell ref="U156:V156"/>
    <mergeCell ref="W156:X156"/>
    <mergeCell ref="Y156:Z156"/>
    <mergeCell ref="AA156:AB156"/>
    <mergeCell ref="E153:F153"/>
    <mergeCell ref="G153:H153"/>
    <mergeCell ref="I153:J153"/>
    <mergeCell ref="K153:L153"/>
    <mergeCell ref="M153:N153"/>
    <mergeCell ref="O153:P153"/>
    <mergeCell ref="Q153:R153"/>
    <mergeCell ref="S153:T153"/>
    <mergeCell ref="U153:V153"/>
    <mergeCell ref="W153:X153"/>
    <mergeCell ref="Y153:Z153"/>
    <mergeCell ref="AA153:AB153"/>
    <mergeCell ref="E154:F154"/>
    <mergeCell ref="G154:H154"/>
    <mergeCell ref="I154:J154"/>
    <mergeCell ref="K154:L154"/>
    <mergeCell ref="M154:N154"/>
    <mergeCell ref="O154:P154"/>
    <mergeCell ref="Q154:R154"/>
    <mergeCell ref="S154:T154"/>
    <mergeCell ref="U154:V154"/>
    <mergeCell ref="W154:X154"/>
    <mergeCell ref="Y154:Z154"/>
    <mergeCell ref="AA154:AB154"/>
    <mergeCell ref="E151:F151"/>
    <mergeCell ref="G151:H151"/>
    <mergeCell ref="I151:J151"/>
    <mergeCell ref="K151:L151"/>
    <mergeCell ref="M151:N151"/>
    <mergeCell ref="O151:P151"/>
    <mergeCell ref="Q151:R151"/>
    <mergeCell ref="S151:T151"/>
    <mergeCell ref="U151:V151"/>
    <mergeCell ref="W151:X151"/>
    <mergeCell ref="Y151:Z151"/>
    <mergeCell ref="AA151:AB151"/>
    <mergeCell ref="E152:F152"/>
    <mergeCell ref="G152:H152"/>
    <mergeCell ref="I152:J152"/>
    <mergeCell ref="K152:L152"/>
    <mergeCell ref="M152:N152"/>
    <mergeCell ref="O152:P152"/>
    <mergeCell ref="Q152:R152"/>
    <mergeCell ref="S152:T152"/>
    <mergeCell ref="U152:V152"/>
    <mergeCell ref="W152:X152"/>
    <mergeCell ref="Y152:Z152"/>
    <mergeCell ref="AA152:AB152"/>
    <mergeCell ref="E149:F149"/>
    <mergeCell ref="G149:H149"/>
    <mergeCell ref="I149:J149"/>
    <mergeCell ref="K149:L149"/>
    <mergeCell ref="M149:N149"/>
    <mergeCell ref="O149:P149"/>
    <mergeCell ref="Q149:R149"/>
    <mergeCell ref="S149:T149"/>
    <mergeCell ref="U149:V149"/>
    <mergeCell ref="W149:X149"/>
    <mergeCell ref="Y149:Z149"/>
    <mergeCell ref="AA149:AB149"/>
    <mergeCell ref="E150:F150"/>
    <mergeCell ref="G150:H150"/>
    <mergeCell ref="I150:J150"/>
    <mergeCell ref="K150:L150"/>
    <mergeCell ref="M150:N150"/>
    <mergeCell ref="O150:P150"/>
    <mergeCell ref="Q150:R150"/>
    <mergeCell ref="S150:T150"/>
    <mergeCell ref="U150:V150"/>
    <mergeCell ref="W150:X150"/>
    <mergeCell ref="Y150:Z150"/>
    <mergeCell ref="AA150:AB150"/>
    <mergeCell ref="E148:F148"/>
    <mergeCell ref="G148:H148"/>
    <mergeCell ref="I148:J148"/>
    <mergeCell ref="K148:L148"/>
    <mergeCell ref="M148:N148"/>
    <mergeCell ref="O148:P148"/>
    <mergeCell ref="Q148:R148"/>
    <mergeCell ref="S148:T148"/>
    <mergeCell ref="U148:V148"/>
    <mergeCell ref="W148:X148"/>
    <mergeCell ref="Y148:Z148"/>
    <mergeCell ref="AA148:AB148"/>
    <mergeCell ref="M147:N147"/>
    <mergeCell ref="O147:P147"/>
    <mergeCell ref="Q147:R147"/>
    <mergeCell ref="S147:T147"/>
    <mergeCell ref="U147:V147"/>
    <mergeCell ref="G147:H147"/>
    <mergeCell ref="I147:J147"/>
    <mergeCell ref="K147:L147"/>
    <mergeCell ref="E103:F103"/>
    <mergeCell ref="G103:H103"/>
    <mergeCell ref="I103:J103"/>
    <mergeCell ref="K103:L103"/>
    <mergeCell ref="M103:N103"/>
    <mergeCell ref="O103:P103"/>
    <mergeCell ref="Q103:R103"/>
    <mergeCell ref="S103:T103"/>
    <mergeCell ref="U103:V103"/>
    <mergeCell ref="W103:X103"/>
    <mergeCell ref="Y103:Z103"/>
    <mergeCell ref="AA103:AB103"/>
    <mergeCell ref="M146:N146"/>
    <mergeCell ref="O146:P146"/>
    <mergeCell ref="Q146:R146"/>
    <mergeCell ref="S146:T146"/>
    <mergeCell ref="U146:V146"/>
    <mergeCell ref="W146:X146"/>
    <mergeCell ref="Y146:Z146"/>
    <mergeCell ref="AA146:AB146"/>
    <mergeCell ref="AA144:AB144"/>
    <mergeCell ref="E145:F145"/>
    <mergeCell ref="G145:H145"/>
    <mergeCell ref="I145:J145"/>
    <mergeCell ref="K145:L145"/>
    <mergeCell ref="M145:N145"/>
    <mergeCell ref="O145:P145"/>
    <mergeCell ref="Q145:R145"/>
    <mergeCell ref="S145:T145"/>
    <mergeCell ref="U145:V145"/>
    <mergeCell ref="W145:X145"/>
    <mergeCell ref="Y145:Z145"/>
    <mergeCell ref="E101:F101"/>
    <mergeCell ref="G101:H101"/>
    <mergeCell ref="I101:J101"/>
    <mergeCell ref="K101:L101"/>
    <mergeCell ref="M101:N101"/>
    <mergeCell ref="O101:P101"/>
    <mergeCell ref="Q101:R101"/>
    <mergeCell ref="S101:T101"/>
    <mergeCell ref="U101:V101"/>
    <mergeCell ref="W101:X101"/>
    <mergeCell ref="Y101:Z101"/>
    <mergeCell ref="AA101:AB101"/>
    <mergeCell ref="E102:F102"/>
    <mergeCell ref="G102:H102"/>
    <mergeCell ref="I102:J102"/>
    <mergeCell ref="K102:L102"/>
    <mergeCell ref="M102:N102"/>
    <mergeCell ref="O102:P102"/>
    <mergeCell ref="Q102:R102"/>
    <mergeCell ref="S102:T102"/>
    <mergeCell ref="U102:V102"/>
    <mergeCell ref="W102:X102"/>
    <mergeCell ref="Y102:Z102"/>
    <mergeCell ref="AA102:AB102"/>
    <mergeCell ref="E99:F99"/>
    <mergeCell ref="G99:H99"/>
    <mergeCell ref="I99:J99"/>
    <mergeCell ref="K99:L99"/>
    <mergeCell ref="M99:N99"/>
    <mergeCell ref="O99:P99"/>
    <mergeCell ref="Q99:R99"/>
    <mergeCell ref="S99:T99"/>
    <mergeCell ref="U99:V99"/>
    <mergeCell ref="W99:X99"/>
    <mergeCell ref="Y99:Z99"/>
    <mergeCell ref="AA99:AB99"/>
    <mergeCell ref="E100:F100"/>
    <mergeCell ref="G100:H100"/>
    <mergeCell ref="I100:J100"/>
    <mergeCell ref="K100:L100"/>
    <mergeCell ref="M100:N100"/>
    <mergeCell ref="O100:P100"/>
    <mergeCell ref="Q100:R100"/>
    <mergeCell ref="S100:T100"/>
    <mergeCell ref="U100:V100"/>
    <mergeCell ref="W100:X100"/>
    <mergeCell ref="Y100:Z100"/>
    <mergeCell ref="AA100:AB100"/>
    <mergeCell ref="G97:H97"/>
    <mergeCell ref="I97:J97"/>
    <mergeCell ref="K97:L97"/>
    <mergeCell ref="M97:N97"/>
    <mergeCell ref="O97:P97"/>
    <mergeCell ref="Q97:R97"/>
    <mergeCell ref="S97:T97"/>
    <mergeCell ref="U97:V97"/>
    <mergeCell ref="W97:X97"/>
    <mergeCell ref="Y97:Z97"/>
    <mergeCell ref="AA97:AB97"/>
    <mergeCell ref="E98:F98"/>
    <mergeCell ref="G98:H98"/>
    <mergeCell ref="I98:J98"/>
    <mergeCell ref="K98:L98"/>
    <mergeCell ref="M98:N98"/>
    <mergeCell ref="O98:P98"/>
    <mergeCell ref="Q98:R98"/>
    <mergeCell ref="S98:T98"/>
    <mergeCell ref="U98:V98"/>
    <mergeCell ref="W98:X98"/>
    <mergeCell ref="Y98:Z98"/>
    <mergeCell ref="AA98:AB98"/>
    <mergeCell ref="E52:F52"/>
    <mergeCell ref="G52:H52"/>
    <mergeCell ref="I52:J52"/>
    <mergeCell ref="K52:L52"/>
    <mergeCell ref="M52:N52"/>
    <mergeCell ref="O52:P52"/>
    <mergeCell ref="Q52:R52"/>
    <mergeCell ref="S52:T52"/>
    <mergeCell ref="U52:V52"/>
    <mergeCell ref="W52:X52"/>
    <mergeCell ref="Y52:Z52"/>
    <mergeCell ref="AA52:AB52"/>
    <mergeCell ref="E53:F53"/>
    <mergeCell ref="G53:H53"/>
    <mergeCell ref="I53:J53"/>
    <mergeCell ref="K53:L53"/>
    <mergeCell ref="M53:N53"/>
    <mergeCell ref="O53:P53"/>
    <mergeCell ref="Q53:R53"/>
    <mergeCell ref="S53:T53"/>
    <mergeCell ref="U53:V53"/>
    <mergeCell ref="W53:X53"/>
    <mergeCell ref="Y53:Z53"/>
    <mergeCell ref="AA53:AB53"/>
    <mergeCell ref="E54:F54"/>
    <mergeCell ref="G54:H54"/>
    <mergeCell ref="I54:J54"/>
    <mergeCell ref="K54:L54"/>
    <mergeCell ref="M54:N54"/>
    <mergeCell ref="O54:P54"/>
    <mergeCell ref="Q54:R54"/>
    <mergeCell ref="S54:T54"/>
    <mergeCell ref="U54:V54"/>
    <mergeCell ref="W54:X54"/>
    <mergeCell ref="Y54:Z54"/>
    <mergeCell ref="AA54:AB54"/>
    <mergeCell ref="E56:F56"/>
    <mergeCell ref="G56:H56"/>
    <mergeCell ref="I56:J56"/>
    <mergeCell ref="K56:L56"/>
    <mergeCell ref="M56:N56"/>
    <mergeCell ref="O56:P56"/>
    <mergeCell ref="Q56:R56"/>
    <mergeCell ref="S56:T56"/>
    <mergeCell ref="U56:V56"/>
    <mergeCell ref="W56:X56"/>
    <mergeCell ref="Y56:Z56"/>
    <mergeCell ref="AA56:AB56"/>
    <mergeCell ref="E55:F55"/>
    <mergeCell ref="G55:H55"/>
    <mergeCell ref="I55:J55"/>
    <mergeCell ref="K55:L55"/>
    <mergeCell ref="M55:N55"/>
    <mergeCell ref="O55:P55"/>
    <mergeCell ref="Q55:R55"/>
    <mergeCell ref="S55:T55"/>
    <mergeCell ref="E50:F50"/>
    <mergeCell ref="G50:H50"/>
    <mergeCell ref="I50:J50"/>
    <mergeCell ref="K50:L50"/>
    <mergeCell ref="M50:N50"/>
    <mergeCell ref="O50:P50"/>
    <mergeCell ref="Q50:R50"/>
    <mergeCell ref="S50:T50"/>
    <mergeCell ref="U50:V50"/>
    <mergeCell ref="W50:X50"/>
    <mergeCell ref="Y50:Z50"/>
    <mergeCell ref="AA50:AB50"/>
    <mergeCell ref="E51:F51"/>
    <mergeCell ref="G51:H51"/>
    <mergeCell ref="I51:J51"/>
    <mergeCell ref="K51:L51"/>
    <mergeCell ref="M51:N51"/>
    <mergeCell ref="O51:P51"/>
    <mergeCell ref="Q51:R51"/>
    <mergeCell ref="S51:T51"/>
    <mergeCell ref="U51:V51"/>
    <mergeCell ref="W51:X51"/>
    <mergeCell ref="Y51:Z51"/>
    <mergeCell ref="AA51:AB51"/>
    <mergeCell ref="E48:F48"/>
    <mergeCell ref="G48:H48"/>
    <mergeCell ref="I48:J48"/>
    <mergeCell ref="K48:L48"/>
    <mergeCell ref="M48:N48"/>
    <mergeCell ref="O48:P48"/>
    <mergeCell ref="Q48:R48"/>
    <mergeCell ref="S48:T48"/>
    <mergeCell ref="U48:V48"/>
    <mergeCell ref="W48:X48"/>
    <mergeCell ref="Y48:Z48"/>
    <mergeCell ref="AA48:AB48"/>
    <mergeCell ref="E49:F49"/>
    <mergeCell ref="G49:H49"/>
    <mergeCell ref="I49:J49"/>
    <mergeCell ref="K49:L49"/>
    <mergeCell ref="M49:N49"/>
    <mergeCell ref="O49:P49"/>
    <mergeCell ref="Q49:R49"/>
    <mergeCell ref="S49:T49"/>
    <mergeCell ref="U49:V49"/>
    <mergeCell ref="W49:X49"/>
    <mergeCell ref="Y49:Z49"/>
    <mergeCell ref="AA49:AB49"/>
    <mergeCell ref="A77:B77"/>
    <mergeCell ref="A76:B76"/>
    <mergeCell ref="A24:B24"/>
    <mergeCell ref="A25:B25"/>
    <mergeCell ref="O165:P165"/>
    <mergeCell ref="Q165:R165"/>
    <mergeCell ref="S165:T165"/>
    <mergeCell ref="W165:X165"/>
    <mergeCell ref="Y165:Z165"/>
    <mergeCell ref="K164:L164"/>
    <mergeCell ref="M164:N164"/>
    <mergeCell ref="A128:B128"/>
    <mergeCell ref="A127:B127"/>
    <mergeCell ref="O164:P164"/>
    <mergeCell ref="Q164:R164"/>
    <mergeCell ref="S164:T164"/>
    <mergeCell ref="A164:B165"/>
    <mergeCell ref="E164:F164"/>
    <mergeCell ref="G164:H164"/>
    <mergeCell ref="I164:J164"/>
    <mergeCell ref="Q162:R162"/>
    <mergeCell ref="S162:T162"/>
    <mergeCell ref="U162:V162"/>
    <mergeCell ref="W162:X162"/>
    <mergeCell ref="Y162:Z162"/>
    <mergeCell ref="S159:T159"/>
    <mergeCell ref="U159:V159"/>
    <mergeCell ref="W159:X159"/>
    <mergeCell ref="Y159:Z159"/>
    <mergeCell ref="W161:X161"/>
    <mergeCell ref="Q161:R161"/>
    <mergeCell ref="S161:T161"/>
    <mergeCell ref="AA165:AB165"/>
    <mergeCell ref="U165:V165"/>
    <mergeCell ref="U164:V164"/>
    <mergeCell ref="W164:X164"/>
    <mergeCell ref="Y164:Z164"/>
    <mergeCell ref="AA164:AB164"/>
    <mergeCell ref="E165:F165"/>
    <mergeCell ref="G165:H165"/>
    <mergeCell ref="I165:J165"/>
    <mergeCell ref="K165:L165"/>
    <mergeCell ref="M165:N165"/>
    <mergeCell ref="A159:B163"/>
    <mergeCell ref="AA163:AB163"/>
    <mergeCell ref="M163:N163"/>
    <mergeCell ref="O163:P163"/>
    <mergeCell ref="Q163:R163"/>
    <mergeCell ref="S163:T163"/>
    <mergeCell ref="U163:V163"/>
    <mergeCell ref="E163:F163"/>
    <mergeCell ref="G163:H163"/>
    <mergeCell ref="I163:J163"/>
    <mergeCell ref="K163:L163"/>
    <mergeCell ref="AA161:AB161"/>
    <mergeCell ref="E162:F162"/>
    <mergeCell ref="G162:H162"/>
    <mergeCell ref="I162:J162"/>
    <mergeCell ref="K162:L162"/>
    <mergeCell ref="M162:N162"/>
    <mergeCell ref="O162:P162"/>
    <mergeCell ref="AA162:AB162"/>
    <mergeCell ref="M161:N161"/>
    <mergeCell ref="O161:P161"/>
    <mergeCell ref="I161:J161"/>
    <mergeCell ref="K161:L161"/>
    <mergeCell ref="AA159:AB159"/>
    <mergeCell ref="E160:F160"/>
    <mergeCell ref="G160:H160"/>
    <mergeCell ref="I160:J160"/>
    <mergeCell ref="K160:L160"/>
    <mergeCell ref="M160:N160"/>
    <mergeCell ref="O160:P160"/>
    <mergeCell ref="Q160:R160"/>
    <mergeCell ref="S160:T160"/>
    <mergeCell ref="U160:V160"/>
    <mergeCell ref="W160:X160"/>
    <mergeCell ref="Y160:Z160"/>
    <mergeCell ref="AA160:AB160"/>
    <mergeCell ref="E159:F159"/>
    <mergeCell ref="G159:H159"/>
    <mergeCell ref="I159:J159"/>
    <mergeCell ref="K159:L159"/>
    <mergeCell ref="M159:N159"/>
    <mergeCell ref="O159:P159"/>
    <mergeCell ref="Q159:R159"/>
    <mergeCell ref="Y161:Z161"/>
    <mergeCell ref="W163:X163"/>
    <mergeCell ref="Y163:Z163"/>
    <mergeCell ref="W158:X158"/>
    <mergeCell ref="Y158:Z158"/>
    <mergeCell ref="AA158:AB158"/>
    <mergeCell ref="M158:N158"/>
    <mergeCell ref="O158:P158"/>
    <mergeCell ref="Q158:R158"/>
    <mergeCell ref="S158:T158"/>
    <mergeCell ref="U158:V158"/>
    <mergeCell ref="E158:F158"/>
    <mergeCell ref="G158:H158"/>
    <mergeCell ref="I158:J158"/>
    <mergeCell ref="K158:L158"/>
    <mergeCell ref="W147:X147"/>
    <mergeCell ref="Y147:Z147"/>
    <mergeCell ref="AA147:AB147"/>
    <mergeCell ref="E147:F147"/>
    <mergeCell ref="G157:H157"/>
    <mergeCell ref="I157:J157"/>
    <mergeCell ref="K157:L157"/>
    <mergeCell ref="M157:N157"/>
    <mergeCell ref="O157:P157"/>
    <mergeCell ref="Q157:R157"/>
    <mergeCell ref="S157:T157"/>
    <mergeCell ref="U157:V157"/>
    <mergeCell ref="W157:X157"/>
    <mergeCell ref="Y157:Z157"/>
    <mergeCell ref="AA157:AB157"/>
    <mergeCell ref="U161:V161"/>
    <mergeCell ref="E161:F161"/>
    <mergeCell ref="G161:H161"/>
    <mergeCell ref="AA145:AB145"/>
    <mergeCell ref="M144:N144"/>
    <mergeCell ref="O144:P144"/>
    <mergeCell ref="Q144:R144"/>
    <mergeCell ref="S144:T144"/>
    <mergeCell ref="U144:V144"/>
    <mergeCell ref="E144:F144"/>
    <mergeCell ref="G144:H144"/>
    <mergeCell ref="I144:J144"/>
    <mergeCell ref="K144:L144"/>
    <mergeCell ref="E146:F146"/>
    <mergeCell ref="G146:H146"/>
    <mergeCell ref="I146:J146"/>
    <mergeCell ref="K146:L146"/>
    <mergeCell ref="W142:X142"/>
    <mergeCell ref="Y142:Z142"/>
    <mergeCell ref="AA142:AB142"/>
    <mergeCell ref="E143:F143"/>
    <mergeCell ref="G143:H143"/>
    <mergeCell ref="I143:J143"/>
    <mergeCell ref="K143:L143"/>
    <mergeCell ref="M143:N143"/>
    <mergeCell ref="O143:P143"/>
    <mergeCell ref="Q143:R143"/>
    <mergeCell ref="S143:T143"/>
    <mergeCell ref="U143:V143"/>
    <mergeCell ref="W143:X143"/>
    <mergeCell ref="Y143:Z143"/>
    <mergeCell ref="AA143:AB143"/>
    <mergeCell ref="M142:N142"/>
    <mergeCell ref="O142:P142"/>
    <mergeCell ref="Q142:R142"/>
    <mergeCell ref="S142:T142"/>
    <mergeCell ref="U142:V142"/>
    <mergeCell ref="E142:F142"/>
    <mergeCell ref="G142:H142"/>
    <mergeCell ref="I142:J142"/>
    <mergeCell ref="K142:L142"/>
    <mergeCell ref="W144:X144"/>
    <mergeCell ref="Y144:Z144"/>
    <mergeCell ref="W140:X140"/>
    <mergeCell ref="Y140:Z140"/>
    <mergeCell ref="AA140:AB140"/>
    <mergeCell ref="E141:F141"/>
    <mergeCell ref="G141:H141"/>
    <mergeCell ref="I141:J141"/>
    <mergeCell ref="K141:L141"/>
    <mergeCell ref="M141:N141"/>
    <mergeCell ref="O141:P141"/>
    <mergeCell ref="Q141:R141"/>
    <mergeCell ref="S141:T141"/>
    <mergeCell ref="U141:V141"/>
    <mergeCell ref="W141:X141"/>
    <mergeCell ref="Y141:Z141"/>
    <mergeCell ref="AA141:AB141"/>
    <mergeCell ref="M140:N140"/>
    <mergeCell ref="O140:P140"/>
    <mergeCell ref="Q140:R140"/>
    <mergeCell ref="S140:T140"/>
    <mergeCell ref="U140:V140"/>
    <mergeCell ref="E140:F140"/>
    <mergeCell ref="G140:H140"/>
    <mergeCell ref="I140:J140"/>
    <mergeCell ref="K140:L140"/>
    <mergeCell ref="W138:X138"/>
    <mergeCell ref="Y138:Z138"/>
    <mergeCell ref="AA138:AB138"/>
    <mergeCell ref="E139:F139"/>
    <mergeCell ref="G139:H139"/>
    <mergeCell ref="I139:J139"/>
    <mergeCell ref="K139:L139"/>
    <mergeCell ref="M139:N139"/>
    <mergeCell ref="O139:P139"/>
    <mergeCell ref="Q139:R139"/>
    <mergeCell ref="S139:T139"/>
    <mergeCell ref="U139:V139"/>
    <mergeCell ref="W139:X139"/>
    <mergeCell ref="Y139:Z139"/>
    <mergeCell ref="AA139:AB139"/>
    <mergeCell ref="M138:N138"/>
    <mergeCell ref="O138:P138"/>
    <mergeCell ref="Q138:R138"/>
    <mergeCell ref="S138:T138"/>
    <mergeCell ref="U138:V138"/>
    <mergeCell ref="E138:F138"/>
    <mergeCell ref="G138:H138"/>
    <mergeCell ref="I138:J138"/>
    <mergeCell ref="K138:L138"/>
    <mergeCell ref="W136:X136"/>
    <mergeCell ref="Y136:Z136"/>
    <mergeCell ref="AA136:AB136"/>
    <mergeCell ref="E137:F137"/>
    <mergeCell ref="G137:H137"/>
    <mergeCell ref="I137:J137"/>
    <mergeCell ref="K137:L137"/>
    <mergeCell ref="M137:N137"/>
    <mergeCell ref="O137:P137"/>
    <mergeCell ref="Q137:R137"/>
    <mergeCell ref="S137:T137"/>
    <mergeCell ref="U137:V137"/>
    <mergeCell ref="W137:X137"/>
    <mergeCell ref="Y137:Z137"/>
    <mergeCell ref="AA137:AB137"/>
    <mergeCell ref="M136:N136"/>
    <mergeCell ref="O136:P136"/>
    <mergeCell ref="Q136:R136"/>
    <mergeCell ref="S136:T136"/>
    <mergeCell ref="U136:V136"/>
    <mergeCell ref="E136:F136"/>
    <mergeCell ref="G136:H136"/>
    <mergeCell ref="I136:J136"/>
    <mergeCell ref="K136:L136"/>
    <mergeCell ref="I135:J135"/>
    <mergeCell ref="K135:L135"/>
    <mergeCell ref="M135:N135"/>
    <mergeCell ref="O135:P135"/>
    <mergeCell ref="Q135:R135"/>
    <mergeCell ref="S135:T135"/>
    <mergeCell ref="U135:V135"/>
    <mergeCell ref="W135:X135"/>
    <mergeCell ref="Y135:Z135"/>
    <mergeCell ref="AA135:AB135"/>
    <mergeCell ref="O134:P134"/>
    <mergeCell ref="Q134:R134"/>
    <mergeCell ref="S134:T134"/>
    <mergeCell ref="U134:V134"/>
    <mergeCell ref="W134:X134"/>
    <mergeCell ref="E134:F134"/>
    <mergeCell ref="G134:H134"/>
    <mergeCell ref="I134:J134"/>
    <mergeCell ref="K134:L134"/>
    <mergeCell ref="M134:N134"/>
    <mergeCell ref="AA132:AB132"/>
    <mergeCell ref="A133:B158"/>
    <mergeCell ref="E133:F133"/>
    <mergeCell ref="G133:H133"/>
    <mergeCell ref="I133:J133"/>
    <mergeCell ref="K133:L133"/>
    <mergeCell ref="M133:N133"/>
    <mergeCell ref="O133:P133"/>
    <mergeCell ref="Q133:R133"/>
    <mergeCell ref="S133:T133"/>
    <mergeCell ref="U133:V133"/>
    <mergeCell ref="W133:X133"/>
    <mergeCell ref="Y133:Z133"/>
    <mergeCell ref="AA133:AB133"/>
    <mergeCell ref="A130:AB130"/>
    <mergeCell ref="A132:B132"/>
    <mergeCell ref="C132:D132"/>
    <mergeCell ref="E132:F132"/>
    <mergeCell ref="G132:H132"/>
    <mergeCell ref="I132:J132"/>
    <mergeCell ref="K132:L132"/>
    <mergeCell ref="M132:N132"/>
    <mergeCell ref="O132:P132"/>
    <mergeCell ref="Q132:R132"/>
    <mergeCell ref="S132:T132"/>
    <mergeCell ref="U132:V132"/>
    <mergeCell ref="W132:X132"/>
    <mergeCell ref="Y132:Z132"/>
    <mergeCell ref="Y134:Z134"/>
    <mergeCell ref="AA134:AB134"/>
    <mergeCell ref="E135:F135"/>
    <mergeCell ref="G135:H135"/>
    <mergeCell ref="A118:AB118"/>
    <mergeCell ref="AA114:AB114"/>
    <mergeCell ref="Q114:R114"/>
    <mergeCell ref="S114:T114"/>
    <mergeCell ref="AA113:AB113"/>
    <mergeCell ref="E114:F114"/>
    <mergeCell ref="A113:B114"/>
    <mergeCell ref="E113:F113"/>
    <mergeCell ref="G113:H113"/>
    <mergeCell ref="I113:J113"/>
    <mergeCell ref="K113:L113"/>
    <mergeCell ref="M113:N113"/>
    <mergeCell ref="O113:P113"/>
    <mergeCell ref="Q113:R113"/>
    <mergeCell ref="S113:T113"/>
    <mergeCell ref="U113:V113"/>
    <mergeCell ref="W113:X113"/>
    <mergeCell ref="Y113:Z113"/>
    <mergeCell ref="C81:D81"/>
    <mergeCell ref="E96:F96"/>
    <mergeCell ref="G96:H96"/>
    <mergeCell ref="I96:J96"/>
    <mergeCell ref="K96:L96"/>
    <mergeCell ref="S109:T109"/>
    <mergeCell ref="U109:V109"/>
    <mergeCell ref="W109:X109"/>
    <mergeCell ref="Y109:Z109"/>
    <mergeCell ref="G109:H109"/>
    <mergeCell ref="I109:J109"/>
    <mergeCell ref="K109:L109"/>
    <mergeCell ref="M109:N109"/>
    <mergeCell ref="O109:P109"/>
    <mergeCell ref="U114:V114"/>
    <mergeCell ref="W114:X114"/>
    <mergeCell ref="Y114:Z114"/>
    <mergeCell ref="G114:H114"/>
    <mergeCell ref="I114:J114"/>
    <mergeCell ref="K114:L114"/>
    <mergeCell ref="M114:N114"/>
    <mergeCell ref="O114:P114"/>
    <mergeCell ref="Y107:Z107"/>
    <mergeCell ref="Y105:Z105"/>
    <mergeCell ref="Y95:Z95"/>
    <mergeCell ref="Y93:Z93"/>
    <mergeCell ref="Y91:Z91"/>
    <mergeCell ref="Y89:Z89"/>
    <mergeCell ref="E85:F85"/>
    <mergeCell ref="G85:H85"/>
    <mergeCell ref="I85:J85"/>
    <mergeCell ref="K85:L85"/>
    <mergeCell ref="AA107:AB107"/>
    <mergeCell ref="AA111:AB111"/>
    <mergeCell ref="E112:F112"/>
    <mergeCell ref="G112:H112"/>
    <mergeCell ref="I112:J112"/>
    <mergeCell ref="K112:L112"/>
    <mergeCell ref="M112:N112"/>
    <mergeCell ref="O112:P112"/>
    <mergeCell ref="Q112:R112"/>
    <mergeCell ref="S112:T112"/>
    <mergeCell ref="U112:V112"/>
    <mergeCell ref="W112:X112"/>
    <mergeCell ref="Y112:Z112"/>
    <mergeCell ref="AA112:AB112"/>
    <mergeCell ref="O111:P111"/>
    <mergeCell ref="Q111:R111"/>
    <mergeCell ref="S111:T111"/>
    <mergeCell ref="U111:V111"/>
    <mergeCell ref="Y111:Z111"/>
    <mergeCell ref="O110:P110"/>
    <mergeCell ref="Q110:R110"/>
    <mergeCell ref="W111:X111"/>
    <mergeCell ref="E111:F111"/>
    <mergeCell ref="G111:H111"/>
    <mergeCell ref="I111:J111"/>
    <mergeCell ref="K111:L111"/>
    <mergeCell ref="M111:N111"/>
    <mergeCell ref="W110:X110"/>
    <mergeCell ref="Y110:Z110"/>
    <mergeCell ref="AA110:AB110"/>
    <mergeCell ref="Q109:R109"/>
    <mergeCell ref="A108:B112"/>
    <mergeCell ref="E108:F108"/>
    <mergeCell ref="G108:H108"/>
    <mergeCell ref="I108:J108"/>
    <mergeCell ref="K108:L108"/>
    <mergeCell ref="M108:N108"/>
    <mergeCell ref="O108:P108"/>
    <mergeCell ref="Q108:R108"/>
    <mergeCell ref="S108:T108"/>
    <mergeCell ref="U108:V108"/>
    <mergeCell ref="W108:X108"/>
    <mergeCell ref="Y108:Z108"/>
    <mergeCell ref="AA108:AB108"/>
    <mergeCell ref="E109:F109"/>
    <mergeCell ref="O107:P107"/>
    <mergeCell ref="Q107:R107"/>
    <mergeCell ref="S107:T107"/>
    <mergeCell ref="U107:V107"/>
    <mergeCell ref="W107:X107"/>
    <mergeCell ref="E107:F107"/>
    <mergeCell ref="G107:H107"/>
    <mergeCell ref="I107:J107"/>
    <mergeCell ref="K107:L107"/>
    <mergeCell ref="M107:N107"/>
    <mergeCell ref="AA109:AB109"/>
    <mergeCell ref="E110:F110"/>
    <mergeCell ref="G110:H110"/>
    <mergeCell ref="I110:J110"/>
    <mergeCell ref="K110:L110"/>
    <mergeCell ref="M110:N110"/>
    <mergeCell ref="S110:T110"/>
    <mergeCell ref="U110:V110"/>
    <mergeCell ref="AA105:AB105"/>
    <mergeCell ref="E106:F106"/>
    <mergeCell ref="G106:H106"/>
    <mergeCell ref="I106:J106"/>
    <mergeCell ref="K106:L106"/>
    <mergeCell ref="M106:N106"/>
    <mergeCell ref="O106:P106"/>
    <mergeCell ref="Q106:R106"/>
    <mergeCell ref="S106:T106"/>
    <mergeCell ref="U106:V106"/>
    <mergeCell ref="W106:X106"/>
    <mergeCell ref="Y106:Z106"/>
    <mergeCell ref="AA106:AB106"/>
    <mergeCell ref="O105:P105"/>
    <mergeCell ref="Q105:R105"/>
    <mergeCell ref="S105:T105"/>
    <mergeCell ref="U105:V105"/>
    <mergeCell ref="W105:X105"/>
    <mergeCell ref="E105:F105"/>
    <mergeCell ref="G105:H105"/>
    <mergeCell ref="I105:J105"/>
    <mergeCell ref="K105:L105"/>
    <mergeCell ref="M105:N105"/>
    <mergeCell ref="AA95:AB95"/>
    <mergeCell ref="E104:F104"/>
    <mergeCell ref="G104:H104"/>
    <mergeCell ref="I104:J104"/>
    <mergeCell ref="K104:L104"/>
    <mergeCell ref="M104:N104"/>
    <mergeCell ref="O104:P104"/>
    <mergeCell ref="Q104:R104"/>
    <mergeCell ref="S104:T104"/>
    <mergeCell ref="U104:V104"/>
    <mergeCell ref="W104:X104"/>
    <mergeCell ref="Y104:Z104"/>
    <mergeCell ref="AA104:AB104"/>
    <mergeCell ref="O95:P95"/>
    <mergeCell ref="Q95:R95"/>
    <mergeCell ref="S95:T95"/>
    <mergeCell ref="U95:V95"/>
    <mergeCell ref="W95:X95"/>
    <mergeCell ref="E95:F95"/>
    <mergeCell ref="G95:H95"/>
    <mergeCell ref="I95:J95"/>
    <mergeCell ref="K95:L95"/>
    <mergeCell ref="M95:N95"/>
    <mergeCell ref="M96:N96"/>
    <mergeCell ref="O96:P96"/>
    <mergeCell ref="Q96:R96"/>
    <mergeCell ref="S96:T96"/>
    <mergeCell ref="U96:V96"/>
    <mergeCell ref="W96:X96"/>
    <mergeCell ref="Y96:Z96"/>
    <mergeCell ref="AA96:AB96"/>
    <mergeCell ref="E97:F97"/>
    <mergeCell ref="AA93:AB93"/>
    <mergeCell ref="E94:F94"/>
    <mergeCell ref="G94:H94"/>
    <mergeCell ref="I94:J94"/>
    <mergeCell ref="K94:L94"/>
    <mergeCell ref="M94:N94"/>
    <mergeCell ref="O94:P94"/>
    <mergeCell ref="Q94:R94"/>
    <mergeCell ref="S94:T94"/>
    <mergeCell ref="U94:V94"/>
    <mergeCell ref="W94:X94"/>
    <mergeCell ref="Y94:Z94"/>
    <mergeCell ref="AA94:AB94"/>
    <mergeCell ref="O93:P93"/>
    <mergeCell ref="Q93:R93"/>
    <mergeCell ref="S93:T93"/>
    <mergeCell ref="U93:V93"/>
    <mergeCell ref="W93:X93"/>
    <mergeCell ref="E93:F93"/>
    <mergeCell ref="G93:H93"/>
    <mergeCell ref="I93:J93"/>
    <mergeCell ref="K93:L93"/>
    <mergeCell ref="M93:N93"/>
    <mergeCell ref="AA91:AB91"/>
    <mergeCell ref="E92:F92"/>
    <mergeCell ref="G92:H92"/>
    <mergeCell ref="I92:J92"/>
    <mergeCell ref="K92:L92"/>
    <mergeCell ref="M92:N92"/>
    <mergeCell ref="O92:P92"/>
    <mergeCell ref="Q92:R92"/>
    <mergeCell ref="S92:T92"/>
    <mergeCell ref="U92:V92"/>
    <mergeCell ref="W92:X92"/>
    <mergeCell ref="Y92:Z92"/>
    <mergeCell ref="AA92:AB92"/>
    <mergeCell ref="O91:P91"/>
    <mergeCell ref="Q91:R91"/>
    <mergeCell ref="S91:T91"/>
    <mergeCell ref="U91:V91"/>
    <mergeCell ref="W91:X91"/>
    <mergeCell ref="E91:F91"/>
    <mergeCell ref="G91:H91"/>
    <mergeCell ref="I91:J91"/>
    <mergeCell ref="K91:L91"/>
    <mergeCell ref="M91:N91"/>
    <mergeCell ref="AA89:AB89"/>
    <mergeCell ref="E90:F90"/>
    <mergeCell ref="G90:H90"/>
    <mergeCell ref="I90:J90"/>
    <mergeCell ref="K90:L90"/>
    <mergeCell ref="M90:N90"/>
    <mergeCell ref="O90:P90"/>
    <mergeCell ref="Q90:R90"/>
    <mergeCell ref="S90:T90"/>
    <mergeCell ref="U90:V90"/>
    <mergeCell ref="W90:X90"/>
    <mergeCell ref="Y90:Z90"/>
    <mergeCell ref="AA90:AB90"/>
    <mergeCell ref="O89:P89"/>
    <mergeCell ref="Q89:R89"/>
    <mergeCell ref="S89:T89"/>
    <mergeCell ref="U89:V89"/>
    <mergeCell ref="W89:X89"/>
    <mergeCell ref="E89:F89"/>
    <mergeCell ref="G89:H89"/>
    <mergeCell ref="I89:J89"/>
    <mergeCell ref="K89:L89"/>
    <mergeCell ref="M89:N89"/>
    <mergeCell ref="M85:N85"/>
    <mergeCell ref="Y87:Z87"/>
    <mergeCell ref="AA87:AB87"/>
    <mergeCell ref="E88:F88"/>
    <mergeCell ref="G88:H88"/>
    <mergeCell ref="I88:J88"/>
    <mergeCell ref="K88:L88"/>
    <mergeCell ref="M88:N88"/>
    <mergeCell ref="Q88:R88"/>
    <mergeCell ref="S88:T88"/>
    <mergeCell ref="U88:V88"/>
    <mergeCell ref="W88:X88"/>
    <mergeCell ref="Y88:Z88"/>
    <mergeCell ref="AA88:AB88"/>
    <mergeCell ref="O87:P87"/>
    <mergeCell ref="Q87:R87"/>
    <mergeCell ref="S87:T87"/>
    <mergeCell ref="U87:V87"/>
    <mergeCell ref="W87:X87"/>
    <mergeCell ref="E87:F87"/>
    <mergeCell ref="G87:H87"/>
    <mergeCell ref="I87:J87"/>
    <mergeCell ref="K87:L87"/>
    <mergeCell ref="M87:N87"/>
    <mergeCell ref="O88:P88"/>
    <mergeCell ref="W84:X84"/>
    <mergeCell ref="Y84:Z84"/>
    <mergeCell ref="AA84:AB84"/>
    <mergeCell ref="O83:P83"/>
    <mergeCell ref="Q83:R83"/>
    <mergeCell ref="S83:T83"/>
    <mergeCell ref="U83:V83"/>
    <mergeCell ref="W83:X83"/>
    <mergeCell ref="E83:F83"/>
    <mergeCell ref="G83:H83"/>
    <mergeCell ref="I83:J83"/>
    <mergeCell ref="K83:L83"/>
    <mergeCell ref="M83:N83"/>
    <mergeCell ref="Y85:Z85"/>
    <mergeCell ref="AA85:AB85"/>
    <mergeCell ref="E86:F86"/>
    <mergeCell ref="G86:H86"/>
    <mergeCell ref="I86:J86"/>
    <mergeCell ref="K86:L86"/>
    <mergeCell ref="M86:N86"/>
    <mergeCell ref="O86:P86"/>
    <mergeCell ref="Q86:R86"/>
    <mergeCell ref="S86:T86"/>
    <mergeCell ref="U86:V86"/>
    <mergeCell ref="W86:X86"/>
    <mergeCell ref="Y86:Z86"/>
    <mergeCell ref="AA86:AB86"/>
    <mergeCell ref="O85:P85"/>
    <mergeCell ref="Q85:R85"/>
    <mergeCell ref="S85:T85"/>
    <mergeCell ref="U85:V85"/>
    <mergeCell ref="W85:X85"/>
    <mergeCell ref="W81:X81"/>
    <mergeCell ref="Y81:Z81"/>
    <mergeCell ref="AA81:AB81"/>
    <mergeCell ref="A82:B107"/>
    <mergeCell ref="E82:F82"/>
    <mergeCell ref="G82:H82"/>
    <mergeCell ref="I82:J82"/>
    <mergeCell ref="K82:L82"/>
    <mergeCell ref="M82:N82"/>
    <mergeCell ref="O82:P82"/>
    <mergeCell ref="Q82:R82"/>
    <mergeCell ref="S82:T82"/>
    <mergeCell ref="U82:V82"/>
    <mergeCell ref="W82:X82"/>
    <mergeCell ref="Y82:Z82"/>
    <mergeCell ref="AA82:AB82"/>
    <mergeCell ref="M81:N81"/>
    <mergeCell ref="O81:P81"/>
    <mergeCell ref="Q81:R81"/>
    <mergeCell ref="S81:T81"/>
    <mergeCell ref="U81:V81"/>
    <mergeCell ref="Y83:Z83"/>
    <mergeCell ref="AA83:AB83"/>
    <mergeCell ref="E84:F84"/>
    <mergeCell ref="G84:H84"/>
    <mergeCell ref="I84:J84"/>
    <mergeCell ref="K84:L84"/>
    <mergeCell ref="M84:N84"/>
    <mergeCell ref="O84:P84"/>
    <mergeCell ref="Q84:R84"/>
    <mergeCell ref="S84:T84"/>
    <mergeCell ref="U84:V84"/>
    <mergeCell ref="E63:F63"/>
    <mergeCell ref="G63:H63"/>
    <mergeCell ref="I63:J63"/>
    <mergeCell ref="K63:L63"/>
    <mergeCell ref="M63:N63"/>
    <mergeCell ref="O63:P63"/>
    <mergeCell ref="Q63:R63"/>
    <mergeCell ref="S63:T63"/>
    <mergeCell ref="U63:V63"/>
    <mergeCell ref="W63:X63"/>
    <mergeCell ref="Y63:Z63"/>
    <mergeCell ref="AA63:AB63"/>
    <mergeCell ref="O62:P62"/>
    <mergeCell ref="Q62:R62"/>
    <mergeCell ref="S62:T62"/>
    <mergeCell ref="U62:V62"/>
    <mergeCell ref="W62:X62"/>
    <mergeCell ref="E62:F62"/>
    <mergeCell ref="Y62:Z62"/>
    <mergeCell ref="AA62:AB62"/>
    <mergeCell ref="G62:H62"/>
    <mergeCell ref="I62:J62"/>
    <mergeCell ref="K62:L62"/>
    <mergeCell ref="M62:N62"/>
    <mergeCell ref="E61:F61"/>
    <mergeCell ref="G61:H61"/>
    <mergeCell ref="I61:J61"/>
    <mergeCell ref="K61:L61"/>
    <mergeCell ref="M61:N61"/>
    <mergeCell ref="Y59:Z59"/>
    <mergeCell ref="AA59:AB59"/>
    <mergeCell ref="E60:F60"/>
    <mergeCell ref="G60:H60"/>
    <mergeCell ref="I60:J60"/>
    <mergeCell ref="K60:L60"/>
    <mergeCell ref="M60:N60"/>
    <mergeCell ref="O60:P60"/>
    <mergeCell ref="Q60:R60"/>
    <mergeCell ref="S60:T60"/>
    <mergeCell ref="U60:V60"/>
    <mergeCell ref="W60:X60"/>
    <mergeCell ref="Y60:Z60"/>
    <mergeCell ref="AA60:AB60"/>
    <mergeCell ref="O59:P59"/>
    <mergeCell ref="Q59:R59"/>
    <mergeCell ref="S59:T59"/>
    <mergeCell ref="U59:V59"/>
    <mergeCell ref="W59:X59"/>
    <mergeCell ref="E59:F59"/>
    <mergeCell ref="Q57:R57"/>
    <mergeCell ref="S57:T57"/>
    <mergeCell ref="U57:V57"/>
    <mergeCell ref="W57:X57"/>
    <mergeCell ref="Y57:Z57"/>
    <mergeCell ref="G57:H57"/>
    <mergeCell ref="I57:J57"/>
    <mergeCell ref="K57:L57"/>
    <mergeCell ref="M57:N57"/>
    <mergeCell ref="O57:P57"/>
    <mergeCell ref="S47:T47"/>
    <mergeCell ref="Y61:Z61"/>
    <mergeCell ref="AA61:AB61"/>
    <mergeCell ref="O61:P61"/>
    <mergeCell ref="Q61:R61"/>
    <mergeCell ref="S61:T61"/>
    <mergeCell ref="U61:V61"/>
    <mergeCell ref="W61:X61"/>
    <mergeCell ref="Q47:R47"/>
    <mergeCell ref="W55:X55"/>
    <mergeCell ref="Y55:Z55"/>
    <mergeCell ref="AA55:AB55"/>
    <mergeCell ref="U47:V47"/>
    <mergeCell ref="W47:X47"/>
    <mergeCell ref="Y47:Z47"/>
    <mergeCell ref="AA47:AB47"/>
    <mergeCell ref="I47:J47"/>
    <mergeCell ref="K47:L47"/>
    <mergeCell ref="M47:N47"/>
    <mergeCell ref="O47:P47"/>
    <mergeCell ref="S46:T46"/>
    <mergeCell ref="U46:V46"/>
    <mergeCell ref="W46:X46"/>
    <mergeCell ref="Y46:Z46"/>
    <mergeCell ref="AA46:AB46"/>
    <mergeCell ref="I46:J46"/>
    <mergeCell ref="K46:L46"/>
    <mergeCell ref="M46:N46"/>
    <mergeCell ref="O46:P46"/>
    <mergeCell ref="Q46:R46"/>
    <mergeCell ref="G59:H59"/>
    <mergeCell ref="I59:J59"/>
    <mergeCell ref="K59:L59"/>
    <mergeCell ref="M59:N59"/>
    <mergeCell ref="E29:AB29"/>
    <mergeCell ref="A27:AB27"/>
    <mergeCell ref="A29:B30"/>
    <mergeCell ref="A31:B56"/>
    <mergeCell ref="AA57:AB57"/>
    <mergeCell ref="E58:F58"/>
    <mergeCell ref="G58:H58"/>
    <mergeCell ref="I58:J58"/>
    <mergeCell ref="K58:L58"/>
    <mergeCell ref="M58:N58"/>
    <mergeCell ref="O58:P58"/>
    <mergeCell ref="Q58:R58"/>
    <mergeCell ref="S58:T58"/>
    <mergeCell ref="U58:V58"/>
    <mergeCell ref="W58:X58"/>
    <mergeCell ref="Y58:Z58"/>
    <mergeCell ref="AA58:AB58"/>
    <mergeCell ref="U55:V55"/>
    <mergeCell ref="S45:T45"/>
    <mergeCell ref="U45:V45"/>
    <mergeCell ref="W45:X45"/>
    <mergeCell ref="Y45:Z45"/>
    <mergeCell ref="AA45:AB45"/>
    <mergeCell ref="I45:J45"/>
    <mergeCell ref="K45:L45"/>
    <mergeCell ref="M45:N45"/>
    <mergeCell ref="O45:P45"/>
    <mergeCell ref="Q45:R45"/>
    <mergeCell ref="S44:T44"/>
    <mergeCell ref="U44:V44"/>
    <mergeCell ref="W44:X44"/>
    <mergeCell ref="Y44:Z44"/>
    <mergeCell ref="AA44:AB44"/>
    <mergeCell ref="I44:J44"/>
    <mergeCell ref="K44:L44"/>
    <mergeCell ref="M44:N44"/>
    <mergeCell ref="O44:P44"/>
    <mergeCell ref="Q44:R44"/>
    <mergeCell ref="S43:T43"/>
    <mergeCell ref="U43:V43"/>
    <mergeCell ref="W43:X43"/>
    <mergeCell ref="Y43:Z43"/>
    <mergeCell ref="AA43:AB43"/>
    <mergeCell ref="I43:J43"/>
    <mergeCell ref="K43:L43"/>
    <mergeCell ref="M43:N43"/>
    <mergeCell ref="O43:P43"/>
    <mergeCell ref="Q43:R43"/>
    <mergeCell ref="S42:T42"/>
    <mergeCell ref="U42:V42"/>
    <mergeCell ref="W42:X42"/>
    <mergeCell ref="Y42:Z42"/>
    <mergeCell ref="AA42:AB42"/>
    <mergeCell ref="I42:J42"/>
    <mergeCell ref="K42:L42"/>
    <mergeCell ref="M42:N42"/>
    <mergeCell ref="O42:P42"/>
    <mergeCell ref="Q42:R42"/>
    <mergeCell ref="S41:T41"/>
    <mergeCell ref="U41:V41"/>
    <mergeCell ref="W41:X41"/>
    <mergeCell ref="Y41:Z41"/>
    <mergeCell ref="AA41:AB41"/>
    <mergeCell ref="I41:J41"/>
    <mergeCell ref="K41:L41"/>
    <mergeCell ref="M41:N41"/>
    <mergeCell ref="O41:P41"/>
    <mergeCell ref="Q41:R41"/>
    <mergeCell ref="S40:T40"/>
    <mergeCell ref="U40:V40"/>
    <mergeCell ref="W40:X40"/>
    <mergeCell ref="Y40:Z40"/>
    <mergeCell ref="AA40:AB40"/>
    <mergeCell ref="I40:J40"/>
    <mergeCell ref="K40:L40"/>
    <mergeCell ref="M40:N40"/>
    <mergeCell ref="O40:P40"/>
    <mergeCell ref="Q40:R40"/>
    <mergeCell ref="S39:T39"/>
    <mergeCell ref="U39:V39"/>
    <mergeCell ref="W39:X39"/>
    <mergeCell ref="Y39:Z39"/>
    <mergeCell ref="AA39:AB39"/>
    <mergeCell ref="I39:J39"/>
    <mergeCell ref="K39:L39"/>
    <mergeCell ref="M39:N39"/>
    <mergeCell ref="O39:P39"/>
    <mergeCell ref="Q39:R39"/>
    <mergeCell ref="S38:T38"/>
    <mergeCell ref="U38:V38"/>
    <mergeCell ref="W38:X38"/>
    <mergeCell ref="Y38:Z38"/>
    <mergeCell ref="AA38:AB38"/>
    <mergeCell ref="I38:J38"/>
    <mergeCell ref="K38:L38"/>
    <mergeCell ref="M38:N38"/>
    <mergeCell ref="O38:P38"/>
    <mergeCell ref="Q38:R38"/>
    <mergeCell ref="U34:V34"/>
    <mergeCell ref="W34:X34"/>
    <mergeCell ref="Y34:Z34"/>
    <mergeCell ref="AA34:AB34"/>
    <mergeCell ref="I34:J34"/>
    <mergeCell ref="K34:L34"/>
    <mergeCell ref="M34:N34"/>
    <mergeCell ref="O34:P34"/>
    <mergeCell ref="Q34:R34"/>
    <mergeCell ref="S37:T37"/>
    <mergeCell ref="U37:V37"/>
    <mergeCell ref="W37:X37"/>
    <mergeCell ref="Y37:Z37"/>
    <mergeCell ref="AA37:AB37"/>
    <mergeCell ref="I37:J37"/>
    <mergeCell ref="K37:L37"/>
    <mergeCell ref="M37:N37"/>
    <mergeCell ref="O37:P37"/>
    <mergeCell ref="Q37:R37"/>
    <mergeCell ref="S36:T36"/>
    <mergeCell ref="U36:V36"/>
    <mergeCell ref="W36:X36"/>
    <mergeCell ref="Y36:Z36"/>
    <mergeCell ref="AA36:AB36"/>
    <mergeCell ref="I36:J36"/>
    <mergeCell ref="K36:L36"/>
    <mergeCell ref="M36:N36"/>
    <mergeCell ref="O36:P36"/>
    <mergeCell ref="Q36:R36"/>
    <mergeCell ref="G35:H35"/>
    <mergeCell ref="S33:T33"/>
    <mergeCell ref="U33:V33"/>
    <mergeCell ref="W33:X33"/>
    <mergeCell ref="Y33:Z33"/>
    <mergeCell ref="AA33:AB33"/>
    <mergeCell ref="I33:J33"/>
    <mergeCell ref="K33:L33"/>
    <mergeCell ref="M33:N33"/>
    <mergeCell ref="O33:P33"/>
    <mergeCell ref="Q33:R33"/>
    <mergeCell ref="S32:T32"/>
    <mergeCell ref="U32:V32"/>
    <mergeCell ref="W32:X32"/>
    <mergeCell ref="Y32:Z32"/>
    <mergeCell ref="AA32:AB32"/>
    <mergeCell ref="I32:J32"/>
    <mergeCell ref="K32:L32"/>
    <mergeCell ref="M32:N32"/>
    <mergeCell ref="O32:P32"/>
    <mergeCell ref="Q32:R32"/>
    <mergeCell ref="S35:T35"/>
    <mergeCell ref="U35:V35"/>
    <mergeCell ref="W35:X35"/>
    <mergeCell ref="Y35:Z35"/>
    <mergeCell ref="AA35:AB35"/>
    <mergeCell ref="I35:J35"/>
    <mergeCell ref="K35:L35"/>
    <mergeCell ref="M35:N35"/>
    <mergeCell ref="O35:P35"/>
    <mergeCell ref="Q35:R35"/>
    <mergeCell ref="S34:T34"/>
    <mergeCell ref="AA17:AB17"/>
    <mergeCell ref="E47:F47"/>
    <mergeCell ref="E57:F57"/>
    <mergeCell ref="E42:F42"/>
    <mergeCell ref="E43:F43"/>
    <mergeCell ref="E44:F44"/>
    <mergeCell ref="E45:F45"/>
    <mergeCell ref="E46:F46"/>
    <mergeCell ref="E37:F37"/>
    <mergeCell ref="E38:F38"/>
    <mergeCell ref="E39:F39"/>
    <mergeCell ref="E40:F40"/>
    <mergeCell ref="E41:F41"/>
    <mergeCell ref="E32:F32"/>
    <mergeCell ref="E33:F33"/>
    <mergeCell ref="E34:F34"/>
    <mergeCell ref="E35:F35"/>
    <mergeCell ref="E36:F36"/>
    <mergeCell ref="S31:T31"/>
    <mergeCell ref="U31:V31"/>
    <mergeCell ref="W31:X31"/>
    <mergeCell ref="Y31:Z31"/>
    <mergeCell ref="AA31:AB31"/>
    <mergeCell ref="I31:J31"/>
    <mergeCell ref="K31:L31"/>
    <mergeCell ref="M31:N31"/>
    <mergeCell ref="O31:P31"/>
    <mergeCell ref="Q31:R31"/>
    <mergeCell ref="G46:H46"/>
    <mergeCell ref="G47:H47"/>
    <mergeCell ref="G33:H33"/>
    <mergeCell ref="G34:H34"/>
    <mergeCell ref="A68:A70"/>
    <mergeCell ref="B68:B70"/>
    <mergeCell ref="C68:D68"/>
    <mergeCell ref="C69:C70"/>
    <mergeCell ref="D69:D70"/>
    <mergeCell ref="C29:D29"/>
    <mergeCell ref="A57:B61"/>
    <mergeCell ref="A62:B63"/>
    <mergeCell ref="E31:F31"/>
    <mergeCell ref="AA30:AB30"/>
    <mergeCell ref="Q30:R30"/>
    <mergeCell ref="S30:T30"/>
    <mergeCell ref="U30:V30"/>
    <mergeCell ref="W30:X30"/>
    <mergeCell ref="Y30:Z30"/>
    <mergeCell ref="B5:D5"/>
    <mergeCell ref="A15:AB15"/>
    <mergeCell ref="A67:AB67"/>
    <mergeCell ref="A16:A18"/>
    <mergeCell ref="B16:B18"/>
    <mergeCell ref="E30:F30"/>
    <mergeCell ref="G30:H30"/>
    <mergeCell ref="I30:J30"/>
    <mergeCell ref="K30:L30"/>
    <mergeCell ref="M30:N30"/>
    <mergeCell ref="O30:P30"/>
    <mergeCell ref="E16:F16"/>
    <mergeCell ref="E17:F17"/>
    <mergeCell ref="AA16:AB16"/>
    <mergeCell ref="Y16:Z16"/>
    <mergeCell ref="W16:X16"/>
    <mergeCell ref="U16:V16"/>
    <mergeCell ref="Y119:Z119"/>
    <mergeCell ref="S16:T16"/>
    <mergeCell ref="S17:T17"/>
    <mergeCell ref="Q16:R16"/>
    <mergeCell ref="Q17:R17"/>
    <mergeCell ref="O16:P16"/>
    <mergeCell ref="O17:P17"/>
    <mergeCell ref="G16:H16"/>
    <mergeCell ref="I16:J16"/>
    <mergeCell ref="G17:H17"/>
    <mergeCell ref="I17:J17"/>
    <mergeCell ref="K16:L16"/>
    <mergeCell ref="K17:L17"/>
    <mergeCell ref="M16:N16"/>
    <mergeCell ref="M17:N17"/>
    <mergeCell ref="C17:C18"/>
    <mergeCell ref="D17:D18"/>
    <mergeCell ref="U17:V17"/>
    <mergeCell ref="W17:X17"/>
    <mergeCell ref="Y17:Z17"/>
    <mergeCell ref="G41:H41"/>
    <mergeCell ref="G42:H42"/>
    <mergeCell ref="G43:H43"/>
    <mergeCell ref="G44:H44"/>
    <mergeCell ref="G45:H45"/>
    <mergeCell ref="G36:H36"/>
    <mergeCell ref="G37:H37"/>
    <mergeCell ref="G38:H38"/>
    <mergeCell ref="G39:H39"/>
    <mergeCell ref="G40:H40"/>
    <mergeCell ref="G31:H31"/>
    <mergeCell ref="G32:H32"/>
    <mergeCell ref="G5:L5"/>
    <mergeCell ref="A119:A121"/>
    <mergeCell ref="B119:B121"/>
    <mergeCell ref="C119:D119"/>
    <mergeCell ref="C120:C121"/>
    <mergeCell ref="D120:D121"/>
    <mergeCell ref="E119:F119"/>
    <mergeCell ref="G119:H119"/>
    <mergeCell ref="I119:J119"/>
    <mergeCell ref="K119:L119"/>
    <mergeCell ref="E68:F68"/>
    <mergeCell ref="G68:H68"/>
    <mergeCell ref="I68:J68"/>
    <mergeCell ref="K68:L68"/>
    <mergeCell ref="C16:D16"/>
    <mergeCell ref="U119:V119"/>
    <mergeCell ref="AA68:AB68"/>
    <mergeCell ref="E69:F69"/>
    <mergeCell ref="G69:H69"/>
    <mergeCell ref="I69:J69"/>
    <mergeCell ref="K69:L69"/>
    <mergeCell ref="M69:N69"/>
    <mergeCell ref="O69:P69"/>
    <mergeCell ref="Q69:R69"/>
    <mergeCell ref="S69:T69"/>
    <mergeCell ref="U69:V69"/>
    <mergeCell ref="W69:X69"/>
    <mergeCell ref="Y69:Z69"/>
    <mergeCell ref="AA69:AB69"/>
    <mergeCell ref="O68:P68"/>
    <mergeCell ref="Q68:R68"/>
    <mergeCell ref="S68:T68"/>
    <mergeCell ref="AA119:AB119"/>
    <mergeCell ref="E120:F120"/>
    <mergeCell ref="G120:H120"/>
    <mergeCell ref="I120:J120"/>
    <mergeCell ref="K120:L120"/>
    <mergeCell ref="M120:N120"/>
    <mergeCell ref="O120:P120"/>
    <mergeCell ref="Q120:R120"/>
    <mergeCell ref="S120:T120"/>
    <mergeCell ref="U120:V120"/>
    <mergeCell ref="W120:X120"/>
    <mergeCell ref="Y120:Z120"/>
    <mergeCell ref="AA120:AB120"/>
    <mergeCell ref="B28:AB28"/>
    <mergeCell ref="B80:AB80"/>
    <mergeCell ref="B131:AB131"/>
    <mergeCell ref="G6:L12"/>
    <mergeCell ref="M119:N119"/>
    <mergeCell ref="O119:P119"/>
    <mergeCell ref="Q119:R119"/>
    <mergeCell ref="S119:T119"/>
    <mergeCell ref="Y68:Z68"/>
    <mergeCell ref="U68:V68"/>
    <mergeCell ref="W68:X68"/>
    <mergeCell ref="M68:N68"/>
    <mergeCell ref="A79:AB79"/>
    <mergeCell ref="A81:B81"/>
    <mergeCell ref="E81:F81"/>
    <mergeCell ref="G81:H81"/>
    <mergeCell ref="I81:J81"/>
    <mergeCell ref="K81:L81"/>
    <mergeCell ref="W119:X11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1"/>
  <sheetViews>
    <sheetView zoomScale="80" zoomScaleNormal="80" workbookViewId="0">
      <pane ySplit="1" topLeftCell="A2" activePane="bottomLeft" state="frozen"/>
      <selection pane="bottomLeft" activeCell="E20" sqref="E20"/>
    </sheetView>
  </sheetViews>
  <sheetFormatPr baseColWidth="10" defaultColWidth="11.5" defaultRowHeight="15"/>
  <cols>
    <col min="1" max="1" width="28.33203125" style="1" bestFit="1" customWidth="1"/>
    <col min="2" max="2" width="36.1640625" style="117" customWidth="1"/>
    <col min="3" max="3" width="25.1640625" style="1" customWidth="1"/>
    <col min="4" max="4" width="47.33203125" style="1" customWidth="1"/>
    <col min="5" max="5" width="33.5" style="1" customWidth="1"/>
    <col min="6" max="6" width="15.6640625" style="1" customWidth="1"/>
    <col min="7" max="7" width="14.5" style="1" customWidth="1"/>
    <col min="8" max="8" width="15.83203125" style="1" customWidth="1"/>
    <col min="9" max="9" width="17.5" style="1" customWidth="1"/>
    <col min="10" max="10" width="16.5" style="1" customWidth="1"/>
    <col min="11" max="11" width="18" style="1" customWidth="1"/>
    <col min="12" max="12" width="15.5" style="1" customWidth="1"/>
    <col min="13" max="13" width="16.83203125" style="1" customWidth="1"/>
    <col min="14" max="15" width="15.5" style="1" customWidth="1"/>
    <col min="16" max="16" width="13.5" style="1" customWidth="1"/>
    <col min="17" max="17" width="16.1640625" style="1" customWidth="1"/>
    <col min="18" max="18" width="14" style="1" customWidth="1"/>
    <col min="19" max="19" width="16" style="1" customWidth="1"/>
    <col min="20" max="20" width="17.1640625" style="1" customWidth="1"/>
    <col min="21" max="21" width="15.1640625" style="1" customWidth="1"/>
    <col min="22" max="22" width="14.1640625" style="1" customWidth="1"/>
    <col min="23" max="23" width="14.33203125" style="1" customWidth="1"/>
    <col min="24" max="25" width="14.6640625" style="1" customWidth="1"/>
    <col min="26" max="26" width="14.33203125" style="1" customWidth="1"/>
    <col min="27" max="16384" width="11.5" style="1"/>
  </cols>
  <sheetData>
    <row r="1" spans="1:15" customFormat="1" ht="58.5" customHeight="1">
      <c r="A1" s="373"/>
      <c r="B1" s="382"/>
      <c r="C1" s="380" t="s">
        <v>67</v>
      </c>
      <c r="D1" s="373"/>
      <c r="E1" s="380"/>
      <c r="F1" s="373"/>
      <c r="G1" s="373"/>
      <c r="H1" s="373"/>
      <c r="I1" s="373"/>
      <c r="J1" s="373"/>
      <c r="K1" s="373"/>
      <c r="L1" s="373"/>
      <c r="M1" s="373"/>
      <c r="N1" s="373"/>
      <c r="O1" s="373"/>
    </row>
    <row r="3" spans="1:15" ht="16" thickBot="1"/>
    <row r="4" spans="1:15" ht="27" thickBot="1">
      <c r="A4" s="653" t="s">
        <v>83</v>
      </c>
      <c r="B4" s="654"/>
      <c r="C4" s="655"/>
      <c r="D4" s="128"/>
      <c r="E4" s="128"/>
    </row>
    <row r="5" spans="1:15" ht="16">
      <c r="A5" s="119" t="s">
        <v>71</v>
      </c>
      <c r="B5" s="120">
        <v>52</v>
      </c>
      <c r="C5" s="112" t="s">
        <v>73</v>
      </c>
    </row>
    <row r="6" spans="1:15" ht="16">
      <c r="A6" s="119" t="s">
        <v>75</v>
      </c>
      <c r="B6" s="120">
        <v>2</v>
      </c>
      <c r="C6" s="112" t="s">
        <v>73</v>
      </c>
      <c r="D6" s="1" t="s">
        <v>81</v>
      </c>
    </row>
    <row r="7" spans="1:15" ht="16">
      <c r="A7" s="119" t="s">
        <v>72</v>
      </c>
      <c r="B7" s="120">
        <v>14</v>
      </c>
      <c r="C7" s="112" t="s">
        <v>74</v>
      </c>
    </row>
    <row r="8" spans="1:15" ht="16">
      <c r="A8" s="119" t="s">
        <v>82</v>
      </c>
      <c r="B8" s="120">
        <f>(B5-B6)*5 -B7</f>
        <v>236</v>
      </c>
      <c r="C8" s="112" t="s">
        <v>74</v>
      </c>
    </row>
    <row r="9" spans="1:15" ht="16">
      <c r="A9" s="119" t="s">
        <v>69</v>
      </c>
      <c r="B9" s="120">
        <v>8</v>
      </c>
      <c r="C9" s="112" t="s">
        <v>70</v>
      </c>
    </row>
    <row r="10" spans="1:15" ht="33" thickBot="1">
      <c r="A10" s="129" t="s">
        <v>78</v>
      </c>
      <c r="B10" s="130">
        <f>B8*B9</f>
        <v>1888</v>
      </c>
      <c r="C10" s="131" t="s">
        <v>70</v>
      </c>
    </row>
    <row r="11" spans="1:15" ht="49.5" customHeight="1" thickBot="1">
      <c r="A11" s="666" t="s">
        <v>76</v>
      </c>
      <c r="B11" s="132">
        <v>1800</v>
      </c>
      <c r="C11" s="141" t="s">
        <v>79</v>
      </c>
    </row>
    <row r="12" spans="1:15" ht="69" customHeight="1" thickBot="1">
      <c r="A12" s="667"/>
      <c r="B12" s="133">
        <f>B11/12</f>
        <v>150</v>
      </c>
      <c r="C12" s="142" t="s">
        <v>80</v>
      </c>
    </row>
    <row r="13" spans="1:15">
      <c r="A13" s="118"/>
      <c r="B13" s="125"/>
      <c r="C13" s="122"/>
    </row>
    <row r="14" spans="1:15" ht="3.75" customHeight="1">
      <c r="A14" s="123"/>
      <c r="B14" s="126"/>
      <c r="C14" s="124"/>
      <c r="D14" s="105"/>
      <c r="E14" s="105"/>
      <c r="F14" s="105"/>
      <c r="G14" s="105"/>
      <c r="H14" s="105"/>
      <c r="I14" s="105"/>
      <c r="J14" s="105"/>
      <c r="K14" s="105"/>
      <c r="L14" s="105"/>
      <c r="M14" s="105"/>
      <c r="N14" s="105"/>
    </row>
    <row r="15" spans="1:15" ht="16" thickBot="1">
      <c r="C15" s="31"/>
      <c r="D15" s="31"/>
      <c r="E15" s="31"/>
      <c r="F15" s="31"/>
    </row>
    <row r="16" spans="1:15" ht="27.75" customHeight="1" thickBot="1">
      <c r="A16" s="661" t="s">
        <v>206</v>
      </c>
      <c r="B16" s="653" t="s">
        <v>242</v>
      </c>
      <c r="C16" s="654"/>
      <c r="D16" s="654"/>
      <c r="E16" s="654"/>
      <c r="F16" s="655"/>
      <c r="G16" s="663"/>
      <c r="H16" s="664"/>
    </row>
    <row r="17" spans="1:26" ht="67.5" customHeight="1" thickBot="1">
      <c r="A17" s="662"/>
      <c r="B17" s="410" t="s">
        <v>243</v>
      </c>
      <c r="C17" s="135" t="s">
        <v>244</v>
      </c>
      <c r="D17" s="135" t="s">
        <v>245</v>
      </c>
      <c r="E17" s="136" t="s">
        <v>323</v>
      </c>
      <c r="F17" s="454" t="s">
        <v>19</v>
      </c>
      <c r="G17" s="664"/>
      <c r="H17" s="664"/>
    </row>
    <row r="18" spans="1:26" ht="35.25" customHeight="1" thickBot="1">
      <c r="A18" s="455" t="s">
        <v>325</v>
      </c>
      <c r="B18" s="456">
        <v>168</v>
      </c>
      <c r="C18" s="457">
        <v>152</v>
      </c>
      <c r="D18" s="457">
        <v>112</v>
      </c>
      <c r="E18" s="457">
        <v>80</v>
      </c>
      <c r="F18" s="458">
        <f>SUM(B18:E18)</f>
        <v>512</v>
      </c>
      <c r="G18" s="668" t="s">
        <v>324</v>
      </c>
      <c r="H18" s="665"/>
      <c r="I18" s="665"/>
    </row>
    <row r="19" spans="1:26" ht="21">
      <c r="A19" s="451"/>
      <c r="B19" s="452"/>
      <c r="C19" s="453"/>
      <c r="D19" s="453"/>
      <c r="E19" s="453"/>
      <c r="F19" s="453"/>
      <c r="G19" s="665"/>
      <c r="H19" s="665"/>
    </row>
    <row r="20" spans="1:26" ht="21">
      <c r="A20" s="451"/>
      <c r="B20" s="452"/>
      <c r="C20" s="453"/>
      <c r="D20" s="453"/>
      <c r="E20" s="453"/>
      <c r="F20" s="453"/>
      <c r="G20" s="665"/>
      <c r="H20" s="665"/>
    </row>
    <row r="21" spans="1:26" ht="39.75" customHeight="1">
      <c r="A21" s="118"/>
      <c r="B21" s="118"/>
      <c r="C21" s="118"/>
      <c r="D21" s="125"/>
      <c r="E21" s="137"/>
    </row>
    <row r="22" spans="1:26" ht="3.75" customHeight="1">
      <c r="A22" s="105"/>
      <c r="B22" s="127"/>
      <c r="C22" s="105"/>
      <c r="D22" s="105"/>
      <c r="E22" s="105"/>
      <c r="F22" s="105"/>
      <c r="G22" s="105"/>
      <c r="H22" s="105"/>
      <c r="I22" s="105"/>
      <c r="J22" s="105"/>
      <c r="K22" s="105"/>
      <c r="L22" s="105"/>
      <c r="M22" s="105"/>
      <c r="N22" s="105"/>
    </row>
    <row r="23" spans="1:26" ht="9" customHeight="1"/>
    <row r="24" spans="1:26" ht="9" customHeight="1" thickBot="1"/>
    <row r="25" spans="1:26" ht="32.25" customHeight="1" thickBot="1">
      <c r="A25" s="653" t="s">
        <v>282</v>
      </c>
      <c r="B25" s="654"/>
      <c r="C25" s="654"/>
      <c r="D25" s="654"/>
      <c r="E25" s="655"/>
    </row>
    <row r="26" spans="1:26">
      <c r="A26" s="658" t="s">
        <v>187</v>
      </c>
      <c r="B26" s="658"/>
      <c r="C26" s="657" t="s">
        <v>38</v>
      </c>
      <c r="D26" s="657"/>
      <c r="E26" s="657" t="s">
        <v>39</v>
      </c>
      <c r="F26" s="657"/>
      <c r="G26" s="657" t="s">
        <v>40</v>
      </c>
      <c r="H26" s="657"/>
      <c r="I26" s="657" t="s">
        <v>41</v>
      </c>
      <c r="J26" s="657"/>
      <c r="K26" s="657" t="s">
        <v>42</v>
      </c>
      <c r="L26" s="657"/>
      <c r="M26" s="657" t="s">
        <v>43</v>
      </c>
      <c r="N26" s="657"/>
      <c r="O26" s="657" t="s">
        <v>44</v>
      </c>
      <c r="P26" s="657"/>
      <c r="Q26" s="657" t="s">
        <v>45</v>
      </c>
      <c r="R26" s="657"/>
      <c r="S26" s="657" t="s">
        <v>46</v>
      </c>
      <c r="T26" s="657"/>
      <c r="U26" s="657" t="s">
        <v>47</v>
      </c>
      <c r="V26" s="657"/>
      <c r="W26" s="657" t="s">
        <v>48</v>
      </c>
      <c r="X26" s="657"/>
      <c r="Y26" s="657" t="s">
        <v>49</v>
      </c>
      <c r="Z26" s="657"/>
    </row>
    <row r="27" spans="1:26" ht="32">
      <c r="A27" s="658"/>
      <c r="B27" s="658"/>
      <c r="C27" s="139" t="s">
        <v>281</v>
      </c>
      <c r="D27" s="139" t="s">
        <v>85</v>
      </c>
      <c r="E27" s="139" t="s">
        <v>281</v>
      </c>
      <c r="F27" s="139" t="s">
        <v>84</v>
      </c>
      <c r="G27" s="139" t="s">
        <v>281</v>
      </c>
      <c r="H27" s="139" t="s">
        <v>85</v>
      </c>
      <c r="I27" s="139" t="s">
        <v>281</v>
      </c>
      <c r="J27" s="139" t="s">
        <v>84</v>
      </c>
      <c r="K27" s="139" t="s">
        <v>281</v>
      </c>
      <c r="L27" s="139" t="s">
        <v>85</v>
      </c>
      <c r="M27" s="139" t="s">
        <v>281</v>
      </c>
      <c r="N27" s="139" t="s">
        <v>85</v>
      </c>
      <c r="O27" s="139" t="s">
        <v>281</v>
      </c>
      <c r="P27" s="139" t="s">
        <v>85</v>
      </c>
      <c r="Q27" s="139" t="s">
        <v>281</v>
      </c>
      <c r="R27" s="139" t="s">
        <v>85</v>
      </c>
      <c r="S27" s="139" t="s">
        <v>281</v>
      </c>
      <c r="T27" s="139" t="s">
        <v>85</v>
      </c>
      <c r="U27" s="139" t="s">
        <v>281</v>
      </c>
      <c r="V27" s="139" t="s">
        <v>85</v>
      </c>
      <c r="W27" s="139" t="s">
        <v>281</v>
      </c>
      <c r="X27" s="139" t="s">
        <v>85</v>
      </c>
      <c r="Y27" s="139" t="s">
        <v>281</v>
      </c>
      <c r="Z27" s="139" t="s">
        <v>85</v>
      </c>
    </row>
    <row r="28" spans="1:26" ht="16">
      <c r="A28" s="659" t="s">
        <v>204</v>
      </c>
      <c r="B28" s="660"/>
      <c r="C28" s="112">
        <f>'Proy. ventas'!E19</f>
        <v>2612</v>
      </c>
      <c r="D28" s="112">
        <v>0</v>
      </c>
      <c r="E28" s="112">
        <f>'Proy. ventas'!G19</f>
        <v>2612</v>
      </c>
      <c r="F28" s="112">
        <v>0</v>
      </c>
      <c r="G28" s="112">
        <f>'Proy. ventas'!I19</f>
        <v>5224</v>
      </c>
      <c r="H28" s="112">
        <v>0</v>
      </c>
      <c r="I28" s="112">
        <f>'Proy. ventas'!K19</f>
        <v>5224</v>
      </c>
      <c r="J28" s="112">
        <v>0</v>
      </c>
      <c r="K28" s="112">
        <f>'Proy. ventas'!M19</f>
        <v>5224</v>
      </c>
      <c r="L28" s="112">
        <v>0</v>
      </c>
      <c r="M28" s="112">
        <f>'Proy. ventas'!O19</f>
        <v>5224</v>
      </c>
      <c r="N28" s="112">
        <v>0</v>
      </c>
      <c r="O28" s="112">
        <f>'Proy. ventas'!Q19</f>
        <v>6530</v>
      </c>
      <c r="P28" s="112">
        <v>0</v>
      </c>
      <c r="Q28" s="112">
        <f>'Proy. ventas'!S19</f>
        <v>6530</v>
      </c>
      <c r="R28" s="112">
        <v>0</v>
      </c>
      <c r="S28" s="112">
        <f>'Proy. ventas'!U19</f>
        <v>6530</v>
      </c>
      <c r="T28" s="112">
        <v>0</v>
      </c>
      <c r="U28" s="112">
        <f>'Proy. ventas'!W19</f>
        <v>7836</v>
      </c>
      <c r="V28" s="112">
        <v>0</v>
      </c>
      <c r="W28" s="112">
        <f>'Proy. ventas'!Y19</f>
        <v>7836</v>
      </c>
      <c r="X28" s="112">
        <v>0</v>
      </c>
      <c r="Y28" s="112">
        <f>'Proy. ventas'!AA19</f>
        <v>3918</v>
      </c>
      <c r="Z28" s="112">
        <v>0</v>
      </c>
    </row>
    <row r="29" spans="1:26" ht="16">
      <c r="A29" s="659" t="s">
        <v>203</v>
      </c>
      <c r="B29" s="660"/>
      <c r="C29" s="112">
        <f>'Proy. ventas'!E21 + 'Proy. ventas'!E20</f>
        <v>1944</v>
      </c>
      <c r="D29" s="112">
        <f t="shared" ref="D29:R30" si="0">C29*0.02</f>
        <v>38.880000000000003</v>
      </c>
      <c r="E29" s="112">
        <f>'Proy. ventas'!G21 + 'Proy. ventas'!G20</f>
        <v>1944</v>
      </c>
      <c r="F29" s="112">
        <f t="shared" si="0"/>
        <v>38.880000000000003</v>
      </c>
      <c r="G29" s="112">
        <f>'Proy. ventas'!I21 + 'Proy. ventas'!I20</f>
        <v>3888</v>
      </c>
      <c r="H29" s="112">
        <f t="shared" si="0"/>
        <v>77.760000000000005</v>
      </c>
      <c r="I29" s="112">
        <f>'Proy. ventas'!K21 + 'Proy. ventas'!K20</f>
        <v>3888</v>
      </c>
      <c r="J29" s="112">
        <f t="shared" si="0"/>
        <v>77.760000000000005</v>
      </c>
      <c r="K29" s="112">
        <f>'Proy. ventas'!M21 + 'Proy. ventas'!M20</f>
        <v>3888</v>
      </c>
      <c r="L29" s="112">
        <f t="shared" si="0"/>
        <v>77.760000000000005</v>
      </c>
      <c r="M29" s="112">
        <f>'Proy. ventas'!O21 + 'Proy. ventas'!O20</f>
        <v>3888</v>
      </c>
      <c r="N29" s="112">
        <f t="shared" si="0"/>
        <v>77.760000000000005</v>
      </c>
      <c r="O29" s="112">
        <f>'Proy. ventas'!Q21 + 'Proy. ventas'!Q20</f>
        <v>4860</v>
      </c>
      <c r="P29" s="112">
        <f t="shared" si="0"/>
        <v>97.2</v>
      </c>
      <c r="Q29" s="112">
        <f>'Proy. ventas'!S21 + 'Proy. ventas'!S20</f>
        <v>4860</v>
      </c>
      <c r="R29" s="112">
        <f t="shared" si="0"/>
        <v>97.2</v>
      </c>
      <c r="S29" s="112">
        <f>'Proy. ventas'!U21 + 'Proy. ventas'!U20</f>
        <v>4860</v>
      </c>
      <c r="T29" s="112">
        <f t="shared" ref="T29:Z29" si="1">S29*0.02</f>
        <v>97.2</v>
      </c>
      <c r="U29" s="112">
        <f>'Proy. ventas'!W21 + 'Proy. ventas'!W20</f>
        <v>5832</v>
      </c>
      <c r="V29" s="112">
        <f t="shared" si="1"/>
        <v>116.64</v>
      </c>
      <c r="W29" s="112">
        <f>'Proy. ventas'!Y21 + 'Proy. ventas'!Y20</f>
        <v>5832</v>
      </c>
      <c r="X29" s="112">
        <f t="shared" si="1"/>
        <v>116.64</v>
      </c>
      <c r="Y29" s="112">
        <f>'Proy. ventas'!AA21 + 'Proy. ventas'!AA20</f>
        <v>2916</v>
      </c>
      <c r="Z29" s="112">
        <f t="shared" si="1"/>
        <v>58.32</v>
      </c>
    </row>
    <row r="30" spans="1:26" ht="16" customHeight="1">
      <c r="A30" s="659" t="s">
        <v>205</v>
      </c>
      <c r="B30" s="660"/>
      <c r="C30" s="112">
        <f>'Proy. ventas'!E23 + 'Proy. ventas'!E22</f>
        <v>286.39999999999998</v>
      </c>
      <c r="D30" s="112">
        <f t="shared" si="0"/>
        <v>5.7279999999999998</v>
      </c>
      <c r="E30" s="112">
        <f>'Proy. ventas'!G23 + 'Proy. ventas'!G22</f>
        <v>286.39999999999998</v>
      </c>
      <c r="F30" s="112">
        <f t="shared" ref="F30:Z30" si="2">E30*0.02</f>
        <v>5.7279999999999998</v>
      </c>
      <c r="G30" s="112">
        <f>'Proy. ventas'!I23 + 'Proy. ventas'!I22</f>
        <v>572.79999999999995</v>
      </c>
      <c r="H30" s="112">
        <f t="shared" si="2"/>
        <v>11.456</v>
      </c>
      <c r="I30" s="112">
        <f>'Proy. ventas'!K23 + 'Proy. ventas'!K22</f>
        <v>572.79999999999995</v>
      </c>
      <c r="J30" s="112">
        <f t="shared" si="2"/>
        <v>11.456</v>
      </c>
      <c r="K30" s="112">
        <f>'Proy. ventas'!M23 + 'Proy. ventas'!M22</f>
        <v>572.79999999999995</v>
      </c>
      <c r="L30" s="112">
        <f t="shared" si="2"/>
        <v>11.456</v>
      </c>
      <c r="M30" s="112">
        <f>'Proy. ventas'!O23 + 'Proy. ventas'!O22</f>
        <v>572.79999999999995</v>
      </c>
      <c r="N30" s="112">
        <f t="shared" si="2"/>
        <v>11.456</v>
      </c>
      <c r="O30" s="112">
        <f>'Proy. ventas'!Q23 + 'Proy. ventas'!Q22</f>
        <v>716</v>
      </c>
      <c r="P30" s="112">
        <f t="shared" si="2"/>
        <v>14.32</v>
      </c>
      <c r="Q30" s="112">
        <f>'Proy. ventas'!S23 + 'Proy. ventas'!S22</f>
        <v>716</v>
      </c>
      <c r="R30" s="112">
        <f t="shared" si="2"/>
        <v>14.32</v>
      </c>
      <c r="S30" s="112">
        <f>'Proy. ventas'!U23 + 'Proy. ventas'!U22</f>
        <v>716</v>
      </c>
      <c r="T30" s="112">
        <f t="shared" si="2"/>
        <v>14.32</v>
      </c>
      <c r="U30" s="112">
        <f>'Proy. ventas'!W23 + 'Proy. ventas'!W22</f>
        <v>859.2</v>
      </c>
      <c r="V30" s="112">
        <f t="shared" si="2"/>
        <v>17.184000000000001</v>
      </c>
      <c r="W30" s="112">
        <f>'Proy. ventas'!Y23 + 'Proy. ventas'!Y22</f>
        <v>859.2</v>
      </c>
      <c r="X30" s="112">
        <f t="shared" si="2"/>
        <v>17.184000000000001</v>
      </c>
      <c r="Y30" s="112">
        <f>'Proy. ventas'!AA23 + 'Proy. ventas'!AA22</f>
        <v>429.6</v>
      </c>
      <c r="Z30" s="112">
        <f t="shared" si="2"/>
        <v>8.5920000000000005</v>
      </c>
    </row>
    <row r="31" spans="1:26">
      <c r="A31" s="652" t="s">
        <v>51</v>
      </c>
      <c r="B31" s="652"/>
      <c r="C31" s="138">
        <f t="shared" ref="C31:Z31" si="3">SUM(C28:C30)</f>
        <v>4842.3999999999996</v>
      </c>
      <c r="D31" s="140">
        <f t="shared" si="3"/>
        <v>44.608000000000004</v>
      </c>
      <c r="E31" s="138">
        <f t="shared" si="3"/>
        <v>4842.3999999999996</v>
      </c>
      <c r="F31" s="140">
        <f t="shared" si="3"/>
        <v>44.608000000000004</v>
      </c>
      <c r="G31" s="138">
        <f t="shared" si="3"/>
        <v>9684.7999999999993</v>
      </c>
      <c r="H31" s="140">
        <f t="shared" si="3"/>
        <v>89.216000000000008</v>
      </c>
      <c r="I31" s="138">
        <f t="shared" si="3"/>
        <v>9684.7999999999993</v>
      </c>
      <c r="J31" s="140">
        <f t="shared" si="3"/>
        <v>89.216000000000008</v>
      </c>
      <c r="K31" s="138">
        <f t="shared" si="3"/>
        <v>9684.7999999999993</v>
      </c>
      <c r="L31" s="140">
        <f t="shared" si="3"/>
        <v>89.216000000000008</v>
      </c>
      <c r="M31" s="138">
        <f t="shared" si="3"/>
        <v>9684.7999999999993</v>
      </c>
      <c r="N31" s="140">
        <f t="shared" si="3"/>
        <v>89.216000000000008</v>
      </c>
      <c r="O31" s="138">
        <f t="shared" si="3"/>
        <v>12106</v>
      </c>
      <c r="P31" s="140">
        <f t="shared" si="3"/>
        <v>111.52000000000001</v>
      </c>
      <c r="Q31" s="138">
        <f t="shared" si="3"/>
        <v>12106</v>
      </c>
      <c r="R31" s="140">
        <f t="shared" si="3"/>
        <v>111.52000000000001</v>
      </c>
      <c r="S31" s="138">
        <f t="shared" si="3"/>
        <v>12106</v>
      </c>
      <c r="T31" s="140">
        <f t="shared" si="3"/>
        <v>111.52000000000001</v>
      </c>
      <c r="U31" s="138">
        <f t="shared" si="3"/>
        <v>14527.2</v>
      </c>
      <c r="V31" s="140">
        <f t="shared" si="3"/>
        <v>133.82400000000001</v>
      </c>
      <c r="W31" s="138">
        <f t="shared" si="3"/>
        <v>14527.2</v>
      </c>
      <c r="X31" s="140">
        <f t="shared" si="3"/>
        <v>133.82400000000001</v>
      </c>
      <c r="Y31" s="138">
        <f t="shared" si="3"/>
        <v>7263.6</v>
      </c>
      <c r="Z31" s="140">
        <f t="shared" si="3"/>
        <v>66.912000000000006</v>
      </c>
    </row>
    <row r="32" spans="1:26" ht="9.75" customHeight="1"/>
    <row r="33" spans="1:26" ht="9.75" customHeight="1"/>
    <row r="34" spans="1:26">
      <c r="A34" s="658" t="s">
        <v>280</v>
      </c>
      <c r="B34" s="658"/>
      <c r="C34" s="657" t="s">
        <v>38</v>
      </c>
      <c r="D34" s="657"/>
      <c r="E34" s="657" t="s">
        <v>39</v>
      </c>
      <c r="F34" s="657"/>
      <c r="G34" s="657" t="s">
        <v>40</v>
      </c>
      <c r="H34" s="657"/>
      <c r="I34" s="657" t="s">
        <v>41</v>
      </c>
      <c r="J34" s="657"/>
      <c r="K34" s="657" t="s">
        <v>42</v>
      </c>
      <c r="L34" s="657"/>
      <c r="M34" s="657" t="s">
        <v>43</v>
      </c>
      <c r="N34" s="657"/>
      <c r="O34" s="657" t="s">
        <v>44</v>
      </c>
      <c r="P34" s="657"/>
      <c r="Q34" s="657" t="s">
        <v>45</v>
      </c>
      <c r="R34" s="657"/>
      <c r="S34" s="657" t="s">
        <v>46</v>
      </c>
      <c r="T34" s="657"/>
      <c r="U34" s="657" t="s">
        <v>47</v>
      </c>
      <c r="V34" s="657"/>
      <c r="W34" s="657" t="s">
        <v>48</v>
      </c>
      <c r="X34" s="657"/>
      <c r="Y34" s="657" t="s">
        <v>49</v>
      </c>
      <c r="Z34" s="657"/>
    </row>
    <row r="35" spans="1:26" ht="32">
      <c r="A35" s="658"/>
      <c r="B35" s="658"/>
      <c r="C35" s="139" t="s">
        <v>281</v>
      </c>
      <c r="D35" s="139" t="s">
        <v>85</v>
      </c>
      <c r="E35" s="139" t="s">
        <v>281</v>
      </c>
      <c r="F35" s="139" t="s">
        <v>84</v>
      </c>
      <c r="G35" s="139" t="s">
        <v>281</v>
      </c>
      <c r="H35" s="139" t="s">
        <v>85</v>
      </c>
      <c r="I35" s="139" t="s">
        <v>281</v>
      </c>
      <c r="J35" s="139" t="s">
        <v>84</v>
      </c>
      <c r="K35" s="139" t="s">
        <v>281</v>
      </c>
      <c r="L35" s="139" t="s">
        <v>85</v>
      </c>
      <c r="M35" s="139" t="s">
        <v>281</v>
      </c>
      <c r="N35" s="139" t="s">
        <v>85</v>
      </c>
      <c r="O35" s="139" t="s">
        <v>281</v>
      </c>
      <c r="P35" s="139" t="s">
        <v>85</v>
      </c>
      <c r="Q35" s="139" t="s">
        <v>281</v>
      </c>
      <c r="R35" s="139" t="s">
        <v>85</v>
      </c>
      <c r="S35" s="139" t="s">
        <v>281</v>
      </c>
      <c r="T35" s="139" t="s">
        <v>85</v>
      </c>
      <c r="U35" s="139" t="s">
        <v>281</v>
      </c>
      <c r="V35" s="139" t="s">
        <v>85</v>
      </c>
      <c r="W35" s="139" t="s">
        <v>281</v>
      </c>
      <c r="X35" s="139" t="s">
        <v>85</v>
      </c>
      <c r="Y35" s="139" t="s">
        <v>281</v>
      </c>
      <c r="Z35" s="139" t="s">
        <v>85</v>
      </c>
    </row>
    <row r="36" spans="1:26" ht="16">
      <c r="A36" s="659" t="s">
        <v>204</v>
      </c>
      <c r="B36" s="660"/>
      <c r="C36" s="112">
        <f>'Proy. ventas'!E$71</f>
        <v>3640</v>
      </c>
      <c r="D36" s="112">
        <v>0</v>
      </c>
      <c r="E36" s="112">
        <f>'Proy. ventas'!G$71</f>
        <v>3640</v>
      </c>
      <c r="F36" s="112">
        <v>0</v>
      </c>
      <c r="G36" s="112">
        <f>'Proy. ventas'!I$71</f>
        <v>7280</v>
      </c>
      <c r="H36" s="112">
        <v>0</v>
      </c>
      <c r="I36" s="112">
        <f>'Proy. ventas'!K$71</f>
        <v>7280</v>
      </c>
      <c r="J36" s="112">
        <v>0</v>
      </c>
      <c r="K36" s="112">
        <f>'Proy. ventas'!M$71</f>
        <v>7280</v>
      </c>
      <c r="L36" s="112">
        <v>0</v>
      </c>
      <c r="M36" s="112">
        <f>'Proy. ventas'!O$71</f>
        <v>7280</v>
      </c>
      <c r="N36" s="112">
        <v>0</v>
      </c>
      <c r="O36" s="112">
        <f>'Proy. ventas'!Q$71</f>
        <v>9100</v>
      </c>
      <c r="P36" s="112">
        <v>0</v>
      </c>
      <c r="Q36" s="112">
        <f>'Proy. ventas'!S$71</f>
        <v>9100</v>
      </c>
      <c r="R36" s="112">
        <v>0</v>
      </c>
      <c r="S36" s="112">
        <f>'Proy. ventas'!U$71</f>
        <v>9100</v>
      </c>
      <c r="T36" s="112">
        <v>0</v>
      </c>
      <c r="U36" s="112">
        <f>'Proy. ventas'!W$71</f>
        <v>10920</v>
      </c>
      <c r="V36" s="112">
        <v>0</v>
      </c>
      <c r="W36" s="112">
        <f>'Proy. ventas'!Y$71</f>
        <v>10920</v>
      </c>
      <c r="X36" s="112">
        <v>0</v>
      </c>
      <c r="Y36" s="112">
        <f>'Proy. ventas'!AA$71</f>
        <v>5460</v>
      </c>
      <c r="Z36" s="112">
        <v>0</v>
      </c>
    </row>
    <row r="37" spans="1:26" ht="16">
      <c r="A37" s="659" t="s">
        <v>203</v>
      </c>
      <c r="B37" s="660"/>
      <c r="C37" s="112">
        <f>'Proy. ventas'!E$72+ 'Proy. ventas'!E$73</f>
        <v>2752</v>
      </c>
      <c r="D37" s="112">
        <f>C37*0.02</f>
        <v>55.04</v>
      </c>
      <c r="E37" s="112">
        <f>'Proy. ventas'!G$72+ 'Proy. ventas'!G$73</f>
        <v>2752</v>
      </c>
      <c r="F37" s="112">
        <f t="shared" ref="F37" si="4">E37*0.02</f>
        <v>55.04</v>
      </c>
      <c r="G37" s="112">
        <f>'Proy. ventas'!I$72+ 'Proy. ventas'!I$73</f>
        <v>5504</v>
      </c>
      <c r="H37" s="112">
        <f t="shared" ref="H37" si="5">G37*0.02</f>
        <v>110.08</v>
      </c>
      <c r="I37" s="112">
        <f>'Proy. ventas'!K$72+ 'Proy. ventas'!K$73</f>
        <v>5504</v>
      </c>
      <c r="J37" s="112">
        <f t="shared" ref="J37" si="6">I37*0.02</f>
        <v>110.08</v>
      </c>
      <c r="K37" s="112">
        <f>'Proy. ventas'!M$72+ 'Proy. ventas'!M$73</f>
        <v>5504</v>
      </c>
      <c r="L37" s="112">
        <f t="shared" ref="L37" si="7">K37*0.02</f>
        <v>110.08</v>
      </c>
      <c r="M37" s="112">
        <f>'Proy. ventas'!O$72+ 'Proy. ventas'!O$73</f>
        <v>5504</v>
      </c>
      <c r="N37" s="112">
        <f t="shared" ref="N37" si="8">M37*0.02</f>
        <v>110.08</v>
      </c>
      <c r="O37" s="112">
        <f>'Proy. ventas'!Q$72+ 'Proy. ventas'!Q$73</f>
        <v>6880</v>
      </c>
      <c r="P37" s="112">
        <f t="shared" ref="P37" si="9">O37*0.02</f>
        <v>137.6</v>
      </c>
      <c r="Q37" s="112">
        <f>'Proy. ventas'!S$72+ 'Proy. ventas'!S$73</f>
        <v>6880</v>
      </c>
      <c r="R37" s="112">
        <f t="shared" ref="R37" si="10">Q37*0.02</f>
        <v>137.6</v>
      </c>
      <c r="S37" s="112">
        <f>'Proy. ventas'!U$72+ 'Proy. ventas'!U$73</f>
        <v>6880</v>
      </c>
      <c r="T37" s="112">
        <f t="shared" ref="T37" si="11">S37*0.02</f>
        <v>137.6</v>
      </c>
      <c r="U37" s="112">
        <f>'Proy. ventas'!W$72+ 'Proy. ventas'!W$73</f>
        <v>8256</v>
      </c>
      <c r="V37" s="112">
        <f t="shared" ref="V37" si="12">U37*0.02</f>
        <v>165.12</v>
      </c>
      <c r="W37" s="112">
        <f>'Proy. ventas'!Y$72+ 'Proy. ventas'!Y$73</f>
        <v>8256</v>
      </c>
      <c r="X37" s="112">
        <f t="shared" ref="X37" si="13">W37*0.02</f>
        <v>165.12</v>
      </c>
      <c r="Y37" s="112">
        <f>'Proy. ventas'!AA$72+ 'Proy. ventas'!AA$73</f>
        <v>4128</v>
      </c>
      <c r="Z37" s="112">
        <f t="shared" ref="Z37:Z38" si="14">Y37*0.02</f>
        <v>82.56</v>
      </c>
    </row>
    <row r="38" spans="1:26" ht="16">
      <c r="A38" s="659" t="s">
        <v>205</v>
      </c>
      <c r="B38" s="660"/>
      <c r="C38" s="112">
        <f>'Proy. ventas'!E$74 + 'Proy. ventas'!E$75</f>
        <v>404</v>
      </c>
      <c r="D38" s="112">
        <f>C38*0.02</f>
        <v>8.08</v>
      </c>
      <c r="E38" s="112">
        <f>'Proy. ventas'!G$74 + 'Proy. ventas'!G$75</f>
        <v>404</v>
      </c>
      <c r="F38" s="112">
        <f t="shared" ref="F38" si="15">E38*0.02</f>
        <v>8.08</v>
      </c>
      <c r="G38" s="112">
        <f>'Proy. ventas'!I$74 + 'Proy. ventas'!I$75</f>
        <v>808</v>
      </c>
      <c r="H38" s="112">
        <f t="shared" ref="H38" si="16">G38*0.02</f>
        <v>16.16</v>
      </c>
      <c r="I38" s="112">
        <f>'Proy. ventas'!K$74 + 'Proy. ventas'!K$75</f>
        <v>808</v>
      </c>
      <c r="J38" s="112">
        <f t="shared" ref="J38" si="17">I38*0.02</f>
        <v>16.16</v>
      </c>
      <c r="K38" s="112">
        <f>'Proy. ventas'!M$74 + 'Proy. ventas'!M$75</f>
        <v>808</v>
      </c>
      <c r="L38" s="112">
        <f t="shared" ref="L38" si="18">K38*0.02</f>
        <v>16.16</v>
      </c>
      <c r="M38" s="112">
        <f>'Proy. ventas'!O$74 + 'Proy. ventas'!O$75</f>
        <v>808</v>
      </c>
      <c r="N38" s="112">
        <f t="shared" ref="N38" si="19">M38*0.02</f>
        <v>16.16</v>
      </c>
      <c r="O38" s="112">
        <f>'Proy. ventas'!Q$74 + 'Proy. ventas'!Q$75</f>
        <v>1010</v>
      </c>
      <c r="P38" s="112">
        <f t="shared" ref="P38" si="20">O38*0.02</f>
        <v>20.2</v>
      </c>
      <c r="Q38" s="112">
        <f>'Proy. ventas'!S$74 + 'Proy. ventas'!S$75</f>
        <v>1010</v>
      </c>
      <c r="R38" s="112">
        <f t="shared" ref="R38" si="21">Q38*0.02</f>
        <v>20.2</v>
      </c>
      <c r="S38" s="112">
        <f>'Proy. ventas'!U$74 + 'Proy. ventas'!U$75</f>
        <v>1010</v>
      </c>
      <c r="T38" s="112">
        <f t="shared" ref="T38" si="22">S38*0.02</f>
        <v>20.2</v>
      </c>
      <c r="U38" s="112">
        <f>'Proy. ventas'!W$74 + 'Proy. ventas'!W$75</f>
        <v>1212</v>
      </c>
      <c r="V38" s="112">
        <f t="shared" ref="V38" si="23">U38*0.02</f>
        <v>24.240000000000002</v>
      </c>
      <c r="W38" s="112">
        <f>'Proy. ventas'!Y$74 + 'Proy. ventas'!Y$75</f>
        <v>1212</v>
      </c>
      <c r="X38" s="112">
        <f t="shared" ref="X38" si="24">W38*0.02</f>
        <v>24.240000000000002</v>
      </c>
      <c r="Y38" s="112">
        <f>'Proy. ventas'!AA$74 + 'Proy. ventas'!AA$75</f>
        <v>606</v>
      </c>
      <c r="Z38" s="112">
        <f t="shared" si="14"/>
        <v>12.120000000000001</v>
      </c>
    </row>
    <row r="39" spans="1:26">
      <c r="A39" s="652" t="s">
        <v>51</v>
      </c>
      <c r="B39" s="652"/>
      <c r="C39" s="138">
        <f t="shared" ref="C39:Z39" si="25">SUM(C36:C38)</f>
        <v>6796</v>
      </c>
      <c r="D39" s="140">
        <f t="shared" si="25"/>
        <v>63.12</v>
      </c>
      <c r="E39" s="138">
        <f t="shared" si="25"/>
        <v>6796</v>
      </c>
      <c r="F39" s="140">
        <f t="shared" si="25"/>
        <v>63.12</v>
      </c>
      <c r="G39" s="138">
        <f t="shared" si="25"/>
        <v>13592</v>
      </c>
      <c r="H39" s="140">
        <f t="shared" si="25"/>
        <v>126.24</v>
      </c>
      <c r="I39" s="138">
        <f t="shared" si="25"/>
        <v>13592</v>
      </c>
      <c r="J39" s="140">
        <f t="shared" si="25"/>
        <v>126.24</v>
      </c>
      <c r="K39" s="138">
        <f t="shared" si="25"/>
        <v>13592</v>
      </c>
      <c r="L39" s="140">
        <f t="shared" si="25"/>
        <v>126.24</v>
      </c>
      <c r="M39" s="138">
        <f t="shared" si="25"/>
        <v>13592</v>
      </c>
      <c r="N39" s="140">
        <f t="shared" si="25"/>
        <v>126.24</v>
      </c>
      <c r="O39" s="138">
        <f t="shared" si="25"/>
        <v>16990</v>
      </c>
      <c r="P39" s="140">
        <f t="shared" si="25"/>
        <v>157.79999999999998</v>
      </c>
      <c r="Q39" s="138">
        <f t="shared" si="25"/>
        <v>16990</v>
      </c>
      <c r="R39" s="140">
        <f t="shared" si="25"/>
        <v>157.79999999999998</v>
      </c>
      <c r="S39" s="138">
        <f t="shared" si="25"/>
        <v>16990</v>
      </c>
      <c r="T39" s="140">
        <f t="shared" si="25"/>
        <v>157.79999999999998</v>
      </c>
      <c r="U39" s="138">
        <f t="shared" si="25"/>
        <v>20388</v>
      </c>
      <c r="V39" s="140">
        <f t="shared" si="25"/>
        <v>189.36</v>
      </c>
      <c r="W39" s="138">
        <f t="shared" si="25"/>
        <v>20388</v>
      </c>
      <c r="X39" s="140">
        <f t="shared" si="25"/>
        <v>189.36</v>
      </c>
      <c r="Y39" s="138">
        <f t="shared" si="25"/>
        <v>10194</v>
      </c>
      <c r="Z39" s="140">
        <f t="shared" si="25"/>
        <v>94.68</v>
      </c>
    </row>
    <row r="40" spans="1:26" ht="9.75" customHeight="1"/>
    <row r="41" spans="1:26" ht="9.75" customHeight="1"/>
    <row r="42" spans="1:26">
      <c r="A42" s="658" t="s">
        <v>280</v>
      </c>
      <c r="B42" s="658"/>
      <c r="C42" s="657" t="s">
        <v>38</v>
      </c>
      <c r="D42" s="657"/>
      <c r="E42" s="657" t="s">
        <v>39</v>
      </c>
      <c r="F42" s="657"/>
      <c r="G42" s="657" t="s">
        <v>40</v>
      </c>
      <c r="H42" s="657"/>
      <c r="I42" s="657" t="s">
        <v>41</v>
      </c>
      <c r="J42" s="657"/>
      <c r="K42" s="657" t="s">
        <v>42</v>
      </c>
      <c r="L42" s="657"/>
      <c r="M42" s="657" t="s">
        <v>43</v>
      </c>
      <c r="N42" s="657"/>
      <c r="O42" s="657" t="s">
        <v>44</v>
      </c>
      <c r="P42" s="657"/>
      <c r="Q42" s="657" t="s">
        <v>45</v>
      </c>
      <c r="R42" s="657"/>
      <c r="S42" s="657" t="s">
        <v>46</v>
      </c>
      <c r="T42" s="657"/>
      <c r="U42" s="657" t="s">
        <v>47</v>
      </c>
      <c r="V42" s="657"/>
      <c r="W42" s="657" t="s">
        <v>48</v>
      </c>
      <c r="X42" s="657"/>
      <c r="Y42" s="657" t="s">
        <v>49</v>
      </c>
      <c r="Z42" s="657"/>
    </row>
    <row r="43" spans="1:26" ht="32">
      <c r="A43" s="658"/>
      <c r="B43" s="658"/>
      <c r="C43" s="139" t="s">
        <v>281</v>
      </c>
      <c r="D43" s="139" t="s">
        <v>85</v>
      </c>
      <c r="E43" s="139" t="s">
        <v>281</v>
      </c>
      <c r="F43" s="139" t="s">
        <v>84</v>
      </c>
      <c r="G43" s="139" t="s">
        <v>281</v>
      </c>
      <c r="H43" s="139" t="s">
        <v>85</v>
      </c>
      <c r="I43" s="139" t="s">
        <v>281</v>
      </c>
      <c r="J43" s="139" t="s">
        <v>84</v>
      </c>
      <c r="K43" s="139" t="s">
        <v>281</v>
      </c>
      <c r="L43" s="139" t="s">
        <v>85</v>
      </c>
      <c r="M43" s="139" t="s">
        <v>281</v>
      </c>
      <c r="N43" s="139" t="s">
        <v>85</v>
      </c>
      <c r="O43" s="139" t="s">
        <v>281</v>
      </c>
      <c r="P43" s="139" t="s">
        <v>85</v>
      </c>
      <c r="Q43" s="139" t="s">
        <v>281</v>
      </c>
      <c r="R43" s="139" t="s">
        <v>85</v>
      </c>
      <c r="S43" s="139" t="s">
        <v>281</v>
      </c>
      <c r="T43" s="139" t="s">
        <v>85</v>
      </c>
      <c r="U43" s="139" t="s">
        <v>281</v>
      </c>
      <c r="V43" s="139" t="s">
        <v>85</v>
      </c>
      <c r="W43" s="139" t="s">
        <v>281</v>
      </c>
      <c r="X43" s="139" t="s">
        <v>85</v>
      </c>
      <c r="Y43" s="139" t="s">
        <v>281</v>
      </c>
      <c r="Z43" s="139" t="s">
        <v>85</v>
      </c>
    </row>
    <row r="44" spans="1:26" ht="16">
      <c r="A44" s="659" t="s">
        <v>204</v>
      </c>
      <c r="B44" s="660"/>
      <c r="C44" s="112">
        <f>'Proy. ventas'!E$122</f>
        <v>4860</v>
      </c>
      <c r="D44" s="138">
        <v>0</v>
      </c>
      <c r="E44" s="112">
        <f>'Proy. ventas'!G$122</f>
        <v>4860</v>
      </c>
      <c r="F44" s="138">
        <v>0</v>
      </c>
      <c r="G44" s="112">
        <f>'Proy. ventas'!I$122</f>
        <v>9720</v>
      </c>
      <c r="H44" s="138">
        <v>0</v>
      </c>
      <c r="I44" s="112">
        <f>'Proy. ventas'!K$122</f>
        <v>9720</v>
      </c>
      <c r="J44" s="138">
        <v>0</v>
      </c>
      <c r="K44" s="112">
        <f>'Proy. ventas'!M$122</f>
        <v>9720</v>
      </c>
      <c r="L44" s="138">
        <v>0</v>
      </c>
      <c r="M44" s="112">
        <f>'Proy. ventas'!O$122</f>
        <v>9720</v>
      </c>
      <c r="N44" s="138">
        <v>0</v>
      </c>
      <c r="O44" s="112">
        <f>'Proy. ventas'!Q$122</f>
        <v>12150</v>
      </c>
      <c r="P44" s="138">
        <v>0</v>
      </c>
      <c r="Q44" s="112">
        <f>'Proy. ventas'!S$122</f>
        <v>12150</v>
      </c>
      <c r="R44" s="138">
        <v>0</v>
      </c>
      <c r="S44" s="112">
        <f>'Proy. ventas'!U$122</f>
        <v>12150</v>
      </c>
      <c r="T44" s="138">
        <v>0</v>
      </c>
      <c r="U44" s="112">
        <f>'Proy. ventas'!W$122</f>
        <v>14580</v>
      </c>
      <c r="V44" s="138">
        <v>0</v>
      </c>
      <c r="W44" s="112">
        <f>'Proy. ventas'!Y$122</f>
        <v>14580</v>
      </c>
      <c r="X44" s="138">
        <v>0</v>
      </c>
      <c r="Y44" s="112">
        <f>'Proy. ventas'!AA$122</f>
        <v>7290</v>
      </c>
      <c r="Z44" s="138">
        <v>0</v>
      </c>
    </row>
    <row r="45" spans="1:26" ht="16">
      <c r="A45" s="659" t="s">
        <v>203</v>
      </c>
      <c r="B45" s="660"/>
      <c r="C45" s="112">
        <f>'Proy. ventas'!E$123+ 'Proy. ventas'!E$124</f>
        <v>3710</v>
      </c>
      <c r="D45" s="112">
        <f>C45*0.02</f>
        <v>74.2</v>
      </c>
      <c r="E45" s="112">
        <f>'Proy. ventas'!G$123+ 'Proy. ventas'!G$124</f>
        <v>3710</v>
      </c>
      <c r="F45" s="112">
        <f t="shared" ref="F45" si="26">E45*0.02</f>
        <v>74.2</v>
      </c>
      <c r="G45" s="112">
        <f>'Proy. ventas'!I$123+ 'Proy. ventas'!I$124</f>
        <v>7420</v>
      </c>
      <c r="H45" s="112">
        <f t="shared" ref="H45" si="27">G45*0.02</f>
        <v>148.4</v>
      </c>
      <c r="I45" s="112">
        <f>'Proy. ventas'!K$123+ 'Proy. ventas'!K$124</f>
        <v>7420</v>
      </c>
      <c r="J45" s="112">
        <f t="shared" ref="J45" si="28">I45*0.02</f>
        <v>148.4</v>
      </c>
      <c r="K45" s="112">
        <f>'Proy. ventas'!M$123+ 'Proy. ventas'!M$124</f>
        <v>7420</v>
      </c>
      <c r="L45" s="112">
        <f t="shared" ref="L45" si="29">K45*0.02</f>
        <v>148.4</v>
      </c>
      <c r="M45" s="112">
        <f>'Proy. ventas'!O$123+ 'Proy. ventas'!O$124</f>
        <v>7420</v>
      </c>
      <c r="N45" s="112">
        <f t="shared" ref="N45" si="30">M45*0.02</f>
        <v>148.4</v>
      </c>
      <c r="O45" s="112">
        <f>'Proy. ventas'!Q$123+ 'Proy. ventas'!Q$124</f>
        <v>9275</v>
      </c>
      <c r="P45" s="112">
        <f t="shared" ref="P45" si="31">O45*0.02</f>
        <v>185.5</v>
      </c>
      <c r="Q45" s="112">
        <f>'Proy. ventas'!S$123+ 'Proy. ventas'!S$124</f>
        <v>9275</v>
      </c>
      <c r="R45" s="112">
        <f t="shared" ref="R45" si="32">Q45*0.02</f>
        <v>185.5</v>
      </c>
      <c r="S45" s="112">
        <f>'Proy. ventas'!U$123+ 'Proy. ventas'!U$124</f>
        <v>9275</v>
      </c>
      <c r="T45" s="112">
        <f t="shared" ref="T45" si="33">S45*0.02</f>
        <v>185.5</v>
      </c>
      <c r="U45" s="112">
        <f>'Proy. ventas'!W$123+ 'Proy. ventas'!W$124</f>
        <v>11130</v>
      </c>
      <c r="V45" s="112">
        <f t="shared" ref="V45" si="34">U45*0.02</f>
        <v>222.6</v>
      </c>
      <c r="W45" s="112">
        <f>'Proy. ventas'!Y$123+ 'Proy. ventas'!Y$124</f>
        <v>11130</v>
      </c>
      <c r="X45" s="112">
        <f t="shared" ref="X45" si="35">W45*0.02</f>
        <v>222.6</v>
      </c>
      <c r="Y45" s="112">
        <f>'Proy. ventas'!AA$123+ 'Proy. ventas'!AA$124</f>
        <v>5565</v>
      </c>
      <c r="Z45" s="112">
        <f t="shared" ref="Z45:Z46" si="36">Y45*0.02</f>
        <v>111.3</v>
      </c>
    </row>
    <row r="46" spans="1:26" ht="16">
      <c r="A46" s="659" t="s">
        <v>205</v>
      </c>
      <c r="B46" s="660"/>
      <c r="C46" s="112">
        <f>'Proy. ventas'!E$125 + 'Proy. ventas'!E$126</f>
        <v>494.8</v>
      </c>
      <c r="D46" s="112">
        <f>C46*0.02</f>
        <v>9.8960000000000008</v>
      </c>
      <c r="E46" s="112">
        <f>'Proy. ventas'!G$125 + 'Proy. ventas'!G$126</f>
        <v>494.8</v>
      </c>
      <c r="F46" s="112">
        <f t="shared" ref="F46" si="37">E46*0.02</f>
        <v>9.8960000000000008</v>
      </c>
      <c r="G46" s="112">
        <f>'Proy. ventas'!I$125 + 'Proy. ventas'!I$126</f>
        <v>989.6</v>
      </c>
      <c r="H46" s="112">
        <f t="shared" ref="H46" si="38">G46*0.02</f>
        <v>19.792000000000002</v>
      </c>
      <c r="I46" s="112">
        <f>'Proy. ventas'!K$125 + 'Proy. ventas'!K$126</f>
        <v>989.6</v>
      </c>
      <c r="J46" s="112">
        <f t="shared" ref="J46" si="39">I46*0.02</f>
        <v>19.792000000000002</v>
      </c>
      <c r="K46" s="112">
        <f>'Proy. ventas'!M$125 + 'Proy. ventas'!M$126</f>
        <v>989.6</v>
      </c>
      <c r="L46" s="112">
        <f t="shared" ref="L46" si="40">K46*0.02</f>
        <v>19.792000000000002</v>
      </c>
      <c r="M46" s="112">
        <f>'Proy. ventas'!O$125 + 'Proy. ventas'!O$126</f>
        <v>989.6</v>
      </c>
      <c r="N46" s="112">
        <f t="shared" ref="N46" si="41">M46*0.02</f>
        <v>19.792000000000002</v>
      </c>
      <c r="O46" s="112">
        <f>'Proy. ventas'!Q$125 + 'Proy. ventas'!Q$126</f>
        <v>1237</v>
      </c>
      <c r="P46" s="112">
        <f t="shared" ref="P46" si="42">O46*0.02</f>
        <v>24.740000000000002</v>
      </c>
      <c r="Q46" s="112">
        <f>'Proy. ventas'!S$125 + 'Proy. ventas'!S$126</f>
        <v>1237</v>
      </c>
      <c r="R46" s="112">
        <f t="shared" ref="R46" si="43">Q46*0.02</f>
        <v>24.740000000000002</v>
      </c>
      <c r="S46" s="112">
        <f>'Proy. ventas'!U$125 + 'Proy. ventas'!U$126</f>
        <v>1237</v>
      </c>
      <c r="T46" s="112">
        <f t="shared" ref="T46" si="44">S46*0.02</f>
        <v>24.740000000000002</v>
      </c>
      <c r="U46" s="112">
        <f>'Proy. ventas'!W$125 + 'Proy. ventas'!W$126</f>
        <v>1484.4</v>
      </c>
      <c r="V46" s="112">
        <f t="shared" ref="V46" si="45">U46*0.02</f>
        <v>29.688000000000002</v>
      </c>
      <c r="W46" s="112">
        <f>'Proy. ventas'!Y$125 + 'Proy. ventas'!Y$126</f>
        <v>1484.4</v>
      </c>
      <c r="X46" s="112">
        <f t="shared" ref="X46" si="46">W46*0.02</f>
        <v>29.688000000000002</v>
      </c>
      <c r="Y46" s="112">
        <f>'Proy. ventas'!AA$125 + 'Proy. ventas'!AA$126</f>
        <v>742.2</v>
      </c>
      <c r="Z46" s="112">
        <f t="shared" si="36"/>
        <v>14.844000000000001</v>
      </c>
    </row>
    <row r="47" spans="1:26">
      <c r="A47" s="652" t="s">
        <v>51</v>
      </c>
      <c r="B47" s="652"/>
      <c r="C47" s="138">
        <f t="shared" ref="C47:Z47" si="47">SUM(C44:C46)</f>
        <v>9064.7999999999993</v>
      </c>
      <c r="D47" s="140">
        <f t="shared" si="47"/>
        <v>84.096000000000004</v>
      </c>
      <c r="E47" s="138">
        <f t="shared" si="47"/>
        <v>9064.7999999999993</v>
      </c>
      <c r="F47" s="140">
        <f t="shared" si="47"/>
        <v>84.096000000000004</v>
      </c>
      <c r="G47" s="138">
        <f t="shared" si="47"/>
        <v>18129.599999999999</v>
      </c>
      <c r="H47" s="140">
        <f t="shared" si="47"/>
        <v>168.19200000000001</v>
      </c>
      <c r="I47" s="138">
        <f t="shared" si="47"/>
        <v>18129.599999999999</v>
      </c>
      <c r="J47" s="140">
        <f t="shared" si="47"/>
        <v>168.19200000000001</v>
      </c>
      <c r="K47" s="138">
        <f t="shared" si="47"/>
        <v>18129.599999999999</v>
      </c>
      <c r="L47" s="140">
        <f t="shared" si="47"/>
        <v>168.19200000000001</v>
      </c>
      <c r="M47" s="138">
        <f t="shared" si="47"/>
        <v>18129.599999999999</v>
      </c>
      <c r="N47" s="140">
        <f t="shared" si="47"/>
        <v>168.19200000000001</v>
      </c>
      <c r="O47" s="138">
        <f t="shared" si="47"/>
        <v>22662</v>
      </c>
      <c r="P47" s="140">
        <f t="shared" si="47"/>
        <v>210.24</v>
      </c>
      <c r="Q47" s="138">
        <f t="shared" si="47"/>
        <v>22662</v>
      </c>
      <c r="R47" s="140">
        <f t="shared" si="47"/>
        <v>210.24</v>
      </c>
      <c r="S47" s="138">
        <f t="shared" si="47"/>
        <v>22662</v>
      </c>
      <c r="T47" s="140">
        <f t="shared" si="47"/>
        <v>210.24</v>
      </c>
      <c r="U47" s="138">
        <f t="shared" si="47"/>
        <v>27194.400000000001</v>
      </c>
      <c r="V47" s="140">
        <f t="shared" si="47"/>
        <v>252.28800000000001</v>
      </c>
      <c r="W47" s="138">
        <f t="shared" si="47"/>
        <v>27194.400000000001</v>
      </c>
      <c r="X47" s="140">
        <f t="shared" si="47"/>
        <v>252.28800000000001</v>
      </c>
      <c r="Y47" s="138">
        <f t="shared" si="47"/>
        <v>13597.2</v>
      </c>
      <c r="Z47" s="140">
        <f t="shared" si="47"/>
        <v>126.14400000000001</v>
      </c>
    </row>
    <row r="48" spans="1:26" ht="9.75" customHeight="1" thickBot="1"/>
    <row r="49" spans="1:5" ht="22.5" customHeight="1" thickBot="1">
      <c r="A49" s="653" t="s">
        <v>86</v>
      </c>
      <c r="B49" s="654"/>
      <c r="C49" s="654"/>
      <c r="D49" s="654"/>
      <c r="E49" s="655"/>
    </row>
    <row r="50" spans="1:5" ht="52.5" customHeight="1">
      <c r="A50" s="656" t="s">
        <v>283</v>
      </c>
      <c r="B50" s="656"/>
      <c r="C50" s="656"/>
      <c r="D50" s="656"/>
      <c r="E50" s="656"/>
    </row>
    <row r="51" spans="1:5" ht="9.75" customHeight="1"/>
    <row r="52" spans="1:5" ht="9.75" customHeight="1"/>
    <row r="53" spans="1:5" ht="9.75" customHeight="1"/>
    <row r="54" spans="1:5" ht="9.75" customHeight="1"/>
    <row r="55" spans="1:5" ht="9.75" customHeight="1"/>
    <row r="56" spans="1:5" ht="9.75" customHeight="1"/>
    <row r="57" spans="1:5" ht="9.75" customHeight="1"/>
    <row r="58" spans="1:5" ht="9.75" customHeight="1"/>
    <row r="59" spans="1:5" ht="9.75" customHeight="1"/>
    <row r="60" spans="1:5" ht="9.75" customHeight="1"/>
    <row r="61" spans="1:5" ht="9.75" customHeight="1"/>
    <row r="62" spans="1:5" ht="9" customHeight="1"/>
    <row r="63" spans="1:5" ht="15" customHeight="1"/>
    <row r="64" spans="1:5" ht="9" customHeight="1"/>
    <row r="65" spans="1:10" ht="9" customHeight="1"/>
    <row r="66" spans="1:10" ht="17.25" customHeight="1"/>
    <row r="67" spans="1:10" ht="12.75" customHeight="1">
      <c r="A67"/>
      <c r="B67" s="1"/>
      <c r="C67" s="117"/>
    </row>
    <row r="68" spans="1:10">
      <c r="B68" s="1"/>
      <c r="C68" s="117"/>
      <c r="D68" s="31"/>
      <c r="E68" s="31"/>
      <c r="F68" s="31"/>
      <c r="G68" s="31"/>
      <c r="H68" s="31"/>
      <c r="I68" s="31"/>
      <c r="J68" s="31"/>
    </row>
    <row r="71" spans="1:10" ht="14.25" customHeight="1"/>
  </sheetData>
  <mergeCells count="62">
    <mergeCell ref="A46:B46"/>
    <mergeCell ref="A36:B36"/>
    <mergeCell ref="A37:B37"/>
    <mergeCell ref="A38:B38"/>
    <mergeCell ref="A44:B44"/>
    <mergeCell ref="A45:B45"/>
    <mergeCell ref="A4:C4"/>
    <mergeCell ref="A16:A17"/>
    <mergeCell ref="B16:F16"/>
    <mergeCell ref="U26:V26"/>
    <mergeCell ref="W26:X26"/>
    <mergeCell ref="G16:H17"/>
    <mergeCell ref="G19:H19"/>
    <mergeCell ref="G20:H20"/>
    <mergeCell ref="A11:A12"/>
    <mergeCell ref="G18:I18"/>
    <mergeCell ref="Y26:Z26"/>
    <mergeCell ref="K26:L26"/>
    <mergeCell ref="M26:N26"/>
    <mergeCell ref="O26:P26"/>
    <mergeCell ref="Q26:R26"/>
    <mergeCell ref="S26:T26"/>
    <mergeCell ref="A34:B35"/>
    <mergeCell ref="C26:D26"/>
    <mergeCell ref="E26:F26"/>
    <mergeCell ref="G26:H26"/>
    <mergeCell ref="I26:J26"/>
    <mergeCell ref="A28:B28"/>
    <mergeCell ref="A29:B29"/>
    <mergeCell ref="A30:B30"/>
    <mergeCell ref="Y34:Z34"/>
    <mergeCell ref="A39:B39"/>
    <mergeCell ref="A42:B43"/>
    <mergeCell ref="C42:D42"/>
    <mergeCell ref="E42:F42"/>
    <mergeCell ref="G42:H42"/>
    <mergeCell ref="I42:J42"/>
    <mergeCell ref="K42:L42"/>
    <mergeCell ref="M42:N42"/>
    <mergeCell ref="O42:P42"/>
    <mergeCell ref="Q42:R42"/>
    <mergeCell ref="S42:T42"/>
    <mergeCell ref="U42:V42"/>
    <mergeCell ref="W42:X42"/>
    <mergeCell ref="Y42:Z42"/>
    <mergeCell ref="M34:N34"/>
    <mergeCell ref="A47:B47"/>
    <mergeCell ref="A25:E25"/>
    <mergeCell ref="A49:E49"/>
    <mergeCell ref="A50:E50"/>
    <mergeCell ref="W34:X34"/>
    <mergeCell ref="O34:P34"/>
    <mergeCell ref="Q34:R34"/>
    <mergeCell ref="S34:T34"/>
    <mergeCell ref="U34:V34"/>
    <mergeCell ref="C34:D34"/>
    <mergeCell ref="E34:F34"/>
    <mergeCell ref="G34:H34"/>
    <mergeCell ref="I34:J34"/>
    <mergeCell ref="K34:L34"/>
    <mergeCell ref="A26:B27"/>
    <mergeCell ref="A31:B31"/>
  </mergeCells>
  <phoneticPr fontId="28"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2"/>
  <sheetViews>
    <sheetView topLeftCell="C1" zoomScaleNormal="100" workbookViewId="0">
      <pane ySplit="1" topLeftCell="A6" activePane="bottomLeft" state="frozen"/>
      <selection pane="bottomLeft" activeCell="F20" sqref="F20"/>
    </sheetView>
  </sheetViews>
  <sheetFormatPr baseColWidth="10" defaultColWidth="11.5" defaultRowHeight="15"/>
  <cols>
    <col min="1" max="1" width="11.5" style="1"/>
    <col min="2" max="2" width="29.5" style="1" customWidth="1"/>
    <col min="3" max="3" width="22.83203125" style="1" bestFit="1" customWidth="1"/>
    <col min="4" max="4" width="27.6640625" style="1" customWidth="1"/>
    <col min="5" max="5" width="23.1640625" style="1" bestFit="1" customWidth="1"/>
    <col min="6" max="7" width="11.5" style="1"/>
    <col min="8" max="8" width="15.5" style="1" customWidth="1"/>
    <col min="9" max="16384" width="11.5" style="1"/>
  </cols>
  <sheetData>
    <row r="1" spans="1:24" customFormat="1" ht="58.5" customHeight="1">
      <c r="A1" s="373"/>
      <c r="B1" s="373"/>
      <c r="C1" s="373"/>
      <c r="D1" s="373"/>
      <c r="E1" s="380" t="s">
        <v>3</v>
      </c>
      <c r="F1" s="373"/>
      <c r="G1" s="381"/>
      <c r="H1" s="381"/>
      <c r="I1" s="373"/>
      <c r="J1" s="373"/>
      <c r="K1" s="373"/>
      <c r="L1" s="373"/>
      <c r="M1" s="373"/>
      <c r="N1" s="373"/>
      <c r="O1" s="373"/>
      <c r="P1" s="373"/>
      <c r="Q1" s="373"/>
      <c r="R1" s="373"/>
      <c r="S1" s="373"/>
      <c r="T1" s="373"/>
      <c r="U1" s="373"/>
      <c r="V1" s="373"/>
      <c r="W1" s="373"/>
      <c r="X1" s="373"/>
    </row>
    <row r="6" spans="1:24" ht="16" thickBot="1"/>
    <row r="7" spans="1:24" ht="27" thickBot="1">
      <c r="B7" s="505" t="s">
        <v>32</v>
      </c>
      <c r="C7" s="506"/>
      <c r="D7" s="507"/>
    </row>
    <row r="8" spans="1:24">
      <c r="B8" s="33">
        <v>2025</v>
      </c>
      <c r="C8" s="33">
        <v>2026</v>
      </c>
      <c r="D8" s="33">
        <v>2027</v>
      </c>
    </row>
    <row r="9" spans="1:24">
      <c r="B9" s="39">
        <f>Hipótesis!C24</f>
        <v>0.04</v>
      </c>
      <c r="C9" s="39">
        <f>Hipótesis!C25</f>
        <v>0.06</v>
      </c>
      <c r="D9" s="39">
        <f>Hipótesis!C26</f>
        <v>0.09</v>
      </c>
    </row>
    <row r="10" spans="1:24">
      <c r="B10" s="32">
        <f>Hipótesis!D24</f>
        <v>177120000</v>
      </c>
      <c r="C10" s="32">
        <f>Hipótesis!D25</f>
        <v>265680000</v>
      </c>
      <c r="D10" s="32">
        <f>Hipótesis!D26</f>
        <v>398520000</v>
      </c>
    </row>
    <row r="14" spans="1:24" ht="16" thickBot="1"/>
    <row r="15" spans="1:24" ht="27" thickBot="1">
      <c r="B15" s="669" t="s">
        <v>284</v>
      </c>
      <c r="C15" s="670"/>
      <c r="D15" s="670"/>
      <c r="E15" s="671"/>
    </row>
    <row r="16" spans="1:24" ht="18" thickBot="1">
      <c r="B16" s="90" t="s">
        <v>29</v>
      </c>
      <c r="C16" s="89" t="s">
        <v>251</v>
      </c>
      <c r="D16" s="89" t="s">
        <v>252</v>
      </c>
      <c r="E16" s="91" t="s">
        <v>253</v>
      </c>
    </row>
    <row r="17" spans="2:5" ht="17">
      <c r="B17" s="95" t="s">
        <v>204</v>
      </c>
      <c r="C17" s="96">
        <f>'Proy. ventas'!D19</f>
        <v>32650000</v>
      </c>
      <c r="D17" s="96">
        <f>'Proy. ventas'!D71</f>
        <v>45500000</v>
      </c>
      <c r="E17" s="97">
        <f>'Proy. ventas'!D122</f>
        <v>60750000</v>
      </c>
    </row>
    <row r="18" spans="2:5" ht="17">
      <c r="B18" s="428" t="s">
        <v>287</v>
      </c>
      <c r="C18" s="429">
        <f>'Proy. ventas'!D20</f>
        <v>63600000</v>
      </c>
      <c r="D18" s="99">
        <f>'Proy. ventas'!D72</f>
        <v>94200000</v>
      </c>
      <c r="E18" s="100">
        <f>'Proy. ventas'!D123</f>
        <v>160800000</v>
      </c>
    </row>
    <row r="19" spans="2:5" ht="17">
      <c r="B19" s="98" t="s">
        <v>203</v>
      </c>
      <c r="C19" s="99">
        <f>'Proy. ventas'!D21</f>
        <v>51960000</v>
      </c>
      <c r="D19" s="99">
        <f>'Proy. ventas'!D73</f>
        <v>73140000</v>
      </c>
      <c r="E19" s="100">
        <f>'Proy. ventas'!D124</f>
        <v>95220000</v>
      </c>
    </row>
    <row r="20" spans="2:5" ht="17">
      <c r="B20" s="430" t="s">
        <v>286</v>
      </c>
      <c r="C20" s="431">
        <f>'Proy. ventas'!D22</f>
        <v>18180000</v>
      </c>
      <c r="D20" s="99">
        <f>'Proy. ventas'!D74</f>
        <v>37800000</v>
      </c>
      <c r="E20" s="100">
        <f>'Proy. ventas'!D125</f>
        <v>66060000</v>
      </c>
    </row>
    <row r="21" spans="2:5" ht="18" thickBot="1">
      <c r="B21" s="101" t="s">
        <v>205</v>
      </c>
      <c r="C21" s="102">
        <f>'Proy. ventas'!D23</f>
        <v>11070000</v>
      </c>
      <c r="D21" s="102">
        <f>'Proy. ventas'!D75</f>
        <v>14400000</v>
      </c>
      <c r="E21" s="103">
        <f>'Proy. ventas'!D126</f>
        <v>15660000</v>
      </c>
    </row>
    <row r="22" spans="2:5" ht="17" thickBot="1">
      <c r="B22" s="92" t="s">
        <v>51</v>
      </c>
      <c r="C22" s="93">
        <f>SUM(C17:C21)</f>
        <v>177460000</v>
      </c>
      <c r="D22" s="93">
        <f>SUM(D17:D21)</f>
        <v>265040000</v>
      </c>
      <c r="E22" s="94">
        <f>SUM(E17:E21)</f>
        <v>398490000</v>
      </c>
    </row>
  </sheetData>
  <mergeCells count="2">
    <mergeCell ref="B7:D7"/>
    <mergeCell ref="B15:E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0"/>
  <sheetViews>
    <sheetView zoomScale="90" zoomScaleNormal="90" workbookViewId="0">
      <pane ySplit="1" topLeftCell="A2" activePane="bottomLeft" state="frozen"/>
      <selection pane="bottomLeft" activeCell="I5" sqref="I5"/>
    </sheetView>
  </sheetViews>
  <sheetFormatPr baseColWidth="10" defaultColWidth="11.5" defaultRowHeight="15"/>
  <cols>
    <col min="1" max="1" width="11.5" style="1"/>
    <col min="2" max="2" width="15.1640625" style="1" customWidth="1"/>
    <col min="3" max="3" width="66.5" style="1" customWidth="1"/>
    <col min="4" max="5" width="19.33203125" style="1" bestFit="1" customWidth="1"/>
    <col min="6" max="6" width="25.5" style="1" customWidth="1"/>
    <col min="7" max="7" width="19.33203125" style="1" bestFit="1" customWidth="1"/>
    <col min="8" max="8" width="18.83203125" style="1" bestFit="1" customWidth="1"/>
    <col min="9" max="9" width="19.33203125" style="1" bestFit="1" customWidth="1"/>
    <col min="10" max="10" width="22.6640625" style="1" customWidth="1"/>
    <col min="11" max="11" width="18.83203125" style="1" bestFit="1" customWidth="1"/>
    <col min="12" max="12" width="18.5" style="1" bestFit="1" customWidth="1"/>
    <col min="13" max="13" width="19.33203125" style="1" bestFit="1" customWidth="1"/>
    <col min="14" max="15" width="18.83203125" style="1" bestFit="1" customWidth="1"/>
    <col min="16" max="16" width="21.6640625" style="1" bestFit="1" customWidth="1"/>
    <col min="17" max="17" width="105.33203125" style="1" customWidth="1"/>
    <col min="18" max="16384" width="11.5" style="1"/>
  </cols>
  <sheetData>
    <row r="1" spans="1:17" customFormat="1" ht="58.5" customHeight="1">
      <c r="A1" s="373"/>
      <c r="B1" s="373"/>
      <c r="C1" s="373"/>
      <c r="D1" s="373"/>
      <c r="E1" s="373"/>
      <c r="F1" s="380" t="s">
        <v>4</v>
      </c>
      <c r="G1" s="381"/>
      <c r="H1" s="381"/>
      <c r="I1" s="373"/>
      <c r="J1" s="373"/>
      <c r="K1" s="373"/>
      <c r="L1" s="373"/>
      <c r="M1" s="373"/>
      <c r="N1" s="373"/>
      <c r="O1" s="373"/>
      <c r="P1" s="373"/>
      <c r="Q1" s="373"/>
    </row>
    <row r="2" spans="1:17" ht="16" thickBot="1"/>
    <row r="3" spans="1:17" ht="27" thickBot="1">
      <c r="C3" s="505" t="s">
        <v>32</v>
      </c>
      <c r="D3" s="506"/>
      <c r="E3" s="507"/>
      <c r="G3" s="505" t="s">
        <v>94</v>
      </c>
      <c r="H3" s="506"/>
      <c r="I3" s="507"/>
      <c r="K3" s="505" t="s">
        <v>297</v>
      </c>
      <c r="L3" s="506"/>
      <c r="M3" s="507"/>
    </row>
    <row r="4" spans="1:17">
      <c r="C4" s="61">
        <v>2025</v>
      </c>
      <c r="D4" s="33">
        <v>2026</v>
      </c>
      <c r="E4" s="62">
        <v>2027</v>
      </c>
      <c r="G4" s="61">
        <v>2025</v>
      </c>
      <c r="H4" s="33">
        <v>2026</v>
      </c>
      <c r="I4" s="62">
        <v>2027</v>
      </c>
      <c r="K4" s="676">
        <v>995</v>
      </c>
      <c r="L4" s="677"/>
      <c r="M4" s="678"/>
    </row>
    <row r="5" spans="1:17" ht="16" thickBot="1">
      <c r="C5" s="63">
        <f>Hipótesis!C24</f>
        <v>0.04</v>
      </c>
      <c r="D5" s="39">
        <f>Hipótesis!C25</f>
        <v>0.06</v>
      </c>
      <c r="E5" s="64">
        <f>Hipótesis!C26</f>
        <v>0.09</v>
      </c>
      <c r="G5" s="65">
        <f>P17</f>
        <v>40672572</v>
      </c>
      <c r="H5" s="66">
        <f>P28</f>
        <v>42139416</v>
      </c>
      <c r="I5" s="67">
        <f>P40</f>
        <v>43846260</v>
      </c>
      <c r="K5" s="679"/>
      <c r="L5" s="680"/>
      <c r="M5" s="681"/>
    </row>
    <row r="6" spans="1:17" ht="16" thickBot="1">
      <c r="C6" s="65">
        <f>Hipótesis!D24</f>
        <v>177120000</v>
      </c>
      <c r="D6" s="66">
        <f>Hipótesis!D25</f>
        <v>265680000</v>
      </c>
      <c r="E6" s="67">
        <f>Hipótesis!D26</f>
        <v>398520000</v>
      </c>
      <c r="G6" s="185"/>
      <c r="H6" s="185"/>
      <c r="I6" s="185"/>
    </row>
    <row r="8" spans="1:17" ht="16" thickBot="1"/>
    <row r="9" spans="1:17" ht="27" thickBot="1">
      <c r="B9" s="505" t="s">
        <v>188</v>
      </c>
      <c r="C9" s="506"/>
      <c r="D9" s="506"/>
      <c r="E9" s="506"/>
      <c r="F9" s="506"/>
      <c r="G9" s="506"/>
      <c r="H9" s="506"/>
      <c r="I9" s="506"/>
      <c r="J9" s="506"/>
      <c r="K9" s="506"/>
      <c r="L9" s="506"/>
      <c r="M9" s="506"/>
      <c r="N9" s="506"/>
      <c r="O9" s="506"/>
      <c r="P9" s="506"/>
      <c r="Q9" s="507"/>
    </row>
    <row r="10" spans="1:17" ht="20" thickBot="1">
      <c r="B10" s="672" t="s">
        <v>90</v>
      </c>
      <c r="C10" s="673"/>
      <c r="D10" s="176" t="s">
        <v>38</v>
      </c>
      <c r="E10" s="159" t="s">
        <v>39</v>
      </c>
      <c r="F10" s="159" t="s">
        <v>40</v>
      </c>
      <c r="G10" s="159" t="s">
        <v>41</v>
      </c>
      <c r="H10" s="159" t="s">
        <v>42</v>
      </c>
      <c r="I10" s="159" t="s">
        <v>43</v>
      </c>
      <c r="J10" s="159" t="s">
        <v>44</v>
      </c>
      <c r="K10" s="159" t="s">
        <v>45</v>
      </c>
      <c r="L10" s="159" t="s">
        <v>46</v>
      </c>
      <c r="M10" s="159" t="s">
        <v>47</v>
      </c>
      <c r="N10" s="159" t="s">
        <v>48</v>
      </c>
      <c r="O10" s="160" t="s">
        <v>49</v>
      </c>
      <c r="P10" s="161" t="s">
        <v>92</v>
      </c>
      <c r="Q10" s="162" t="s">
        <v>91</v>
      </c>
    </row>
    <row r="11" spans="1:17">
      <c r="B11" s="674" t="s">
        <v>87</v>
      </c>
      <c r="C11" s="181" t="s">
        <v>292</v>
      </c>
      <c r="D11" s="177">
        <v>25500</v>
      </c>
      <c r="E11" s="163">
        <v>0</v>
      </c>
      <c r="F11" s="163">
        <v>0</v>
      </c>
      <c r="G11" s="163">
        <v>0</v>
      </c>
      <c r="H11" s="163">
        <v>0</v>
      </c>
      <c r="I11" s="163">
        <v>0</v>
      </c>
      <c r="J11" s="163">
        <v>0</v>
      </c>
      <c r="K11" s="163">
        <v>0</v>
      </c>
      <c r="L11" s="163">
        <v>0</v>
      </c>
      <c r="M11" s="163">
        <v>0</v>
      </c>
      <c r="N11" s="163">
        <v>0</v>
      </c>
      <c r="O11" s="164">
        <v>0</v>
      </c>
      <c r="P11" s="165">
        <f t="shared" ref="P11:P13" si="0">SUM(D11:O11)</f>
        <v>25500</v>
      </c>
      <c r="Q11" s="166" t="s">
        <v>294</v>
      </c>
    </row>
    <row r="12" spans="1:17">
      <c r="B12" s="675"/>
      <c r="C12" s="182" t="s">
        <v>295</v>
      </c>
      <c r="D12" s="178">
        <f>$K$4*4.2*4</f>
        <v>16716</v>
      </c>
      <c r="E12" s="178">
        <f t="shared" ref="E12:O12" si="1">$K$4*4.2*4</f>
        <v>16716</v>
      </c>
      <c r="F12" s="178">
        <f t="shared" si="1"/>
        <v>16716</v>
      </c>
      <c r="G12" s="178">
        <f t="shared" si="1"/>
        <v>16716</v>
      </c>
      <c r="H12" s="178">
        <f t="shared" si="1"/>
        <v>16716</v>
      </c>
      <c r="I12" s="178">
        <f t="shared" si="1"/>
        <v>16716</v>
      </c>
      <c r="J12" s="178">
        <f t="shared" si="1"/>
        <v>16716</v>
      </c>
      <c r="K12" s="178">
        <f t="shared" si="1"/>
        <v>16716</v>
      </c>
      <c r="L12" s="178">
        <f t="shared" si="1"/>
        <v>16716</v>
      </c>
      <c r="M12" s="178">
        <f t="shared" si="1"/>
        <v>16716</v>
      </c>
      <c r="N12" s="178">
        <f t="shared" si="1"/>
        <v>16716</v>
      </c>
      <c r="O12" s="178">
        <f t="shared" si="1"/>
        <v>16716</v>
      </c>
      <c r="P12" s="151">
        <f t="shared" si="0"/>
        <v>200592</v>
      </c>
      <c r="Q12" s="149" t="s">
        <v>296</v>
      </c>
    </row>
    <row r="13" spans="1:17">
      <c r="B13" s="675"/>
      <c r="C13" s="182" t="s">
        <v>302</v>
      </c>
      <c r="D13" s="178">
        <f>$K$4*212</f>
        <v>210940</v>
      </c>
      <c r="E13" s="178">
        <f t="shared" ref="E13:O13" si="2">$K$4*212</f>
        <v>210940</v>
      </c>
      <c r="F13" s="178">
        <f t="shared" si="2"/>
        <v>210940</v>
      </c>
      <c r="G13" s="178">
        <f t="shared" si="2"/>
        <v>210940</v>
      </c>
      <c r="H13" s="178">
        <f t="shared" si="2"/>
        <v>210940</v>
      </c>
      <c r="I13" s="178">
        <f t="shared" si="2"/>
        <v>210940</v>
      </c>
      <c r="J13" s="178">
        <f t="shared" si="2"/>
        <v>210940</v>
      </c>
      <c r="K13" s="178">
        <f t="shared" si="2"/>
        <v>210940</v>
      </c>
      <c r="L13" s="178">
        <f t="shared" si="2"/>
        <v>210940</v>
      </c>
      <c r="M13" s="178">
        <f t="shared" si="2"/>
        <v>210940</v>
      </c>
      <c r="N13" s="178">
        <f t="shared" si="2"/>
        <v>210940</v>
      </c>
      <c r="O13" s="178">
        <f t="shared" si="2"/>
        <v>210940</v>
      </c>
      <c r="P13" s="151">
        <f t="shared" si="0"/>
        <v>2531280</v>
      </c>
      <c r="Q13" s="149" t="s">
        <v>303</v>
      </c>
    </row>
    <row r="14" spans="1:17" ht="22.5" customHeight="1" thickBot="1">
      <c r="B14" s="414" t="s">
        <v>88</v>
      </c>
      <c r="C14" s="183" t="s">
        <v>290</v>
      </c>
      <c r="D14" s="179">
        <f>20000*4</f>
        <v>80000</v>
      </c>
      <c r="E14" s="179">
        <f t="shared" ref="E14:O14" si="3">20000*4</f>
        <v>80000</v>
      </c>
      <c r="F14" s="179">
        <f t="shared" si="3"/>
        <v>80000</v>
      </c>
      <c r="G14" s="179">
        <f t="shared" si="3"/>
        <v>80000</v>
      </c>
      <c r="H14" s="179">
        <f t="shared" si="3"/>
        <v>80000</v>
      </c>
      <c r="I14" s="179">
        <f t="shared" si="3"/>
        <v>80000</v>
      </c>
      <c r="J14" s="179">
        <f t="shared" si="3"/>
        <v>80000</v>
      </c>
      <c r="K14" s="179">
        <f t="shared" si="3"/>
        <v>80000</v>
      </c>
      <c r="L14" s="179">
        <f t="shared" si="3"/>
        <v>80000</v>
      </c>
      <c r="M14" s="179">
        <f t="shared" si="3"/>
        <v>80000</v>
      </c>
      <c r="N14" s="179">
        <f t="shared" si="3"/>
        <v>80000</v>
      </c>
      <c r="O14" s="179">
        <f t="shared" si="3"/>
        <v>80000</v>
      </c>
      <c r="P14" s="152">
        <f>SUM(D14:O14)</f>
        <v>960000</v>
      </c>
      <c r="Q14" s="168" t="s">
        <v>291</v>
      </c>
    </row>
    <row r="15" spans="1:17" ht="16" customHeight="1" thickBot="1">
      <c r="B15" s="171" t="s">
        <v>89</v>
      </c>
      <c r="C15" s="184" t="s">
        <v>298</v>
      </c>
      <c r="D15" s="180">
        <f>$K$4*20*4</f>
        <v>79600</v>
      </c>
      <c r="E15" s="180">
        <f t="shared" ref="E15:O15" si="4">$K$4*20*4</f>
        <v>79600</v>
      </c>
      <c r="F15" s="180">
        <f t="shared" si="4"/>
        <v>79600</v>
      </c>
      <c r="G15" s="180">
        <f t="shared" si="4"/>
        <v>79600</v>
      </c>
      <c r="H15" s="180">
        <f t="shared" si="4"/>
        <v>79600</v>
      </c>
      <c r="I15" s="180">
        <f t="shared" si="4"/>
        <v>79600</v>
      </c>
      <c r="J15" s="180">
        <f t="shared" si="4"/>
        <v>79600</v>
      </c>
      <c r="K15" s="180">
        <f t="shared" si="4"/>
        <v>79600</v>
      </c>
      <c r="L15" s="180">
        <f t="shared" si="4"/>
        <v>79600</v>
      </c>
      <c r="M15" s="180">
        <f t="shared" si="4"/>
        <v>79600</v>
      </c>
      <c r="N15" s="180">
        <f t="shared" si="4"/>
        <v>79600</v>
      </c>
      <c r="O15" s="180">
        <f t="shared" si="4"/>
        <v>79600</v>
      </c>
      <c r="P15" s="156">
        <f>SUM(D15:O15)</f>
        <v>955200</v>
      </c>
      <c r="Q15" s="174" t="s">
        <v>299</v>
      </c>
    </row>
    <row r="16" spans="1:17" ht="41" thickBot="1">
      <c r="B16" s="412" t="s">
        <v>93</v>
      </c>
      <c r="C16" s="182" t="s">
        <v>183</v>
      </c>
      <c r="D16" s="178">
        <v>3000000</v>
      </c>
      <c r="E16" s="178">
        <v>3000000</v>
      </c>
      <c r="F16" s="178">
        <v>3000000</v>
      </c>
      <c r="G16" s="178">
        <v>3000000</v>
      </c>
      <c r="H16" s="178">
        <v>3000000</v>
      </c>
      <c r="I16" s="178">
        <v>3000000</v>
      </c>
      <c r="J16" s="178">
        <v>3000000</v>
      </c>
      <c r="K16" s="178">
        <v>3000000</v>
      </c>
      <c r="L16" s="178">
        <v>3000000</v>
      </c>
      <c r="M16" s="178">
        <v>3000000</v>
      </c>
      <c r="N16" s="178">
        <v>3000000</v>
      </c>
      <c r="O16" s="178">
        <v>3000000</v>
      </c>
      <c r="P16" s="151">
        <f>SUM(D16:O16)</f>
        <v>36000000</v>
      </c>
      <c r="Q16" s="150" t="s">
        <v>304</v>
      </c>
    </row>
    <row r="17" spans="2:17" ht="16" thickBot="1">
      <c r="B17"/>
      <c r="C17" s="153" t="s">
        <v>19</v>
      </c>
      <c r="D17" s="154">
        <f t="shared" ref="D17:P17" si="5">SUM(D11:D16)</f>
        <v>3412756</v>
      </c>
      <c r="E17" s="154">
        <f t="shared" si="5"/>
        <v>3387256</v>
      </c>
      <c r="F17" s="154">
        <f t="shared" si="5"/>
        <v>3387256</v>
      </c>
      <c r="G17" s="154">
        <f t="shared" si="5"/>
        <v>3387256</v>
      </c>
      <c r="H17" s="154">
        <f t="shared" si="5"/>
        <v>3387256</v>
      </c>
      <c r="I17" s="154">
        <f t="shared" si="5"/>
        <v>3387256</v>
      </c>
      <c r="J17" s="154">
        <f t="shared" si="5"/>
        <v>3387256</v>
      </c>
      <c r="K17" s="154">
        <f t="shared" si="5"/>
        <v>3387256</v>
      </c>
      <c r="L17" s="154">
        <f t="shared" si="5"/>
        <v>3387256</v>
      </c>
      <c r="M17" s="154">
        <f t="shared" si="5"/>
        <v>3387256</v>
      </c>
      <c r="N17" s="154">
        <f t="shared" si="5"/>
        <v>3387256</v>
      </c>
      <c r="O17" s="155">
        <f t="shared" si="5"/>
        <v>3387256</v>
      </c>
      <c r="P17" s="175">
        <f t="shared" si="5"/>
        <v>40672572</v>
      </c>
      <c r="Q17" s="147"/>
    </row>
    <row r="19" spans="2:17" ht="16" thickBot="1"/>
    <row r="20" spans="2:17" ht="27" thickBot="1">
      <c r="B20" s="505" t="s">
        <v>300</v>
      </c>
      <c r="C20" s="506"/>
      <c r="D20" s="506"/>
      <c r="E20" s="506"/>
      <c r="F20" s="506"/>
      <c r="G20" s="506"/>
      <c r="H20" s="506"/>
      <c r="I20" s="506"/>
      <c r="J20" s="506"/>
      <c r="K20" s="506"/>
      <c r="L20" s="506"/>
      <c r="M20" s="506"/>
      <c r="N20" s="506"/>
      <c r="O20" s="506"/>
      <c r="P20" s="506"/>
      <c r="Q20" s="507"/>
    </row>
    <row r="21" spans="2:17" ht="20" thickBot="1">
      <c r="B21" s="672" t="s">
        <v>90</v>
      </c>
      <c r="C21" s="673"/>
      <c r="D21" s="176" t="s">
        <v>38</v>
      </c>
      <c r="E21" s="159" t="s">
        <v>39</v>
      </c>
      <c r="F21" s="159" t="s">
        <v>40</v>
      </c>
      <c r="G21" s="159" t="s">
        <v>41</v>
      </c>
      <c r="H21" s="159" t="s">
        <v>42</v>
      </c>
      <c r="I21" s="159" t="s">
        <v>43</v>
      </c>
      <c r="J21" s="159" t="s">
        <v>44</v>
      </c>
      <c r="K21" s="159" t="s">
        <v>45</v>
      </c>
      <c r="L21" s="159" t="s">
        <v>46</v>
      </c>
      <c r="M21" s="159" t="s">
        <v>47</v>
      </c>
      <c r="N21" s="159" t="s">
        <v>48</v>
      </c>
      <c r="O21" s="160" t="s">
        <v>49</v>
      </c>
      <c r="P21" s="161" t="s">
        <v>92</v>
      </c>
      <c r="Q21" s="162" t="s">
        <v>91</v>
      </c>
    </row>
    <row r="22" spans="2:17">
      <c r="B22" s="674" t="s">
        <v>87</v>
      </c>
      <c r="C22" s="181" t="s">
        <v>292</v>
      </c>
      <c r="D22" s="177">
        <v>25500</v>
      </c>
      <c r="E22" s="163">
        <v>0</v>
      </c>
      <c r="F22" s="163">
        <v>0</v>
      </c>
      <c r="G22" s="163">
        <v>0</v>
      </c>
      <c r="H22" s="163">
        <v>0</v>
      </c>
      <c r="I22" s="163">
        <v>0</v>
      </c>
      <c r="J22" s="163">
        <v>0</v>
      </c>
      <c r="K22" s="163">
        <v>0</v>
      </c>
      <c r="L22" s="163">
        <v>0</v>
      </c>
      <c r="M22" s="163">
        <v>0</v>
      </c>
      <c r="N22" s="163">
        <v>0</v>
      </c>
      <c r="O22" s="164">
        <v>0</v>
      </c>
      <c r="P22" s="165">
        <f t="shared" ref="P22:P24" si="6">SUM(D22:O22)</f>
        <v>25500</v>
      </c>
      <c r="Q22" s="166" t="s">
        <v>293</v>
      </c>
    </row>
    <row r="23" spans="2:17">
      <c r="B23" s="675"/>
      <c r="C23" s="182" t="s">
        <v>295</v>
      </c>
      <c r="D23" s="178">
        <f>$K$4*4.2*7</f>
        <v>29253</v>
      </c>
      <c r="E23" s="178">
        <f t="shared" ref="E23:O23" si="7">$K$4*4.2*7</f>
        <v>29253</v>
      </c>
      <c r="F23" s="178">
        <f t="shared" si="7"/>
        <v>29253</v>
      </c>
      <c r="G23" s="178">
        <f t="shared" si="7"/>
        <v>29253</v>
      </c>
      <c r="H23" s="178">
        <f t="shared" si="7"/>
        <v>29253</v>
      </c>
      <c r="I23" s="178">
        <f t="shared" si="7"/>
        <v>29253</v>
      </c>
      <c r="J23" s="178">
        <f t="shared" si="7"/>
        <v>29253</v>
      </c>
      <c r="K23" s="178">
        <f t="shared" si="7"/>
        <v>29253</v>
      </c>
      <c r="L23" s="178">
        <f t="shared" si="7"/>
        <v>29253</v>
      </c>
      <c r="M23" s="178">
        <f t="shared" si="7"/>
        <v>29253</v>
      </c>
      <c r="N23" s="178">
        <f t="shared" si="7"/>
        <v>29253</v>
      </c>
      <c r="O23" s="178">
        <f t="shared" si="7"/>
        <v>29253</v>
      </c>
      <c r="P23" s="151">
        <f t="shared" si="6"/>
        <v>351036</v>
      </c>
      <c r="Q23" s="149" t="s">
        <v>296</v>
      </c>
    </row>
    <row r="24" spans="2:17" ht="16" thickBot="1">
      <c r="B24" s="675"/>
      <c r="C24" s="182" t="s">
        <v>302</v>
      </c>
      <c r="D24" s="178">
        <f>$K$4*212</f>
        <v>210940</v>
      </c>
      <c r="E24" s="178">
        <f t="shared" ref="E24:O24" si="8">$K$4*212</f>
        <v>210940</v>
      </c>
      <c r="F24" s="178">
        <f t="shared" si="8"/>
        <v>210940</v>
      </c>
      <c r="G24" s="178">
        <f t="shared" si="8"/>
        <v>210940</v>
      </c>
      <c r="H24" s="178">
        <f t="shared" si="8"/>
        <v>210940</v>
      </c>
      <c r="I24" s="178">
        <f t="shared" si="8"/>
        <v>210940</v>
      </c>
      <c r="J24" s="178">
        <f t="shared" si="8"/>
        <v>210940</v>
      </c>
      <c r="K24" s="178">
        <f t="shared" si="8"/>
        <v>210940</v>
      </c>
      <c r="L24" s="178">
        <f t="shared" si="8"/>
        <v>210940</v>
      </c>
      <c r="M24" s="178">
        <f t="shared" si="8"/>
        <v>210940</v>
      </c>
      <c r="N24" s="178">
        <f t="shared" si="8"/>
        <v>210940</v>
      </c>
      <c r="O24" s="178">
        <f t="shared" si="8"/>
        <v>210940</v>
      </c>
      <c r="P24" s="151">
        <f t="shared" si="6"/>
        <v>2531280</v>
      </c>
      <c r="Q24" s="149" t="s">
        <v>303</v>
      </c>
    </row>
    <row r="25" spans="2:17" ht="20" thickBot="1">
      <c r="B25" s="413" t="s">
        <v>88</v>
      </c>
      <c r="C25" s="183" t="s">
        <v>290</v>
      </c>
      <c r="D25" s="179">
        <v>120000</v>
      </c>
      <c r="E25" s="179">
        <v>120000</v>
      </c>
      <c r="F25" s="179">
        <v>120000</v>
      </c>
      <c r="G25" s="179">
        <v>120000</v>
      </c>
      <c r="H25" s="179">
        <v>120000</v>
      </c>
      <c r="I25" s="179">
        <v>120000</v>
      </c>
      <c r="J25" s="169">
        <v>140000</v>
      </c>
      <c r="K25" s="169">
        <v>140000</v>
      </c>
      <c r="L25" s="169">
        <v>140000</v>
      </c>
      <c r="M25" s="169">
        <v>140000</v>
      </c>
      <c r="N25" s="169">
        <v>140000</v>
      </c>
      <c r="O25" s="169">
        <v>140000</v>
      </c>
      <c r="P25" s="170">
        <f>SUM(D25:O25)</f>
        <v>1560000</v>
      </c>
      <c r="Q25" s="168" t="s">
        <v>291</v>
      </c>
    </row>
    <row r="26" spans="2:17" ht="16" customHeight="1" thickBot="1">
      <c r="B26" s="171" t="s">
        <v>89</v>
      </c>
      <c r="C26" s="184" t="s">
        <v>298</v>
      </c>
      <c r="D26" s="180">
        <f>$K$4*20*7</f>
        <v>139300</v>
      </c>
      <c r="E26" s="180">
        <f t="shared" ref="E26:O26" si="9">$K$4*20*7</f>
        <v>139300</v>
      </c>
      <c r="F26" s="180">
        <f t="shared" si="9"/>
        <v>139300</v>
      </c>
      <c r="G26" s="180">
        <f t="shared" si="9"/>
        <v>139300</v>
      </c>
      <c r="H26" s="180">
        <f t="shared" si="9"/>
        <v>139300</v>
      </c>
      <c r="I26" s="180">
        <f t="shared" si="9"/>
        <v>139300</v>
      </c>
      <c r="J26" s="180">
        <f t="shared" si="9"/>
        <v>139300</v>
      </c>
      <c r="K26" s="180">
        <f t="shared" si="9"/>
        <v>139300</v>
      </c>
      <c r="L26" s="180">
        <f t="shared" si="9"/>
        <v>139300</v>
      </c>
      <c r="M26" s="180">
        <f t="shared" si="9"/>
        <v>139300</v>
      </c>
      <c r="N26" s="180">
        <f t="shared" si="9"/>
        <v>139300</v>
      </c>
      <c r="O26" s="180">
        <f t="shared" si="9"/>
        <v>139300</v>
      </c>
      <c r="P26" s="156">
        <f>SUM(D26:O26)</f>
        <v>1671600</v>
      </c>
      <c r="Q26" s="174" t="s">
        <v>299</v>
      </c>
    </row>
    <row r="27" spans="2:17" ht="41" thickBot="1">
      <c r="B27" s="412" t="s">
        <v>93</v>
      </c>
      <c r="C27" s="182" t="s">
        <v>183</v>
      </c>
      <c r="D27" s="178">
        <v>3000000</v>
      </c>
      <c r="E27" s="178">
        <v>3000000</v>
      </c>
      <c r="F27" s="178">
        <v>3000000</v>
      </c>
      <c r="G27" s="178">
        <v>3000000</v>
      </c>
      <c r="H27" s="178">
        <v>3000000</v>
      </c>
      <c r="I27" s="178">
        <v>3000000</v>
      </c>
      <c r="J27" s="178">
        <v>3000000</v>
      </c>
      <c r="K27" s="178">
        <v>3000000</v>
      </c>
      <c r="L27" s="178">
        <v>3000000</v>
      </c>
      <c r="M27" s="178">
        <v>3000000</v>
      </c>
      <c r="N27" s="178">
        <v>3000000</v>
      </c>
      <c r="O27" s="178">
        <v>3000000</v>
      </c>
      <c r="P27" s="151">
        <f>SUM(D27:O27)</f>
        <v>36000000</v>
      </c>
      <c r="Q27" s="150" t="s">
        <v>304</v>
      </c>
    </row>
    <row r="28" spans="2:17" ht="16" thickBot="1">
      <c r="B28"/>
      <c r="C28" s="153" t="s">
        <v>19</v>
      </c>
      <c r="D28" s="154">
        <f t="shared" ref="D28:P28" si="10">SUM(D22:D27)</f>
        <v>3524993</v>
      </c>
      <c r="E28" s="154">
        <f t="shared" si="10"/>
        <v>3499493</v>
      </c>
      <c r="F28" s="154">
        <f t="shared" si="10"/>
        <v>3499493</v>
      </c>
      <c r="G28" s="154">
        <f t="shared" si="10"/>
        <v>3499493</v>
      </c>
      <c r="H28" s="154">
        <f t="shared" si="10"/>
        <v>3499493</v>
      </c>
      <c r="I28" s="154">
        <f t="shared" si="10"/>
        <v>3499493</v>
      </c>
      <c r="J28" s="154">
        <f t="shared" si="10"/>
        <v>3519493</v>
      </c>
      <c r="K28" s="154">
        <f t="shared" si="10"/>
        <v>3519493</v>
      </c>
      <c r="L28" s="154">
        <f t="shared" si="10"/>
        <v>3519493</v>
      </c>
      <c r="M28" s="154">
        <f t="shared" si="10"/>
        <v>3519493</v>
      </c>
      <c r="N28" s="154">
        <f t="shared" si="10"/>
        <v>3519493</v>
      </c>
      <c r="O28" s="155">
        <f t="shared" si="10"/>
        <v>3519493</v>
      </c>
      <c r="P28" s="175">
        <f t="shared" si="10"/>
        <v>42139416</v>
      </c>
      <c r="Q28" s="147"/>
    </row>
    <row r="31" spans="2:17" ht="16" thickBot="1"/>
    <row r="32" spans="2:17" ht="27" thickBot="1">
      <c r="B32" s="505" t="s">
        <v>301</v>
      </c>
      <c r="C32" s="506"/>
      <c r="D32" s="506"/>
      <c r="E32" s="506"/>
      <c r="F32" s="506"/>
      <c r="G32" s="506"/>
      <c r="H32" s="506"/>
      <c r="I32" s="506"/>
      <c r="J32" s="506"/>
      <c r="K32" s="506"/>
      <c r="L32" s="506"/>
      <c r="M32" s="506"/>
      <c r="N32" s="506"/>
      <c r="O32" s="506"/>
      <c r="P32" s="506"/>
      <c r="Q32" s="507"/>
    </row>
    <row r="33" spans="2:17" ht="20" thickBot="1">
      <c r="B33" s="672" t="s">
        <v>90</v>
      </c>
      <c r="C33" s="673"/>
      <c r="D33" s="176" t="s">
        <v>38</v>
      </c>
      <c r="E33" s="159" t="s">
        <v>39</v>
      </c>
      <c r="F33" s="159" t="s">
        <v>40</v>
      </c>
      <c r="G33" s="159" t="s">
        <v>41</v>
      </c>
      <c r="H33" s="159" t="s">
        <v>42</v>
      </c>
      <c r="I33" s="159" t="s">
        <v>43</v>
      </c>
      <c r="J33" s="159" t="s">
        <v>44</v>
      </c>
      <c r="K33" s="159" t="s">
        <v>45</v>
      </c>
      <c r="L33" s="159" t="s">
        <v>46</v>
      </c>
      <c r="M33" s="159" t="s">
        <v>47</v>
      </c>
      <c r="N33" s="159" t="s">
        <v>48</v>
      </c>
      <c r="O33" s="160" t="s">
        <v>49</v>
      </c>
      <c r="P33" s="161" t="s">
        <v>92</v>
      </c>
      <c r="Q33" s="162" t="s">
        <v>91</v>
      </c>
    </row>
    <row r="34" spans="2:17">
      <c r="B34" s="674" t="s">
        <v>87</v>
      </c>
      <c r="C34" s="181" t="s">
        <v>292</v>
      </c>
      <c r="D34" s="177">
        <v>25500</v>
      </c>
      <c r="E34" s="163">
        <v>0</v>
      </c>
      <c r="F34" s="163">
        <v>0</v>
      </c>
      <c r="G34" s="163">
        <v>0</v>
      </c>
      <c r="H34" s="163">
        <v>0</v>
      </c>
      <c r="I34" s="163">
        <v>0</v>
      </c>
      <c r="J34" s="163">
        <v>0</v>
      </c>
      <c r="K34" s="163">
        <v>0</v>
      </c>
      <c r="L34" s="163">
        <v>0</v>
      </c>
      <c r="M34" s="163">
        <v>0</v>
      </c>
      <c r="N34" s="163">
        <v>0</v>
      </c>
      <c r="O34" s="164">
        <v>0</v>
      </c>
      <c r="P34" s="165">
        <f t="shared" ref="P34:P36" si="11">SUM(D34:O34)</f>
        <v>25500</v>
      </c>
      <c r="Q34" s="166" t="s">
        <v>293</v>
      </c>
    </row>
    <row r="35" spans="2:17">
      <c r="B35" s="675"/>
      <c r="C35" s="182" t="s">
        <v>295</v>
      </c>
      <c r="D35" s="178">
        <f>$K$4*4.2*10</f>
        <v>41790</v>
      </c>
      <c r="E35" s="178">
        <f t="shared" ref="E35:O35" si="12">$K$4*4.2*10</f>
        <v>41790</v>
      </c>
      <c r="F35" s="178">
        <f t="shared" si="12"/>
        <v>41790</v>
      </c>
      <c r="G35" s="178">
        <f t="shared" si="12"/>
        <v>41790</v>
      </c>
      <c r="H35" s="178">
        <f t="shared" si="12"/>
        <v>41790</v>
      </c>
      <c r="I35" s="178">
        <f t="shared" si="12"/>
        <v>41790</v>
      </c>
      <c r="J35" s="178">
        <f t="shared" si="12"/>
        <v>41790</v>
      </c>
      <c r="K35" s="178">
        <f t="shared" si="12"/>
        <v>41790</v>
      </c>
      <c r="L35" s="178">
        <f t="shared" si="12"/>
        <v>41790</v>
      </c>
      <c r="M35" s="178">
        <f t="shared" si="12"/>
        <v>41790</v>
      </c>
      <c r="N35" s="178">
        <f t="shared" si="12"/>
        <v>41790</v>
      </c>
      <c r="O35" s="178">
        <f t="shared" si="12"/>
        <v>41790</v>
      </c>
      <c r="P35" s="151">
        <f t="shared" si="11"/>
        <v>501480</v>
      </c>
      <c r="Q35" s="149" t="s">
        <v>296</v>
      </c>
    </row>
    <row r="36" spans="2:17" ht="16" thickBot="1">
      <c r="B36" s="675"/>
      <c r="C36" s="182" t="s">
        <v>302</v>
      </c>
      <c r="D36" s="178">
        <f>$K$4*212</f>
        <v>210940</v>
      </c>
      <c r="E36" s="178">
        <f t="shared" ref="E36:O36" si="13">$K$4*212</f>
        <v>210940</v>
      </c>
      <c r="F36" s="178">
        <f t="shared" si="13"/>
        <v>210940</v>
      </c>
      <c r="G36" s="178">
        <f t="shared" si="13"/>
        <v>210940</v>
      </c>
      <c r="H36" s="178">
        <f t="shared" si="13"/>
        <v>210940</v>
      </c>
      <c r="I36" s="178">
        <f t="shared" si="13"/>
        <v>210940</v>
      </c>
      <c r="J36" s="178">
        <f t="shared" si="13"/>
        <v>210940</v>
      </c>
      <c r="K36" s="178">
        <f t="shared" si="13"/>
        <v>210940</v>
      </c>
      <c r="L36" s="178">
        <f t="shared" si="13"/>
        <v>210940</v>
      </c>
      <c r="M36" s="178">
        <f t="shared" si="13"/>
        <v>210940</v>
      </c>
      <c r="N36" s="178">
        <f t="shared" si="13"/>
        <v>210940</v>
      </c>
      <c r="O36" s="178">
        <f t="shared" si="13"/>
        <v>210940</v>
      </c>
      <c r="P36" s="151">
        <f t="shared" si="11"/>
        <v>2531280</v>
      </c>
      <c r="Q36" s="149" t="s">
        <v>303</v>
      </c>
    </row>
    <row r="37" spans="2:17" ht="20" thickBot="1">
      <c r="B37" s="413" t="s">
        <v>88</v>
      </c>
      <c r="C37" s="183" t="s">
        <v>290</v>
      </c>
      <c r="D37" s="179">
        <v>200000</v>
      </c>
      <c r="E37" s="179">
        <v>200000</v>
      </c>
      <c r="F37" s="179">
        <v>200000</v>
      </c>
      <c r="G37" s="179">
        <v>200000</v>
      </c>
      <c r="H37" s="179">
        <v>200000</v>
      </c>
      <c r="I37" s="179">
        <v>200000</v>
      </c>
      <c r="J37" s="179">
        <v>200000</v>
      </c>
      <c r="K37" s="179">
        <v>200000</v>
      </c>
      <c r="L37" s="179">
        <v>200000</v>
      </c>
      <c r="M37" s="179">
        <v>200000</v>
      </c>
      <c r="N37" s="179">
        <v>200000</v>
      </c>
      <c r="O37" s="179">
        <v>200000</v>
      </c>
      <c r="P37" s="170">
        <f>SUM(D37:O37)</f>
        <v>2400000</v>
      </c>
      <c r="Q37" s="168" t="s">
        <v>291</v>
      </c>
    </row>
    <row r="38" spans="2:17" ht="16" customHeight="1" thickBot="1">
      <c r="B38" s="171" t="s">
        <v>89</v>
      </c>
      <c r="C38" s="184" t="s">
        <v>298</v>
      </c>
      <c r="D38" s="180">
        <f>$K$4*20*10</f>
        <v>199000</v>
      </c>
      <c r="E38" s="180">
        <f t="shared" ref="E38:O38" si="14">$K$4*20*10</f>
        <v>199000</v>
      </c>
      <c r="F38" s="180">
        <f t="shared" si="14"/>
        <v>199000</v>
      </c>
      <c r="G38" s="180">
        <f t="shared" si="14"/>
        <v>199000</v>
      </c>
      <c r="H38" s="180">
        <f t="shared" si="14"/>
        <v>199000</v>
      </c>
      <c r="I38" s="180">
        <f t="shared" si="14"/>
        <v>199000</v>
      </c>
      <c r="J38" s="180">
        <f t="shared" si="14"/>
        <v>199000</v>
      </c>
      <c r="K38" s="180">
        <f t="shared" si="14"/>
        <v>199000</v>
      </c>
      <c r="L38" s="180">
        <f t="shared" si="14"/>
        <v>199000</v>
      </c>
      <c r="M38" s="180">
        <f t="shared" si="14"/>
        <v>199000</v>
      </c>
      <c r="N38" s="180">
        <f t="shared" si="14"/>
        <v>199000</v>
      </c>
      <c r="O38" s="180">
        <f t="shared" si="14"/>
        <v>199000</v>
      </c>
      <c r="P38" s="156">
        <f>SUM(D38:O38)</f>
        <v>2388000</v>
      </c>
      <c r="Q38" s="174" t="s">
        <v>299</v>
      </c>
    </row>
    <row r="39" spans="2:17" ht="41" thickBot="1">
      <c r="B39" s="412" t="s">
        <v>93</v>
      </c>
      <c r="C39" s="182" t="s">
        <v>183</v>
      </c>
      <c r="D39" s="178">
        <v>3000000</v>
      </c>
      <c r="E39" s="178">
        <v>3000000</v>
      </c>
      <c r="F39" s="178">
        <v>3000000</v>
      </c>
      <c r="G39" s="178">
        <v>3000000</v>
      </c>
      <c r="H39" s="178">
        <v>3000000</v>
      </c>
      <c r="I39" s="178">
        <v>3000000</v>
      </c>
      <c r="J39" s="178">
        <v>3000000</v>
      </c>
      <c r="K39" s="178">
        <v>3000000</v>
      </c>
      <c r="L39" s="178">
        <v>3000000</v>
      </c>
      <c r="M39" s="178">
        <v>3000000</v>
      </c>
      <c r="N39" s="178">
        <v>3000000</v>
      </c>
      <c r="O39" s="178">
        <v>3000000</v>
      </c>
      <c r="P39" s="151">
        <f>SUM(D39:O39)</f>
        <v>36000000</v>
      </c>
      <c r="Q39" s="150" t="s">
        <v>304</v>
      </c>
    </row>
    <row r="40" spans="2:17" ht="16" thickBot="1">
      <c r="B40"/>
      <c r="C40" s="153" t="s">
        <v>19</v>
      </c>
      <c r="D40" s="154">
        <f t="shared" ref="D40:P40" si="15">SUM(D34:D39)</f>
        <v>3677230</v>
      </c>
      <c r="E40" s="154">
        <f t="shared" si="15"/>
        <v>3651730</v>
      </c>
      <c r="F40" s="154">
        <f t="shared" si="15"/>
        <v>3651730</v>
      </c>
      <c r="G40" s="154">
        <f t="shared" si="15"/>
        <v>3651730</v>
      </c>
      <c r="H40" s="154">
        <f t="shared" si="15"/>
        <v>3651730</v>
      </c>
      <c r="I40" s="154">
        <f t="shared" si="15"/>
        <v>3651730</v>
      </c>
      <c r="J40" s="154">
        <f t="shared" si="15"/>
        <v>3651730</v>
      </c>
      <c r="K40" s="154">
        <f t="shared" si="15"/>
        <v>3651730</v>
      </c>
      <c r="L40" s="154">
        <f t="shared" si="15"/>
        <v>3651730</v>
      </c>
      <c r="M40" s="154">
        <f t="shared" si="15"/>
        <v>3651730</v>
      </c>
      <c r="N40" s="154">
        <f t="shared" si="15"/>
        <v>3651730</v>
      </c>
      <c r="O40" s="155">
        <f t="shared" si="15"/>
        <v>3651730</v>
      </c>
      <c r="P40" s="175">
        <f t="shared" si="15"/>
        <v>43846260</v>
      </c>
      <c r="Q40" s="147"/>
    </row>
  </sheetData>
  <mergeCells count="13">
    <mergeCell ref="B10:C10"/>
    <mergeCell ref="K3:M3"/>
    <mergeCell ref="K4:M5"/>
    <mergeCell ref="C3:E3"/>
    <mergeCell ref="B11:B13"/>
    <mergeCell ref="G3:I3"/>
    <mergeCell ref="B9:Q9"/>
    <mergeCell ref="B32:Q32"/>
    <mergeCell ref="B33:C33"/>
    <mergeCell ref="B34:B36"/>
    <mergeCell ref="B20:Q20"/>
    <mergeCell ref="B21:C21"/>
    <mergeCell ref="B22:B2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44"/>
  <sheetViews>
    <sheetView zoomScaleNormal="100" workbookViewId="0">
      <pane xSplit="3" ySplit="1" topLeftCell="D3" activePane="bottomRight" state="frozen"/>
      <selection pane="topRight" activeCell="D1" sqref="D1"/>
      <selection pane="bottomLeft" activeCell="A2" sqref="A2"/>
      <selection pane="bottomRight" activeCell="C20" sqref="C20"/>
    </sheetView>
  </sheetViews>
  <sheetFormatPr baseColWidth="10" defaultColWidth="11.5" defaultRowHeight="15"/>
  <cols>
    <col min="1" max="1" width="16.6640625" style="1" customWidth="1"/>
    <col min="2" max="2" width="50.5" style="1" customWidth="1"/>
    <col min="3" max="3" width="22.6640625" style="1" customWidth="1"/>
    <col min="4" max="4" width="21.6640625" style="1" bestFit="1" customWidth="1"/>
    <col min="5" max="5" width="22.1640625" style="1" customWidth="1"/>
    <col min="6" max="6" width="18.5" style="1" customWidth="1"/>
    <col min="7" max="7" width="16.33203125" style="1" bestFit="1" customWidth="1"/>
    <col min="8" max="8" width="15.1640625" style="1" bestFit="1" customWidth="1"/>
    <col min="9" max="9" width="19" style="1" customWidth="1"/>
    <col min="10" max="10" width="19.5" style="1" bestFit="1" customWidth="1"/>
    <col min="11" max="11" width="16.33203125" style="1" bestFit="1" customWidth="1"/>
    <col min="12" max="12" width="14.33203125" style="1" bestFit="1" customWidth="1"/>
    <col min="13" max="13" width="16.33203125" style="1" bestFit="1" customWidth="1"/>
    <col min="14" max="14" width="11.5" style="1"/>
    <col min="15" max="15" width="15.6640625" style="1" bestFit="1" customWidth="1"/>
    <col min="16" max="16" width="11.5" style="1"/>
    <col min="17" max="17" width="16.33203125" style="1" bestFit="1" customWidth="1"/>
    <col min="18" max="18" width="11.5" style="1"/>
    <col min="19" max="19" width="16.33203125" style="1" bestFit="1" customWidth="1"/>
    <col min="20" max="20" width="11.5" style="1"/>
    <col min="21" max="21" width="16.33203125" style="1" bestFit="1" customWidth="1"/>
    <col min="22" max="22" width="11.5" style="1"/>
    <col min="23" max="23" width="16.6640625" style="1" bestFit="1" customWidth="1"/>
    <col min="24" max="24" width="11.5" style="1"/>
    <col min="25" max="25" width="16.6640625" style="1" bestFit="1" customWidth="1"/>
    <col min="26" max="26" width="11.5" style="1"/>
    <col min="27" max="27" width="16.33203125" style="1" bestFit="1" customWidth="1"/>
    <col min="28" max="28" width="21.33203125" style="1" customWidth="1"/>
    <col min="29" max="16384" width="11.5" style="1"/>
  </cols>
  <sheetData>
    <row r="1" spans="1:28" customFormat="1" ht="58.5" customHeight="1">
      <c r="A1" s="373"/>
      <c r="B1" s="373"/>
      <c r="C1" s="373"/>
      <c r="D1" s="373"/>
      <c r="E1" s="373"/>
      <c r="F1" s="380" t="s">
        <v>5</v>
      </c>
      <c r="G1" s="381"/>
      <c r="H1" s="381"/>
      <c r="I1" s="373"/>
      <c r="J1" s="373"/>
      <c r="K1" s="373"/>
      <c r="L1" s="373"/>
    </row>
    <row r="3" spans="1:28" ht="16" thickBot="1"/>
    <row r="4" spans="1:28" ht="27" thickBot="1">
      <c r="B4" s="505" t="s">
        <v>32</v>
      </c>
      <c r="C4" s="506"/>
      <c r="D4" s="507"/>
      <c r="E4" s="38"/>
      <c r="H4" s="505" t="s">
        <v>95</v>
      </c>
      <c r="I4" s="506"/>
      <c r="J4" s="507"/>
    </row>
    <row r="5" spans="1:28">
      <c r="B5" s="33">
        <v>2025</v>
      </c>
      <c r="C5" s="33">
        <v>2026</v>
      </c>
      <c r="D5" s="33">
        <v>2027</v>
      </c>
      <c r="E5" s="121"/>
      <c r="H5" s="33">
        <v>2025</v>
      </c>
      <c r="I5" s="33">
        <v>2026</v>
      </c>
      <c r="J5" s="33">
        <v>2027</v>
      </c>
    </row>
    <row r="6" spans="1:28" ht="16" thickBot="1">
      <c r="B6" s="39">
        <f>Hipótesis!C24</f>
        <v>0.04</v>
      </c>
      <c r="C6" s="39">
        <f>Hipótesis!C25</f>
        <v>0.06</v>
      </c>
      <c r="D6" s="39">
        <f>Hipótesis!C26</f>
        <v>0.09</v>
      </c>
      <c r="E6" s="188"/>
      <c r="H6" s="65">
        <f>AB20</f>
        <v>4268280</v>
      </c>
      <c r="I6" s="66">
        <f>AB32</f>
        <v>6270720.0000000009</v>
      </c>
      <c r="J6" s="67">
        <f>AB44</f>
        <v>9098820</v>
      </c>
    </row>
    <row r="7" spans="1:28">
      <c r="B7" s="32">
        <f>Hipótesis!D24</f>
        <v>177120000</v>
      </c>
      <c r="C7" s="32">
        <f>Hipótesis!D25</f>
        <v>265680000</v>
      </c>
      <c r="D7" s="32">
        <f>Hipótesis!D26</f>
        <v>398520000</v>
      </c>
      <c r="E7" s="185"/>
    </row>
    <row r="10" spans="1:28" ht="16" thickBot="1"/>
    <row r="11" spans="1:28" ht="27" thickBot="1">
      <c r="B11" s="515" t="s">
        <v>189</v>
      </c>
      <c r="C11" s="516"/>
      <c r="D11" s="516"/>
      <c r="E11" s="516"/>
      <c r="F11" s="516"/>
      <c r="G11" s="516"/>
      <c r="H11" s="516"/>
      <c r="I11" s="516"/>
      <c r="J11" s="516"/>
      <c r="K11" s="516"/>
      <c r="L11" s="516"/>
      <c r="M11" s="516"/>
      <c r="N11" s="516"/>
      <c r="O11" s="516"/>
      <c r="P11" s="516"/>
      <c r="Q11" s="516"/>
      <c r="R11" s="516"/>
      <c r="S11" s="516"/>
      <c r="T11" s="516"/>
      <c r="U11" s="516"/>
      <c r="V11" s="516"/>
      <c r="W11" s="516"/>
      <c r="X11" s="516"/>
      <c r="Y11" s="516"/>
      <c r="Z11" s="516"/>
      <c r="AA11" s="516"/>
      <c r="AB11" s="517"/>
    </row>
    <row r="12" spans="1:28">
      <c r="B12" s="688" t="s">
        <v>55</v>
      </c>
      <c r="C12" s="689"/>
      <c r="D12" s="687" t="s">
        <v>38</v>
      </c>
      <c r="E12" s="686"/>
      <c r="F12" s="685" t="s">
        <v>39</v>
      </c>
      <c r="G12" s="686"/>
      <c r="H12" s="685" t="s">
        <v>40</v>
      </c>
      <c r="I12" s="686"/>
      <c r="J12" s="685" t="s">
        <v>41</v>
      </c>
      <c r="K12" s="686"/>
      <c r="L12" s="685" t="s">
        <v>42</v>
      </c>
      <c r="M12" s="686"/>
      <c r="N12" s="685" t="s">
        <v>43</v>
      </c>
      <c r="O12" s="686"/>
      <c r="P12" s="685" t="s">
        <v>44</v>
      </c>
      <c r="Q12" s="686"/>
      <c r="R12" s="685" t="s">
        <v>45</v>
      </c>
      <c r="S12" s="686"/>
      <c r="T12" s="685" t="s">
        <v>46</v>
      </c>
      <c r="U12" s="686"/>
      <c r="V12" s="685" t="s">
        <v>47</v>
      </c>
      <c r="W12" s="686"/>
      <c r="X12" s="685" t="s">
        <v>48</v>
      </c>
      <c r="Y12" s="686"/>
      <c r="Z12" s="685" t="s">
        <v>49</v>
      </c>
      <c r="AA12" s="687"/>
      <c r="AB12" s="691" t="s">
        <v>19</v>
      </c>
    </row>
    <row r="13" spans="1:28" ht="16" thickBot="1">
      <c r="B13" s="199" t="s">
        <v>77</v>
      </c>
      <c r="C13" s="200" t="s">
        <v>97</v>
      </c>
      <c r="D13" s="201" t="s">
        <v>52</v>
      </c>
      <c r="E13" s="202" t="s">
        <v>68</v>
      </c>
      <c r="F13" s="202" t="s">
        <v>52</v>
      </c>
      <c r="G13" s="202" t="s">
        <v>68</v>
      </c>
      <c r="H13" s="202" t="s">
        <v>52</v>
      </c>
      <c r="I13" s="202" t="s">
        <v>68</v>
      </c>
      <c r="J13" s="202" t="s">
        <v>52</v>
      </c>
      <c r="K13" s="202" t="s">
        <v>68</v>
      </c>
      <c r="L13" s="202" t="s">
        <v>52</v>
      </c>
      <c r="M13" s="202" t="s">
        <v>68</v>
      </c>
      <c r="N13" s="202" t="s">
        <v>52</v>
      </c>
      <c r="O13" s="202" t="s">
        <v>68</v>
      </c>
      <c r="P13" s="202" t="s">
        <v>52</v>
      </c>
      <c r="Q13" s="202" t="s">
        <v>68</v>
      </c>
      <c r="R13" s="202" t="s">
        <v>52</v>
      </c>
      <c r="S13" s="202" t="s">
        <v>68</v>
      </c>
      <c r="T13" s="202" t="s">
        <v>52</v>
      </c>
      <c r="U13" s="202" t="s">
        <v>68</v>
      </c>
      <c r="V13" s="202" t="s">
        <v>52</v>
      </c>
      <c r="W13" s="202" t="s">
        <v>68</v>
      </c>
      <c r="X13" s="202" t="s">
        <v>52</v>
      </c>
      <c r="Y13" s="202" t="s">
        <v>68</v>
      </c>
      <c r="Z13" s="202" t="s">
        <v>52</v>
      </c>
      <c r="AA13" s="203" t="s">
        <v>68</v>
      </c>
      <c r="AB13" s="691"/>
    </row>
    <row r="14" spans="1:28" ht="17" thickBot="1">
      <c r="A14" s="432" t="s">
        <v>87</v>
      </c>
      <c r="B14" s="433" t="s">
        <v>310</v>
      </c>
      <c r="C14" s="205">
        <v>50000</v>
      </c>
      <c r="D14" s="206">
        <v>0</v>
      </c>
      <c r="E14" s="172">
        <f>D14*C14</f>
        <v>0</v>
      </c>
      <c r="F14" s="220">
        <v>0</v>
      </c>
      <c r="G14" s="172">
        <f t="shared" ref="G14:G17" si="0">F14*C14</f>
        <v>0</v>
      </c>
      <c r="H14" s="220">
        <v>1</v>
      </c>
      <c r="I14" s="172">
        <f t="shared" ref="I14:I18" si="1">H14*C14</f>
        <v>50000</v>
      </c>
      <c r="J14" s="220">
        <v>1</v>
      </c>
      <c r="K14" s="172">
        <f t="shared" ref="K14:K17" si="2">J14*C14</f>
        <v>50000</v>
      </c>
      <c r="L14" s="220">
        <v>1</v>
      </c>
      <c r="M14" s="172">
        <f t="shared" ref="M14:M17" si="3">L14*C14</f>
        <v>50000</v>
      </c>
      <c r="N14" s="220">
        <v>1</v>
      </c>
      <c r="O14" s="172">
        <f t="shared" ref="O14:O17" si="4">N14*C14</f>
        <v>50000</v>
      </c>
      <c r="P14" s="220">
        <v>1</v>
      </c>
      <c r="Q14" s="172">
        <f t="shared" ref="Q14:Q17" si="5">P14*C14</f>
        <v>50000</v>
      </c>
      <c r="R14" s="220">
        <v>1</v>
      </c>
      <c r="S14" s="172">
        <f t="shared" ref="S14:S17" si="6">R14*C14</f>
        <v>50000</v>
      </c>
      <c r="T14" s="220">
        <v>1</v>
      </c>
      <c r="U14" s="172">
        <f t="shared" ref="U14:U17" si="7">T14*C14</f>
        <v>50000</v>
      </c>
      <c r="V14" s="220">
        <v>1</v>
      </c>
      <c r="W14" s="172">
        <f t="shared" ref="W14:W17" si="8">V14*C14</f>
        <v>50000</v>
      </c>
      <c r="X14" s="220">
        <v>1</v>
      </c>
      <c r="Y14" s="172">
        <f t="shared" ref="Y14:Y17" si="9">X14*C14</f>
        <v>50000</v>
      </c>
      <c r="Z14" s="220">
        <v>0</v>
      </c>
      <c r="AA14" s="173">
        <f t="shared" ref="AA14:AA18" si="10">Z14*C14</f>
        <v>0</v>
      </c>
      <c r="AB14" s="217">
        <f t="shared" ref="AB14:AB17" si="11">E14+G14+I14+K14+M14+O14+Q14+S14++U14+W14+Y14+AA14</f>
        <v>450000</v>
      </c>
    </row>
    <row r="15" spans="1:28">
      <c r="A15" s="692" t="s">
        <v>99</v>
      </c>
      <c r="B15" s="211" t="s">
        <v>305</v>
      </c>
      <c r="C15" s="196">
        <v>6000</v>
      </c>
      <c r="D15" s="194">
        <v>0</v>
      </c>
      <c r="E15" s="157">
        <f>D15*C15</f>
        <v>0</v>
      </c>
      <c r="F15" s="194">
        <v>0</v>
      </c>
      <c r="G15" s="157">
        <f t="shared" si="0"/>
        <v>0</v>
      </c>
      <c r="H15" s="194">
        <v>10</v>
      </c>
      <c r="I15" s="157">
        <f t="shared" si="1"/>
        <v>60000</v>
      </c>
      <c r="J15" s="194">
        <v>0</v>
      </c>
      <c r="K15" s="157">
        <f t="shared" si="2"/>
        <v>0</v>
      </c>
      <c r="L15" s="194">
        <v>0</v>
      </c>
      <c r="M15" s="157">
        <f t="shared" si="3"/>
        <v>0</v>
      </c>
      <c r="N15" s="194">
        <v>0</v>
      </c>
      <c r="O15" s="157">
        <f t="shared" si="4"/>
        <v>0</v>
      </c>
      <c r="P15" s="193">
        <v>0</v>
      </c>
      <c r="Q15" s="157">
        <f t="shared" si="5"/>
        <v>0</v>
      </c>
      <c r="R15" s="194">
        <v>0</v>
      </c>
      <c r="S15" s="157">
        <f t="shared" si="6"/>
        <v>0</v>
      </c>
      <c r="T15" s="194">
        <v>0</v>
      </c>
      <c r="U15" s="157">
        <f t="shared" si="7"/>
        <v>0</v>
      </c>
      <c r="V15" s="194">
        <v>0</v>
      </c>
      <c r="W15" s="157">
        <f t="shared" si="8"/>
        <v>0</v>
      </c>
      <c r="X15" s="194">
        <v>0</v>
      </c>
      <c r="Y15" s="157">
        <f t="shared" si="9"/>
        <v>0</v>
      </c>
      <c r="Z15" s="194">
        <v>25</v>
      </c>
      <c r="AA15" s="158">
        <f t="shared" si="10"/>
        <v>150000</v>
      </c>
      <c r="AB15" s="218">
        <f t="shared" si="11"/>
        <v>210000</v>
      </c>
    </row>
    <row r="16" spans="1:28">
      <c r="A16" s="683"/>
      <c r="B16" s="212" t="s">
        <v>306</v>
      </c>
      <c r="C16" s="197">
        <v>600</v>
      </c>
      <c r="D16" s="195">
        <v>0</v>
      </c>
      <c r="E16" s="146">
        <f>D16*C16</f>
        <v>0</v>
      </c>
      <c r="F16" s="195">
        <v>0</v>
      </c>
      <c r="G16" s="146">
        <f t="shared" si="0"/>
        <v>0</v>
      </c>
      <c r="H16" s="195">
        <v>50</v>
      </c>
      <c r="I16" s="146">
        <f t="shared" si="1"/>
        <v>30000</v>
      </c>
      <c r="J16" s="195">
        <v>0</v>
      </c>
      <c r="K16" s="146">
        <f t="shared" si="2"/>
        <v>0</v>
      </c>
      <c r="L16" s="195">
        <v>0</v>
      </c>
      <c r="M16" s="146">
        <f t="shared" si="3"/>
        <v>0</v>
      </c>
      <c r="N16" s="195">
        <v>0</v>
      </c>
      <c r="O16" s="146">
        <f t="shared" si="4"/>
        <v>0</v>
      </c>
      <c r="P16" s="192">
        <v>0</v>
      </c>
      <c r="Q16" s="146">
        <f t="shared" si="5"/>
        <v>0</v>
      </c>
      <c r="R16" s="195">
        <v>0</v>
      </c>
      <c r="S16" s="146">
        <f t="shared" si="6"/>
        <v>0</v>
      </c>
      <c r="T16" s="195">
        <v>0</v>
      </c>
      <c r="U16" s="146">
        <f t="shared" si="7"/>
        <v>0</v>
      </c>
      <c r="V16" s="195">
        <v>0</v>
      </c>
      <c r="W16" s="146">
        <f t="shared" si="8"/>
        <v>0</v>
      </c>
      <c r="X16" s="195">
        <v>0</v>
      </c>
      <c r="Y16" s="146">
        <f t="shared" si="9"/>
        <v>0</v>
      </c>
      <c r="Z16" s="195">
        <v>100</v>
      </c>
      <c r="AA16" s="148">
        <f t="shared" si="10"/>
        <v>60000</v>
      </c>
      <c r="AB16" s="215">
        <f t="shared" si="11"/>
        <v>90000</v>
      </c>
    </row>
    <row r="17" spans="1:28" ht="16">
      <c r="A17" s="683"/>
      <c r="B17" s="198" t="s">
        <v>307</v>
      </c>
      <c r="C17" s="197">
        <v>9000</v>
      </c>
      <c r="D17" s="195">
        <v>0</v>
      </c>
      <c r="E17" s="146">
        <f>D17*C17</f>
        <v>0</v>
      </c>
      <c r="F17" s="195">
        <v>0</v>
      </c>
      <c r="G17" s="146">
        <f t="shared" si="0"/>
        <v>0</v>
      </c>
      <c r="H17" s="195">
        <v>10</v>
      </c>
      <c r="I17" s="146">
        <f t="shared" si="1"/>
        <v>90000</v>
      </c>
      <c r="J17" s="195">
        <v>0</v>
      </c>
      <c r="K17" s="146">
        <f t="shared" si="2"/>
        <v>0</v>
      </c>
      <c r="L17" s="195">
        <v>0</v>
      </c>
      <c r="M17" s="146">
        <f t="shared" si="3"/>
        <v>0</v>
      </c>
      <c r="N17" s="195">
        <v>0</v>
      </c>
      <c r="O17" s="146">
        <f t="shared" si="4"/>
        <v>0</v>
      </c>
      <c r="P17" s="192">
        <v>0</v>
      </c>
      <c r="Q17" s="146">
        <f t="shared" si="5"/>
        <v>0</v>
      </c>
      <c r="R17" s="195">
        <v>0</v>
      </c>
      <c r="S17" s="146">
        <f t="shared" si="6"/>
        <v>0</v>
      </c>
      <c r="T17" s="195">
        <v>0</v>
      </c>
      <c r="U17" s="146">
        <f t="shared" si="7"/>
        <v>0</v>
      </c>
      <c r="V17" s="195">
        <v>0</v>
      </c>
      <c r="W17" s="146">
        <f t="shared" si="8"/>
        <v>0</v>
      </c>
      <c r="X17" s="195">
        <v>0</v>
      </c>
      <c r="Y17" s="146">
        <f t="shared" si="9"/>
        <v>0</v>
      </c>
      <c r="Z17" s="195">
        <v>20</v>
      </c>
      <c r="AA17" s="148">
        <f t="shared" si="10"/>
        <v>180000</v>
      </c>
      <c r="AB17" s="215">
        <f t="shared" si="11"/>
        <v>270000</v>
      </c>
    </row>
    <row r="18" spans="1:28" ht="17" thickBot="1">
      <c r="A18" s="684"/>
      <c r="B18" s="207" t="s">
        <v>308</v>
      </c>
      <c r="C18" s="197">
        <v>900</v>
      </c>
      <c r="D18" s="195">
        <v>0</v>
      </c>
      <c r="E18" s="167">
        <v>0</v>
      </c>
      <c r="F18" s="195">
        <v>0</v>
      </c>
      <c r="G18" s="167">
        <v>0</v>
      </c>
      <c r="H18" s="195">
        <v>20</v>
      </c>
      <c r="I18" s="146">
        <f t="shared" si="1"/>
        <v>18000</v>
      </c>
      <c r="J18" s="195">
        <v>0</v>
      </c>
      <c r="K18" s="167">
        <v>0</v>
      </c>
      <c r="L18" s="195">
        <v>0</v>
      </c>
      <c r="M18" s="167">
        <v>0</v>
      </c>
      <c r="N18" s="195">
        <v>0</v>
      </c>
      <c r="O18" s="167">
        <v>0</v>
      </c>
      <c r="P18" s="167">
        <v>0</v>
      </c>
      <c r="Q18" s="167">
        <v>0</v>
      </c>
      <c r="R18" s="195">
        <v>0</v>
      </c>
      <c r="S18" s="167">
        <v>0</v>
      </c>
      <c r="T18" s="195">
        <v>0</v>
      </c>
      <c r="U18" s="167">
        <v>0</v>
      </c>
      <c r="V18" s="195">
        <v>0</v>
      </c>
      <c r="W18" s="167">
        <v>0</v>
      </c>
      <c r="X18" s="195">
        <v>0</v>
      </c>
      <c r="Y18" s="167">
        <v>0</v>
      </c>
      <c r="Z18" s="195">
        <v>40</v>
      </c>
      <c r="AA18" s="148">
        <f t="shared" si="10"/>
        <v>36000</v>
      </c>
      <c r="AB18" s="216">
        <f>E18+G18+I18+K18+M18+O18+Q18+S18+U18+W18+Y18+AA18</f>
        <v>54000</v>
      </c>
    </row>
    <row r="19" spans="1:28" ht="17" thickBot="1">
      <c r="A19" s="432" t="s">
        <v>359</v>
      </c>
      <c r="B19" s="498" t="s">
        <v>360</v>
      </c>
      <c r="C19" s="499">
        <v>1.7999999999999999E-2</v>
      </c>
      <c r="D19" s="497">
        <f>'Proy. ventas'!E25</f>
        <v>4842.3999999999996</v>
      </c>
      <c r="E19" s="210">
        <f>'Proy. ventas'!F24*$C$19</f>
        <v>127771.2</v>
      </c>
      <c r="F19" s="497">
        <f>'Proy. ventas'!G25</f>
        <v>4842.3999999999996</v>
      </c>
      <c r="G19" s="210">
        <f>'Proy. ventas'!H24*$C$19</f>
        <v>127771.2</v>
      </c>
      <c r="H19" s="497">
        <f>'Proy. ventas'!I25</f>
        <v>9684.7999999999993</v>
      </c>
      <c r="I19" s="210">
        <f>'Proy. ventas'!J24*$C$19</f>
        <v>255542.39999999999</v>
      </c>
      <c r="J19" s="497">
        <f>'Proy. ventas'!K25</f>
        <v>9684.7999999999993</v>
      </c>
      <c r="K19" s="210">
        <f>'Proy. ventas'!L24*$C$19</f>
        <v>255542.39999999999</v>
      </c>
      <c r="L19" s="497">
        <f>'Proy. ventas'!M25</f>
        <v>9684.7999999999993</v>
      </c>
      <c r="M19" s="210">
        <f>'Proy. ventas'!N24*$C$19</f>
        <v>255542.39999999999</v>
      </c>
      <c r="N19" s="497">
        <f>'Proy. ventas'!O25</f>
        <v>9684.7999999999993</v>
      </c>
      <c r="O19" s="210">
        <f>'Proy. ventas'!P24*$C$19</f>
        <v>255542.39999999999</v>
      </c>
      <c r="P19" s="497">
        <f>'Proy. ventas'!Q25</f>
        <v>12106</v>
      </c>
      <c r="Q19" s="210">
        <f>'Proy. ventas'!R24*$C$19</f>
        <v>319428</v>
      </c>
      <c r="R19" s="497">
        <f>'Proy. ventas'!S25</f>
        <v>12106</v>
      </c>
      <c r="S19" s="210">
        <f>'Proy. ventas'!T24*$C$19</f>
        <v>319428</v>
      </c>
      <c r="T19" s="497">
        <f>'Proy. ventas'!U25</f>
        <v>12106</v>
      </c>
      <c r="U19" s="210">
        <f>'Proy. ventas'!V24*$C$19</f>
        <v>319428</v>
      </c>
      <c r="V19" s="497">
        <f>'Proy. ventas'!W25</f>
        <v>14527.2</v>
      </c>
      <c r="W19" s="210">
        <f>'Proy. ventas'!X24*$C$19</f>
        <v>383313.6</v>
      </c>
      <c r="X19" s="497">
        <f>'Proy. ventas'!Y25</f>
        <v>14527.2</v>
      </c>
      <c r="Y19" s="210">
        <f>'Proy. ventas'!Z24*$C$19</f>
        <v>383313.6</v>
      </c>
      <c r="Z19" s="497">
        <f>'Proy. ventas'!AA25</f>
        <v>7263.6</v>
      </c>
      <c r="AA19" s="210">
        <f>'Proy. ventas'!AB24*$C$19</f>
        <v>191656.8</v>
      </c>
      <c r="AB19" s="216">
        <f>E19+G19+I19+K19+M19+O19+Q19+S19+U19+W19+Y19+AA19</f>
        <v>3194280</v>
      </c>
    </row>
    <row r="20" spans="1:28" ht="16" thickBot="1">
      <c r="B20" s="214" t="s">
        <v>98</v>
      </c>
      <c r="C20" s="208"/>
      <c r="D20" s="209"/>
      <c r="E20" s="219">
        <f>SUM(E14:E19)</f>
        <v>127771.2</v>
      </c>
      <c r="F20" s="209"/>
      <c r="G20" s="219">
        <f t="shared" ref="G20" si="12">SUM(G14:G19)</f>
        <v>127771.2</v>
      </c>
      <c r="H20" s="209"/>
      <c r="I20" s="219">
        <f t="shared" ref="I20" si="13">SUM(I14:I19)</f>
        <v>503542.4</v>
      </c>
      <c r="J20" s="209"/>
      <c r="K20" s="219">
        <f t="shared" ref="K20" si="14">SUM(K14:K19)</f>
        <v>305542.40000000002</v>
      </c>
      <c r="L20" s="209"/>
      <c r="M20" s="219">
        <f t="shared" ref="M20" si="15">SUM(M14:M19)</f>
        <v>305542.40000000002</v>
      </c>
      <c r="N20" s="209"/>
      <c r="O20" s="219">
        <f t="shared" ref="O20" si="16">SUM(O14:O19)</f>
        <v>305542.40000000002</v>
      </c>
      <c r="P20" s="209"/>
      <c r="Q20" s="219">
        <f t="shared" ref="Q20" si="17">SUM(Q14:Q19)</f>
        <v>369428</v>
      </c>
      <c r="R20" s="209"/>
      <c r="S20" s="219">
        <f t="shared" ref="S20" si="18">SUM(S14:S19)</f>
        <v>369428</v>
      </c>
      <c r="T20" s="209"/>
      <c r="U20" s="219">
        <f t="shared" ref="U20" si="19">SUM(U14:U19)</f>
        <v>369428</v>
      </c>
      <c r="V20" s="209"/>
      <c r="W20" s="219">
        <f t="shared" ref="W20" si="20">SUM(W14:W19)</f>
        <v>433313.6</v>
      </c>
      <c r="X20" s="209"/>
      <c r="Y20" s="219">
        <f t="shared" ref="Y20" si="21">SUM(Y14:Y19)</f>
        <v>433313.6</v>
      </c>
      <c r="Z20" s="209"/>
      <c r="AA20" s="219">
        <f t="shared" ref="AA20" si="22">SUM(AA14:AA19)</f>
        <v>617656.80000000005</v>
      </c>
      <c r="AB20" s="213">
        <f>SUM(E20:AA20)</f>
        <v>4268280</v>
      </c>
    </row>
    <row r="22" spans="1:28" ht="16" thickBot="1"/>
    <row r="23" spans="1:28" ht="27" thickBot="1">
      <c r="B23" s="515" t="s">
        <v>309</v>
      </c>
      <c r="C23" s="516"/>
      <c r="D23" s="516"/>
      <c r="E23" s="516"/>
      <c r="F23" s="516"/>
      <c r="G23" s="516"/>
      <c r="H23" s="516"/>
      <c r="I23" s="516"/>
      <c r="J23" s="516"/>
      <c r="K23" s="516"/>
      <c r="L23" s="516"/>
      <c r="M23" s="516"/>
      <c r="N23" s="516"/>
      <c r="O23" s="516"/>
      <c r="P23" s="516"/>
      <c r="Q23" s="516"/>
      <c r="R23" s="516"/>
      <c r="S23" s="516"/>
      <c r="T23" s="516"/>
      <c r="U23" s="516"/>
      <c r="V23" s="516"/>
      <c r="W23" s="516"/>
      <c r="X23" s="516"/>
      <c r="Y23" s="516"/>
      <c r="Z23" s="516"/>
      <c r="AA23" s="516"/>
      <c r="AB23" s="517"/>
    </row>
    <row r="24" spans="1:28">
      <c r="B24" s="688" t="s">
        <v>55</v>
      </c>
      <c r="C24" s="689"/>
      <c r="D24" s="687" t="s">
        <v>38</v>
      </c>
      <c r="E24" s="686"/>
      <c r="F24" s="685" t="s">
        <v>39</v>
      </c>
      <c r="G24" s="686"/>
      <c r="H24" s="685" t="s">
        <v>40</v>
      </c>
      <c r="I24" s="686"/>
      <c r="J24" s="685" t="s">
        <v>41</v>
      </c>
      <c r="K24" s="686"/>
      <c r="L24" s="685" t="s">
        <v>42</v>
      </c>
      <c r="M24" s="686"/>
      <c r="N24" s="685" t="s">
        <v>43</v>
      </c>
      <c r="O24" s="686"/>
      <c r="P24" s="685" t="s">
        <v>44</v>
      </c>
      <c r="Q24" s="686"/>
      <c r="R24" s="685" t="s">
        <v>45</v>
      </c>
      <c r="S24" s="686"/>
      <c r="T24" s="685" t="s">
        <v>46</v>
      </c>
      <c r="U24" s="686"/>
      <c r="V24" s="685" t="s">
        <v>47</v>
      </c>
      <c r="W24" s="686"/>
      <c r="X24" s="685" t="s">
        <v>48</v>
      </c>
      <c r="Y24" s="686"/>
      <c r="Z24" s="685" t="s">
        <v>49</v>
      </c>
      <c r="AA24" s="687"/>
      <c r="AB24" s="690" t="s">
        <v>19</v>
      </c>
    </row>
    <row r="25" spans="1:28" ht="16" thickBot="1">
      <c r="B25" s="199" t="s">
        <v>77</v>
      </c>
      <c r="C25" s="200" t="s">
        <v>97</v>
      </c>
      <c r="D25" s="201" t="s">
        <v>52</v>
      </c>
      <c r="E25" s="202" t="s">
        <v>68</v>
      </c>
      <c r="F25" s="202" t="s">
        <v>52</v>
      </c>
      <c r="G25" s="202" t="s">
        <v>68</v>
      </c>
      <c r="H25" s="202" t="s">
        <v>52</v>
      </c>
      <c r="I25" s="202" t="s">
        <v>68</v>
      </c>
      <c r="J25" s="202" t="s">
        <v>52</v>
      </c>
      <c r="K25" s="202" t="s">
        <v>68</v>
      </c>
      <c r="L25" s="202" t="s">
        <v>52</v>
      </c>
      <c r="M25" s="202" t="s">
        <v>68</v>
      </c>
      <c r="N25" s="202" t="s">
        <v>52</v>
      </c>
      <c r="O25" s="202" t="s">
        <v>68</v>
      </c>
      <c r="P25" s="202" t="s">
        <v>52</v>
      </c>
      <c r="Q25" s="202" t="s">
        <v>68</v>
      </c>
      <c r="R25" s="202" t="s">
        <v>52</v>
      </c>
      <c r="S25" s="202" t="s">
        <v>68</v>
      </c>
      <c r="T25" s="202" t="s">
        <v>52</v>
      </c>
      <c r="U25" s="202" t="s">
        <v>68</v>
      </c>
      <c r="V25" s="202" t="s">
        <v>52</v>
      </c>
      <c r="W25" s="202" t="s">
        <v>68</v>
      </c>
      <c r="X25" s="202" t="s">
        <v>52</v>
      </c>
      <c r="Y25" s="202" t="s">
        <v>68</v>
      </c>
      <c r="Z25" s="202" t="s">
        <v>52</v>
      </c>
      <c r="AA25" s="203" t="s">
        <v>68</v>
      </c>
      <c r="AB25" s="691"/>
    </row>
    <row r="26" spans="1:28" ht="17" thickBot="1">
      <c r="A26" s="204" t="s">
        <v>87</v>
      </c>
      <c r="B26" s="433" t="s">
        <v>310</v>
      </c>
      <c r="C26" s="205">
        <v>50000</v>
      </c>
      <c r="D26" s="222">
        <v>0</v>
      </c>
      <c r="E26" s="210">
        <f t="shared" ref="E26:E29" si="23">D26*C26</f>
        <v>0</v>
      </c>
      <c r="F26" s="223">
        <v>0</v>
      </c>
      <c r="G26" s="210">
        <f t="shared" ref="G26:G29" si="24">F26*C26</f>
        <v>0</v>
      </c>
      <c r="H26" s="223">
        <v>1</v>
      </c>
      <c r="I26" s="210">
        <f t="shared" ref="I26:I30" si="25">H26*C26</f>
        <v>50000</v>
      </c>
      <c r="J26" s="223">
        <v>1</v>
      </c>
      <c r="K26" s="210">
        <f t="shared" ref="K26:K29" si="26">J26*C26</f>
        <v>50000</v>
      </c>
      <c r="L26" s="223">
        <v>1</v>
      </c>
      <c r="M26" s="210">
        <f t="shared" ref="M26:M29" si="27">L26*C26</f>
        <v>50000</v>
      </c>
      <c r="N26" s="223">
        <v>1</v>
      </c>
      <c r="O26" s="210">
        <f t="shared" ref="O26:O29" si="28">N26*C26</f>
        <v>50000</v>
      </c>
      <c r="P26" s="223">
        <v>1</v>
      </c>
      <c r="Q26" s="210">
        <f t="shared" ref="Q26:Q29" si="29">P26*C26</f>
        <v>50000</v>
      </c>
      <c r="R26" s="223">
        <v>1</v>
      </c>
      <c r="S26" s="210">
        <f t="shared" ref="S26:S29" si="30">R26*C26</f>
        <v>50000</v>
      </c>
      <c r="T26" s="223">
        <v>1</v>
      </c>
      <c r="U26" s="210">
        <f t="shared" ref="U26:U29" si="31">T26*C26</f>
        <v>50000</v>
      </c>
      <c r="V26" s="223">
        <v>1</v>
      </c>
      <c r="W26" s="210">
        <f t="shared" ref="W26:W29" si="32">V26*C26</f>
        <v>50000</v>
      </c>
      <c r="X26" s="223">
        <v>1</v>
      </c>
      <c r="Y26" s="210">
        <f t="shared" ref="Y26:Y29" si="33">X26*C26</f>
        <v>50000</v>
      </c>
      <c r="Z26" s="223">
        <v>0</v>
      </c>
      <c r="AA26" s="224">
        <f t="shared" ref="AA26:AA30" si="34">Z26*C26</f>
        <v>0</v>
      </c>
      <c r="AB26" s="225">
        <f t="shared" ref="AB26:AB29" si="35">E26+G26+I26+K26+M26+O26+Q26+S26++U26+W26+Y26+AA26</f>
        <v>450000</v>
      </c>
    </row>
    <row r="27" spans="1:28">
      <c r="A27" s="682" t="s">
        <v>99</v>
      </c>
      <c r="B27" s="211" t="s">
        <v>305</v>
      </c>
      <c r="C27" s="196">
        <v>6000</v>
      </c>
      <c r="D27" s="194">
        <v>0</v>
      </c>
      <c r="E27" s="157">
        <f t="shared" si="23"/>
        <v>0</v>
      </c>
      <c r="F27" s="194">
        <v>0</v>
      </c>
      <c r="G27" s="157">
        <f t="shared" si="24"/>
        <v>0</v>
      </c>
      <c r="H27" s="194">
        <v>10</v>
      </c>
      <c r="I27" s="157">
        <f t="shared" si="25"/>
        <v>60000</v>
      </c>
      <c r="J27" s="194">
        <v>0</v>
      </c>
      <c r="K27" s="157">
        <f t="shared" si="26"/>
        <v>0</v>
      </c>
      <c r="L27" s="194">
        <v>0</v>
      </c>
      <c r="M27" s="157">
        <f t="shared" si="27"/>
        <v>0</v>
      </c>
      <c r="N27" s="194">
        <v>0</v>
      </c>
      <c r="O27" s="157">
        <f t="shared" si="28"/>
        <v>0</v>
      </c>
      <c r="P27" s="193">
        <v>0</v>
      </c>
      <c r="Q27" s="157">
        <f t="shared" si="29"/>
        <v>0</v>
      </c>
      <c r="R27" s="194">
        <v>0</v>
      </c>
      <c r="S27" s="157">
        <f t="shared" si="30"/>
        <v>0</v>
      </c>
      <c r="T27" s="194">
        <v>0</v>
      </c>
      <c r="U27" s="157">
        <f t="shared" si="31"/>
        <v>0</v>
      </c>
      <c r="V27" s="194">
        <v>0</v>
      </c>
      <c r="W27" s="157">
        <f t="shared" si="32"/>
        <v>0</v>
      </c>
      <c r="X27" s="194">
        <v>0</v>
      </c>
      <c r="Y27" s="157">
        <f t="shared" si="33"/>
        <v>0</v>
      </c>
      <c r="Z27" s="194">
        <f>25*2</f>
        <v>50</v>
      </c>
      <c r="AA27" s="158">
        <f t="shared" si="34"/>
        <v>300000</v>
      </c>
      <c r="AB27" s="218">
        <f t="shared" si="35"/>
        <v>360000</v>
      </c>
    </row>
    <row r="28" spans="1:28">
      <c r="A28" s="683"/>
      <c r="B28" s="212" t="s">
        <v>306</v>
      </c>
      <c r="C28" s="197">
        <v>600</v>
      </c>
      <c r="D28" s="195">
        <v>0</v>
      </c>
      <c r="E28" s="146">
        <f t="shared" si="23"/>
        <v>0</v>
      </c>
      <c r="F28" s="195">
        <v>0</v>
      </c>
      <c r="G28" s="146">
        <f t="shared" si="24"/>
        <v>0</v>
      </c>
      <c r="H28" s="195">
        <v>50</v>
      </c>
      <c r="I28" s="146">
        <f t="shared" si="25"/>
        <v>30000</v>
      </c>
      <c r="J28" s="195">
        <v>0</v>
      </c>
      <c r="K28" s="146">
        <f t="shared" si="26"/>
        <v>0</v>
      </c>
      <c r="L28" s="195">
        <v>0</v>
      </c>
      <c r="M28" s="146">
        <f t="shared" si="27"/>
        <v>0</v>
      </c>
      <c r="N28" s="195">
        <v>0</v>
      </c>
      <c r="O28" s="146">
        <f t="shared" si="28"/>
        <v>0</v>
      </c>
      <c r="P28" s="192">
        <v>0</v>
      </c>
      <c r="Q28" s="146">
        <f t="shared" si="29"/>
        <v>0</v>
      </c>
      <c r="R28" s="195">
        <v>0</v>
      </c>
      <c r="S28" s="146">
        <f t="shared" si="30"/>
        <v>0</v>
      </c>
      <c r="T28" s="195">
        <v>0</v>
      </c>
      <c r="U28" s="146">
        <f t="shared" si="31"/>
        <v>0</v>
      </c>
      <c r="V28" s="195">
        <v>0</v>
      </c>
      <c r="W28" s="146">
        <f t="shared" si="32"/>
        <v>0</v>
      </c>
      <c r="X28" s="195">
        <v>0</v>
      </c>
      <c r="Y28" s="146">
        <f t="shared" si="33"/>
        <v>0</v>
      </c>
      <c r="Z28" s="195">
        <f>2*100</f>
        <v>200</v>
      </c>
      <c r="AA28" s="148">
        <f t="shared" si="34"/>
        <v>120000</v>
      </c>
      <c r="AB28" s="215">
        <f t="shared" si="35"/>
        <v>150000</v>
      </c>
    </row>
    <row r="29" spans="1:28" ht="16">
      <c r="A29" s="683"/>
      <c r="B29" s="198" t="s">
        <v>307</v>
      </c>
      <c r="C29" s="197">
        <v>9000</v>
      </c>
      <c r="D29" s="195">
        <v>0</v>
      </c>
      <c r="E29" s="146">
        <f t="shared" si="23"/>
        <v>0</v>
      </c>
      <c r="F29" s="195">
        <v>0</v>
      </c>
      <c r="G29" s="146">
        <f t="shared" si="24"/>
        <v>0</v>
      </c>
      <c r="H29" s="195">
        <v>10</v>
      </c>
      <c r="I29" s="146">
        <f t="shared" si="25"/>
        <v>90000</v>
      </c>
      <c r="J29" s="195">
        <v>0</v>
      </c>
      <c r="K29" s="146">
        <f t="shared" si="26"/>
        <v>0</v>
      </c>
      <c r="L29" s="195">
        <v>0</v>
      </c>
      <c r="M29" s="146">
        <f t="shared" si="27"/>
        <v>0</v>
      </c>
      <c r="N29" s="195">
        <v>0</v>
      </c>
      <c r="O29" s="146">
        <f t="shared" si="28"/>
        <v>0</v>
      </c>
      <c r="P29" s="192">
        <v>0</v>
      </c>
      <c r="Q29" s="146">
        <f t="shared" si="29"/>
        <v>0</v>
      </c>
      <c r="R29" s="195">
        <v>0</v>
      </c>
      <c r="S29" s="146">
        <f t="shared" si="30"/>
        <v>0</v>
      </c>
      <c r="T29" s="195">
        <v>0</v>
      </c>
      <c r="U29" s="146">
        <f t="shared" si="31"/>
        <v>0</v>
      </c>
      <c r="V29" s="195">
        <v>0</v>
      </c>
      <c r="W29" s="146">
        <f t="shared" si="32"/>
        <v>0</v>
      </c>
      <c r="X29" s="195">
        <v>0</v>
      </c>
      <c r="Y29" s="146">
        <f t="shared" si="33"/>
        <v>0</v>
      </c>
      <c r="Z29" s="195">
        <f>2*20</f>
        <v>40</v>
      </c>
      <c r="AA29" s="148">
        <f t="shared" si="34"/>
        <v>360000</v>
      </c>
      <c r="AB29" s="215">
        <f t="shared" si="35"/>
        <v>450000</v>
      </c>
    </row>
    <row r="30" spans="1:28" ht="17" thickBot="1">
      <c r="A30" s="684"/>
      <c r="B30" s="207" t="s">
        <v>308</v>
      </c>
      <c r="C30" s="197">
        <v>900</v>
      </c>
      <c r="D30" s="195">
        <v>0</v>
      </c>
      <c r="E30" s="167">
        <v>0</v>
      </c>
      <c r="F30" s="195">
        <v>0</v>
      </c>
      <c r="G30" s="167">
        <v>0</v>
      </c>
      <c r="H30" s="195">
        <v>20</v>
      </c>
      <c r="I30" s="146">
        <f t="shared" si="25"/>
        <v>18000</v>
      </c>
      <c r="J30" s="195">
        <v>0</v>
      </c>
      <c r="K30" s="167">
        <v>0</v>
      </c>
      <c r="L30" s="195">
        <v>0</v>
      </c>
      <c r="M30" s="167">
        <v>0</v>
      </c>
      <c r="N30" s="195">
        <v>0</v>
      </c>
      <c r="O30" s="167">
        <v>0</v>
      </c>
      <c r="P30" s="167">
        <v>0</v>
      </c>
      <c r="Q30" s="167">
        <v>0</v>
      </c>
      <c r="R30" s="195">
        <v>0</v>
      </c>
      <c r="S30" s="167">
        <v>0</v>
      </c>
      <c r="T30" s="195">
        <v>0</v>
      </c>
      <c r="U30" s="167">
        <v>0</v>
      </c>
      <c r="V30" s="195">
        <v>0</v>
      </c>
      <c r="W30" s="167">
        <v>0</v>
      </c>
      <c r="X30" s="195">
        <v>0</v>
      </c>
      <c r="Y30" s="167">
        <v>0</v>
      </c>
      <c r="Z30" s="195">
        <f>2*40</f>
        <v>80</v>
      </c>
      <c r="AA30" s="148">
        <f t="shared" si="34"/>
        <v>72000</v>
      </c>
      <c r="AB30" s="216">
        <f>E30+G30+I30+K30+M30+O30+Q30+S30+U30+W30+Y30+AA30</f>
        <v>90000</v>
      </c>
    </row>
    <row r="31" spans="1:28" ht="17" thickBot="1">
      <c r="A31" s="432" t="s">
        <v>359</v>
      </c>
      <c r="B31" s="498" t="s">
        <v>360</v>
      </c>
      <c r="C31" s="499">
        <v>0.02</v>
      </c>
      <c r="D31" s="497">
        <f>'Proy. ventas'!E77</f>
        <v>6796</v>
      </c>
      <c r="E31" s="210">
        <f>'Proy. ventas'!F76*$C$19</f>
        <v>190828.79999999999</v>
      </c>
      <c r="F31" s="497">
        <f>'Proy. ventas'!G77</f>
        <v>6796</v>
      </c>
      <c r="G31" s="210">
        <f>'Proy. ventas'!H76*$C$19</f>
        <v>190828.79999999999</v>
      </c>
      <c r="H31" s="497">
        <f>'Proy. ventas'!I77</f>
        <v>13592</v>
      </c>
      <c r="I31" s="210">
        <f>'Proy. ventas'!J76*$C$19</f>
        <v>381657.59999999998</v>
      </c>
      <c r="J31" s="497">
        <f>'Proy. ventas'!K77</f>
        <v>13592</v>
      </c>
      <c r="K31" s="210">
        <f>'Proy. ventas'!L76*$C$19</f>
        <v>381657.59999999998</v>
      </c>
      <c r="L31" s="497">
        <f>'Proy. ventas'!M77</f>
        <v>13592</v>
      </c>
      <c r="M31" s="210">
        <f>'Proy. ventas'!N76*$C$19</f>
        <v>381657.59999999998</v>
      </c>
      <c r="N31" s="497">
        <f>'Proy. ventas'!O77</f>
        <v>13592</v>
      </c>
      <c r="O31" s="210">
        <f>'Proy. ventas'!P76*$C$19</f>
        <v>381657.59999999998</v>
      </c>
      <c r="P31" s="497">
        <f>'Proy. ventas'!Q77</f>
        <v>16990</v>
      </c>
      <c r="Q31" s="210">
        <f>'Proy. ventas'!R76*$C$19</f>
        <v>477071.99999999994</v>
      </c>
      <c r="R31" s="497">
        <f>'Proy. ventas'!S77</f>
        <v>16990</v>
      </c>
      <c r="S31" s="210">
        <f>'Proy. ventas'!T76*$C$19</f>
        <v>477071.99999999994</v>
      </c>
      <c r="T31" s="497">
        <f>'Proy. ventas'!U77</f>
        <v>16990</v>
      </c>
      <c r="U31" s="210">
        <f>'Proy. ventas'!V76*$C$19</f>
        <v>477071.99999999994</v>
      </c>
      <c r="V31" s="497">
        <f>'Proy. ventas'!W77</f>
        <v>20388</v>
      </c>
      <c r="W31" s="210">
        <f>'Proy. ventas'!X76*$C$19</f>
        <v>572486.39999999991</v>
      </c>
      <c r="X31" s="497">
        <f>'Proy. ventas'!Y77</f>
        <v>20388</v>
      </c>
      <c r="Y31" s="210">
        <f>'Proy. ventas'!Z76*$C$19</f>
        <v>572486.39999999991</v>
      </c>
      <c r="Z31" s="497">
        <f>'Proy. ventas'!AA77</f>
        <v>10194</v>
      </c>
      <c r="AA31" s="210">
        <f>'Proy. ventas'!AB76*$C$19</f>
        <v>286243.19999999995</v>
      </c>
      <c r="AB31" s="225"/>
    </row>
    <row r="32" spans="1:28" ht="16" thickBot="1">
      <c r="B32" s="214" t="s">
        <v>98</v>
      </c>
      <c r="C32" s="208"/>
      <c r="D32" s="221"/>
      <c r="E32" s="219">
        <f t="shared" ref="E32" si="36">SUM(E26:E31)</f>
        <v>190828.79999999999</v>
      </c>
      <c r="F32" s="221"/>
      <c r="G32" s="219">
        <f t="shared" ref="G32" si="37">SUM(G26:G31)</f>
        <v>190828.79999999999</v>
      </c>
      <c r="H32" s="221"/>
      <c r="I32" s="219">
        <f>SUM(I26:I31)</f>
        <v>629657.59999999998</v>
      </c>
      <c r="J32" s="221"/>
      <c r="K32" s="219">
        <f t="shared" ref="K32" si="38">SUM(K26:K31)</f>
        <v>431657.6</v>
      </c>
      <c r="L32" s="221"/>
      <c r="M32" s="219">
        <f t="shared" ref="M32" si="39">SUM(M26:M31)</f>
        <v>431657.6</v>
      </c>
      <c r="N32" s="221"/>
      <c r="O32" s="219">
        <f t="shared" ref="O32" si="40">SUM(O26:O31)</f>
        <v>431657.6</v>
      </c>
      <c r="P32" s="221"/>
      <c r="Q32" s="219">
        <f t="shared" ref="Q32" si="41">SUM(Q26:Q31)</f>
        <v>527072</v>
      </c>
      <c r="R32" s="221"/>
      <c r="S32" s="219">
        <f t="shared" ref="S32" si="42">SUM(S26:S31)</f>
        <v>527072</v>
      </c>
      <c r="T32" s="221"/>
      <c r="U32" s="219">
        <f t="shared" ref="U32" si="43">SUM(U26:U31)</f>
        <v>527072</v>
      </c>
      <c r="V32" s="221"/>
      <c r="W32" s="219">
        <f t="shared" ref="W32" si="44">SUM(W26:W31)</f>
        <v>622486.39999999991</v>
      </c>
      <c r="X32" s="221"/>
      <c r="Y32" s="219">
        <f t="shared" ref="Y32" si="45">SUM(Y26:Y31)</f>
        <v>622486.39999999991</v>
      </c>
      <c r="Z32" s="221"/>
      <c r="AA32" s="219">
        <f t="shared" ref="AA32" si="46">SUM(AA26:AA31)</f>
        <v>1138243.2</v>
      </c>
      <c r="AB32" s="213">
        <f>SUM(E32:AA32)</f>
        <v>6270720.0000000009</v>
      </c>
    </row>
    <row r="34" spans="1:28" ht="16" thickBot="1"/>
    <row r="35" spans="1:28" ht="27" thickBot="1">
      <c r="B35" s="515" t="s">
        <v>309</v>
      </c>
      <c r="C35" s="516"/>
      <c r="D35" s="516"/>
      <c r="E35" s="516"/>
      <c r="F35" s="516"/>
      <c r="G35" s="516"/>
      <c r="H35" s="516"/>
      <c r="I35" s="516"/>
      <c r="J35" s="516"/>
      <c r="K35" s="516"/>
      <c r="L35" s="516"/>
      <c r="M35" s="516"/>
      <c r="N35" s="516"/>
      <c r="O35" s="516"/>
      <c r="P35" s="516"/>
      <c r="Q35" s="516"/>
      <c r="R35" s="516"/>
      <c r="S35" s="516"/>
      <c r="T35" s="516"/>
      <c r="U35" s="516"/>
      <c r="V35" s="516"/>
      <c r="W35" s="516"/>
      <c r="X35" s="516"/>
      <c r="Y35" s="516"/>
      <c r="Z35" s="516"/>
      <c r="AA35" s="516"/>
      <c r="AB35" s="517"/>
    </row>
    <row r="36" spans="1:28">
      <c r="B36" s="688" t="s">
        <v>55</v>
      </c>
      <c r="C36" s="689"/>
      <c r="D36" s="687" t="s">
        <v>38</v>
      </c>
      <c r="E36" s="686"/>
      <c r="F36" s="685" t="s">
        <v>39</v>
      </c>
      <c r="G36" s="686"/>
      <c r="H36" s="685" t="s">
        <v>40</v>
      </c>
      <c r="I36" s="686"/>
      <c r="J36" s="685" t="s">
        <v>41</v>
      </c>
      <c r="K36" s="686"/>
      <c r="L36" s="685" t="s">
        <v>42</v>
      </c>
      <c r="M36" s="686"/>
      <c r="N36" s="685" t="s">
        <v>43</v>
      </c>
      <c r="O36" s="686"/>
      <c r="P36" s="685" t="s">
        <v>44</v>
      </c>
      <c r="Q36" s="686"/>
      <c r="R36" s="685" t="s">
        <v>45</v>
      </c>
      <c r="S36" s="686"/>
      <c r="T36" s="685" t="s">
        <v>46</v>
      </c>
      <c r="U36" s="686"/>
      <c r="V36" s="685" t="s">
        <v>47</v>
      </c>
      <c r="W36" s="686"/>
      <c r="X36" s="685" t="s">
        <v>48</v>
      </c>
      <c r="Y36" s="686"/>
      <c r="Z36" s="685" t="s">
        <v>49</v>
      </c>
      <c r="AA36" s="687"/>
      <c r="AB36" s="690" t="s">
        <v>19</v>
      </c>
    </row>
    <row r="37" spans="1:28" ht="16" thickBot="1">
      <c r="B37" s="199" t="s">
        <v>77</v>
      </c>
      <c r="C37" s="200" t="s">
        <v>97</v>
      </c>
      <c r="D37" s="201" t="s">
        <v>52</v>
      </c>
      <c r="E37" s="202" t="s">
        <v>68</v>
      </c>
      <c r="F37" s="202" t="s">
        <v>52</v>
      </c>
      <c r="G37" s="202" t="s">
        <v>68</v>
      </c>
      <c r="H37" s="202" t="s">
        <v>52</v>
      </c>
      <c r="I37" s="202" t="s">
        <v>68</v>
      </c>
      <c r="J37" s="202" t="s">
        <v>52</v>
      </c>
      <c r="K37" s="202" t="s">
        <v>68</v>
      </c>
      <c r="L37" s="202" t="s">
        <v>52</v>
      </c>
      <c r="M37" s="202" t="s">
        <v>68</v>
      </c>
      <c r="N37" s="202" t="s">
        <v>52</v>
      </c>
      <c r="O37" s="202" t="s">
        <v>68</v>
      </c>
      <c r="P37" s="202" t="s">
        <v>52</v>
      </c>
      <c r="Q37" s="202" t="s">
        <v>68</v>
      </c>
      <c r="R37" s="202" t="s">
        <v>52</v>
      </c>
      <c r="S37" s="202" t="s">
        <v>68</v>
      </c>
      <c r="T37" s="202" t="s">
        <v>52</v>
      </c>
      <c r="U37" s="202" t="s">
        <v>68</v>
      </c>
      <c r="V37" s="202" t="s">
        <v>52</v>
      </c>
      <c r="W37" s="202" t="s">
        <v>68</v>
      </c>
      <c r="X37" s="202" t="s">
        <v>52</v>
      </c>
      <c r="Y37" s="202" t="s">
        <v>68</v>
      </c>
      <c r="Z37" s="202" t="s">
        <v>52</v>
      </c>
      <c r="AA37" s="203" t="s">
        <v>68</v>
      </c>
      <c r="AB37" s="691"/>
    </row>
    <row r="38" spans="1:28" ht="17" thickBot="1">
      <c r="A38" s="204" t="s">
        <v>87</v>
      </c>
      <c r="B38" s="433" t="s">
        <v>310</v>
      </c>
      <c r="C38" s="205">
        <v>50000</v>
      </c>
      <c r="D38" s="222">
        <v>0</v>
      </c>
      <c r="E38" s="210">
        <f t="shared" ref="E38:E41" si="47">D38*C38</f>
        <v>0</v>
      </c>
      <c r="F38" s="223">
        <v>0</v>
      </c>
      <c r="G38" s="210">
        <f t="shared" ref="G38:G41" si="48">F38*C38</f>
        <v>0</v>
      </c>
      <c r="H38" s="223">
        <v>1</v>
      </c>
      <c r="I38" s="210">
        <f t="shared" ref="I38:I42" si="49">H38*C38</f>
        <v>50000</v>
      </c>
      <c r="J38" s="223">
        <v>1</v>
      </c>
      <c r="K38" s="210">
        <f t="shared" ref="K38:K41" si="50">J38*C38</f>
        <v>50000</v>
      </c>
      <c r="L38" s="223">
        <v>1</v>
      </c>
      <c r="M38" s="210">
        <f t="shared" ref="M38:M41" si="51">L38*C38</f>
        <v>50000</v>
      </c>
      <c r="N38" s="223">
        <v>1</v>
      </c>
      <c r="O38" s="210">
        <f t="shared" ref="O38:O41" si="52">N38*C38</f>
        <v>50000</v>
      </c>
      <c r="P38" s="223">
        <v>1</v>
      </c>
      <c r="Q38" s="210">
        <f t="shared" ref="Q38:Q41" si="53">P38*C38</f>
        <v>50000</v>
      </c>
      <c r="R38" s="223">
        <v>1</v>
      </c>
      <c r="S38" s="210">
        <f t="shared" ref="S38:S41" si="54">R38*C38</f>
        <v>50000</v>
      </c>
      <c r="T38" s="223">
        <v>1</v>
      </c>
      <c r="U38" s="210">
        <f t="shared" ref="U38:U41" si="55">T38*C38</f>
        <v>50000</v>
      </c>
      <c r="V38" s="223">
        <v>1</v>
      </c>
      <c r="W38" s="210">
        <f t="shared" ref="W38:W41" si="56">V38*C38</f>
        <v>50000</v>
      </c>
      <c r="X38" s="223">
        <v>1</v>
      </c>
      <c r="Y38" s="210">
        <f t="shared" ref="Y38:Y41" si="57">X38*C38</f>
        <v>50000</v>
      </c>
      <c r="Z38" s="223">
        <v>0</v>
      </c>
      <c r="AA38" s="224">
        <f t="shared" ref="AA38:AA42" si="58">Z38*C38</f>
        <v>0</v>
      </c>
      <c r="AB38" s="225">
        <f t="shared" ref="AB38:AB41" si="59">E38+G38+I38+K38+M38+O38+Q38+S38++U38+W38+Y38+AA38</f>
        <v>450000</v>
      </c>
    </row>
    <row r="39" spans="1:28">
      <c r="A39" s="682" t="s">
        <v>99</v>
      </c>
      <c r="B39" s="211" t="s">
        <v>305</v>
      </c>
      <c r="C39" s="196">
        <v>6000</v>
      </c>
      <c r="D39" s="194">
        <v>0</v>
      </c>
      <c r="E39" s="157">
        <f t="shared" si="47"/>
        <v>0</v>
      </c>
      <c r="F39" s="194">
        <v>0</v>
      </c>
      <c r="G39" s="157">
        <f t="shared" si="48"/>
        <v>0</v>
      </c>
      <c r="H39" s="194">
        <v>10</v>
      </c>
      <c r="I39" s="157">
        <f t="shared" si="49"/>
        <v>60000</v>
      </c>
      <c r="J39" s="194">
        <v>0</v>
      </c>
      <c r="K39" s="157">
        <f t="shared" si="50"/>
        <v>0</v>
      </c>
      <c r="L39" s="194">
        <v>0</v>
      </c>
      <c r="M39" s="157">
        <f t="shared" si="51"/>
        <v>0</v>
      </c>
      <c r="N39" s="194">
        <v>0</v>
      </c>
      <c r="O39" s="157">
        <f t="shared" si="52"/>
        <v>0</v>
      </c>
      <c r="P39" s="194">
        <v>0</v>
      </c>
      <c r="Q39" s="157">
        <f t="shared" si="53"/>
        <v>0</v>
      </c>
      <c r="R39" s="194">
        <v>0</v>
      </c>
      <c r="S39" s="157">
        <f t="shared" si="54"/>
        <v>0</v>
      </c>
      <c r="T39" s="194">
        <v>0</v>
      </c>
      <c r="U39" s="157">
        <f t="shared" si="55"/>
        <v>0</v>
      </c>
      <c r="V39" s="194">
        <v>0</v>
      </c>
      <c r="W39" s="157">
        <f t="shared" si="56"/>
        <v>0</v>
      </c>
      <c r="X39" s="194">
        <v>0</v>
      </c>
      <c r="Y39" s="157">
        <f t="shared" si="57"/>
        <v>0</v>
      </c>
      <c r="Z39" s="194">
        <f>3*25</f>
        <v>75</v>
      </c>
      <c r="AA39" s="158">
        <f t="shared" si="58"/>
        <v>450000</v>
      </c>
      <c r="AB39" s="218">
        <f t="shared" si="59"/>
        <v>510000</v>
      </c>
    </row>
    <row r="40" spans="1:28">
      <c r="A40" s="683"/>
      <c r="B40" s="212" t="s">
        <v>306</v>
      </c>
      <c r="C40" s="197">
        <v>600</v>
      </c>
      <c r="D40" s="195">
        <v>0</v>
      </c>
      <c r="E40" s="146">
        <f t="shared" si="47"/>
        <v>0</v>
      </c>
      <c r="F40" s="195">
        <v>0</v>
      </c>
      <c r="G40" s="146">
        <f t="shared" si="48"/>
        <v>0</v>
      </c>
      <c r="H40" s="195">
        <v>50</v>
      </c>
      <c r="I40" s="146">
        <f t="shared" si="49"/>
        <v>30000</v>
      </c>
      <c r="J40" s="195">
        <v>0</v>
      </c>
      <c r="K40" s="146">
        <f t="shared" si="50"/>
        <v>0</v>
      </c>
      <c r="L40" s="195">
        <v>0</v>
      </c>
      <c r="M40" s="146">
        <f t="shared" si="51"/>
        <v>0</v>
      </c>
      <c r="N40" s="195">
        <v>0</v>
      </c>
      <c r="O40" s="146">
        <f t="shared" si="52"/>
        <v>0</v>
      </c>
      <c r="P40" s="195">
        <v>0</v>
      </c>
      <c r="Q40" s="146">
        <f t="shared" si="53"/>
        <v>0</v>
      </c>
      <c r="R40" s="195">
        <v>0</v>
      </c>
      <c r="S40" s="146">
        <f t="shared" si="54"/>
        <v>0</v>
      </c>
      <c r="T40" s="195">
        <v>0</v>
      </c>
      <c r="U40" s="146">
        <f t="shared" si="55"/>
        <v>0</v>
      </c>
      <c r="V40" s="195">
        <v>0</v>
      </c>
      <c r="W40" s="146">
        <f t="shared" si="56"/>
        <v>0</v>
      </c>
      <c r="X40" s="195">
        <v>0</v>
      </c>
      <c r="Y40" s="146">
        <f t="shared" si="57"/>
        <v>0</v>
      </c>
      <c r="Z40" s="195">
        <f>3*100</f>
        <v>300</v>
      </c>
      <c r="AA40" s="148">
        <f t="shared" si="58"/>
        <v>180000</v>
      </c>
      <c r="AB40" s="215">
        <f t="shared" si="59"/>
        <v>210000</v>
      </c>
    </row>
    <row r="41" spans="1:28" ht="16">
      <c r="A41" s="683"/>
      <c r="B41" s="198" t="s">
        <v>307</v>
      </c>
      <c r="C41" s="197">
        <v>9000</v>
      </c>
      <c r="D41" s="195">
        <v>0</v>
      </c>
      <c r="E41" s="146">
        <f t="shared" si="47"/>
        <v>0</v>
      </c>
      <c r="F41" s="195">
        <v>0</v>
      </c>
      <c r="G41" s="146">
        <f t="shared" si="48"/>
        <v>0</v>
      </c>
      <c r="H41" s="195">
        <v>10</v>
      </c>
      <c r="I41" s="146">
        <f t="shared" si="49"/>
        <v>90000</v>
      </c>
      <c r="J41" s="195">
        <v>0</v>
      </c>
      <c r="K41" s="146">
        <f t="shared" si="50"/>
        <v>0</v>
      </c>
      <c r="L41" s="195">
        <v>0</v>
      </c>
      <c r="M41" s="146">
        <f t="shared" si="51"/>
        <v>0</v>
      </c>
      <c r="N41" s="195">
        <v>0</v>
      </c>
      <c r="O41" s="146">
        <f t="shared" si="52"/>
        <v>0</v>
      </c>
      <c r="P41" s="195">
        <v>0</v>
      </c>
      <c r="Q41" s="146">
        <f t="shared" si="53"/>
        <v>0</v>
      </c>
      <c r="R41" s="195">
        <v>0</v>
      </c>
      <c r="S41" s="146">
        <f t="shared" si="54"/>
        <v>0</v>
      </c>
      <c r="T41" s="195">
        <v>0</v>
      </c>
      <c r="U41" s="146">
        <f t="shared" si="55"/>
        <v>0</v>
      </c>
      <c r="V41" s="195">
        <v>0</v>
      </c>
      <c r="W41" s="146">
        <f t="shared" si="56"/>
        <v>0</v>
      </c>
      <c r="X41" s="195">
        <v>0</v>
      </c>
      <c r="Y41" s="146">
        <f t="shared" si="57"/>
        <v>0</v>
      </c>
      <c r="Z41" s="195">
        <f>3*20</f>
        <v>60</v>
      </c>
      <c r="AA41" s="148">
        <f t="shared" si="58"/>
        <v>540000</v>
      </c>
      <c r="AB41" s="215">
        <f t="shared" si="59"/>
        <v>630000</v>
      </c>
    </row>
    <row r="42" spans="1:28" ht="17" thickBot="1">
      <c r="A42" s="684"/>
      <c r="B42" s="207" t="s">
        <v>308</v>
      </c>
      <c r="C42" s="197">
        <v>900</v>
      </c>
      <c r="D42" s="195">
        <v>0</v>
      </c>
      <c r="E42" s="167">
        <v>0</v>
      </c>
      <c r="F42" s="195">
        <v>0</v>
      </c>
      <c r="G42" s="167">
        <v>0</v>
      </c>
      <c r="H42" s="195">
        <v>20</v>
      </c>
      <c r="I42" s="146">
        <f t="shared" si="49"/>
        <v>18000</v>
      </c>
      <c r="J42" s="195">
        <v>0</v>
      </c>
      <c r="K42" s="167">
        <v>0</v>
      </c>
      <c r="L42" s="195">
        <v>0</v>
      </c>
      <c r="M42" s="167">
        <v>0</v>
      </c>
      <c r="N42" s="195">
        <v>0</v>
      </c>
      <c r="O42" s="167">
        <v>0</v>
      </c>
      <c r="P42" s="195">
        <v>0</v>
      </c>
      <c r="Q42" s="167">
        <v>0</v>
      </c>
      <c r="R42" s="195">
        <v>0</v>
      </c>
      <c r="S42" s="167">
        <v>0</v>
      </c>
      <c r="T42" s="195">
        <v>0</v>
      </c>
      <c r="U42" s="167">
        <v>0</v>
      </c>
      <c r="V42" s="195">
        <v>0</v>
      </c>
      <c r="W42" s="167">
        <v>0</v>
      </c>
      <c r="X42" s="195">
        <v>0</v>
      </c>
      <c r="Y42" s="167">
        <v>0</v>
      </c>
      <c r="Z42" s="195">
        <f>3*40</f>
        <v>120</v>
      </c>
      <c r="AA42" s="148">
        <f t="shared" si="58"/>
        <v>108000</v>
      </c>
      <c r="AB42" s="216">
        <f>E42+G42+I42+K42+M42+O42+Q42+S42+U42+W42+Y42+AA42</f>
        <v>126000</v>
      </c>
    </row>
    <row r="43" spans="1:28" ht="17" thickBot="1">
      <c r="A43" s="432" t="s">
        <v>359</v>
      </c>
      <c r="B43" s="498" t="s">
        <v>360</v>
      </c>
      <c r="C43" s="499">
        <v>0.02</v>
      </c>
      <c r="D43" s="497">
        <f>'Proy. ventas'!E128</f>
        <v>9064.7999999999993</v>
      </c>
      <c r="E43" s="210">
        <f>'Proy. ventas'!F127*$C$19</f>
        <v>286912.8</v>
      </c>
      <c r="F43" s="497">
        <f>'Proy. ventas'!G128</f>
        <v>9064.7999999999993</v>
      </c>
      <c r="G43" s="210">
        <f>'Proy. ventas'!H127*$C$19</f>
        <v>286912.8</v>
      </c>
      <c r="H43" s="497">
        <f>'Proy. ventas'!I128</f>
        <v>18129.599999999999</v>
      </c>
      <c r="I43" s="210">
        <f>'Proy. ventas'!J127*$C$19</f>
        <v>573825.6</v>
      </c>
      <c r="J43" s="497">
        <f>'Proy. ventas'!K128</f>
        <v>18129.599999999999</v>
      </c>
      <c r="K43" s="210">
        <f>'Proy. ventas'!L127*$C$19</f>
        <v>573825.6</v>
      </c>
      <c r="L43" s="497">
        <f>'Proy. ventas'!M128</f>
        <v>18129.599999999999</v>
      </c>
      <c r="M43" s="210">
        <f>'Proy. ventas'!N127*$C$19</f>
        <v>573825.6</v>
      </c>
      <c r="N43" s="497">
        <f>'Proy. ventas'!O128</f>
        <v>18129.599999999999</v>
      </c>
      <c r="O43" s="210">
        <f>'Proy. ventas'!P127*$C$19</f>
        <v>573825.6</v>
      </c>
      <c r="P43" s="497">
        <f>'Proy. ventas'!Q128</f>
        <v>22662</v>
      </c>
      <c r="Q43" s="210">
        <f>'Proy. ventas'!R127*$C$19</f>
        <v>717282</v>
      </c>
      <c r="R43" s="497">
        <f>'Proy. ventas'!S128</f>
        <v>22662</v>
      </c>
      <c r="S43" s="210">
        <f>'Proy. ventas'!T127*$C$19</f>
        <v>717282</v>
      </c>
      <c r="T43" s="497">
        <f>'Proy. ventas'!U128</f>
        <v>22662</v>
      </c>
      <c r="U43" s="210">
        <f>'Proy. ventas'!V127*$C$19</f>
        <v>717282</v>
      </c>
      <c r="V43" s="497">
        <f>'Proy. ventas'!W128</f>
        <v>27194.400000000001</v>
      </c>
      <c r="W43" s="210">
        <f>'Proy. ventas'!X127*$C$19</f>
        <v>860738.39999999991</v>
      </c>
      <c r="X43" s="497">
        <f>'Proy. ventas'!Y128</f>
        <v>27194.400000000001</v>
      </c>
      <c r="Y43" s="210">
        <f>'Proy. ventas'!Z127*$C$19</f>
        <v>860738.39999999991</v>
      </c>
      <c r="Z43" s="497">
        <f>'Proy. ventas'!AA128</f>
        <v>13597.2</v>
      </c>
      <c r="AA43" s="210">
        <f>'Proy. ventas'!AB127*$C$19</f>
        <v>430369.19999999995</v>
      </c>
      <c r="AB43" s="216">
        <f>E43+G43+I43+K43+M43+O43+Q43+S43+U43+W43+Y43+AA43</f>
        <v>7172820.0000000009</v>
      </c>
    </row>
    <row r="44" spans="1:28" ht="16" thickBot="1">
      <c r="B44" s="214" t="s">
        <v>98</v>
      </c>
      <c r="C44" s="208"/>
      <c r="D44" s="221"/>
      <c r="E44" s="219">
        <f t="shared" ref="E44" si="60">SUM(E38:E43)</f>
        <v>286912.8</v>
      </c>
      <c r="F44" s="221"/>
      <c r="G44" s="219">
        <f t="shared" ref="G44" si="61">SUM(G38:G43)</f>
        <v>286912.8</v>
      </c>
      <c r="H44" s="221"/>
      <c r="I44" s="219">
        <f>SUM(I38:I43)</f>
        <v>821825.6</v>
      </c>
      <c r="J44" s="221"/>
      <c r="K44" s="219">
        <f t="shared" ref="K44" si="62">SUM(K38:K43)</f>
        <v>623825.6</v>
      </c>
      <c r="L44" s="221"/>
      <c r="M44" s="219">
        <f t="shared" ref="M44" si="63">SUM(M38:M43)</f>
        <v>623825.6</v>
      </c>
      <c r="N44" s="221"/>
      <c r="O44" s="219">
        <f t="shared" ref="O44" si="64">SUM(O38:O43)</f>
        <v>623825.6</v>
      </c>
      <c r="P44" s="221"/>
      <c r="Q44" s="219">
        <f t="shared" ref="Q44" si="65">SUM(Q38:Q43)</f>
        <v>767282</v>
      </c>
      <c r="R44" s="221"/>
      <c r="S44" s="219">
        <f t="shared" ref="S44" si="66">SUM(S38:S43)</f>
        <v>767282</v>
      </c>
      <c r="T44" s="221"/>
      <c r="U44" s="219">
        <f t="shared" ref="U44" si="67">SUM(U38:U43)</f>
        <v>767282</v>
      </c>
      <c r="V44" s="221"/>
      <c r="W44" s="219">
        <f t="shared" ref="W44" si="68">SUM(W38:W43)</f>
        <v>910738.39999999991</v>
      </c>
      <c r="X44" s="221"/>
      <c r="Y44" s="219">
        <f t="shared" ref="Y44" si="69">SUM(Y38:Y43)</f>
        <v>910738.39999999991</v>
      </c>
      <c r="Z44" s="221"/>
      <c r="AA44" s="219">
        <f t="shared" ref="AA44" si="70">SUM(AA38:AA43)</f>
        <v>1708369.2</v>
      </c>
      <c r="AB44" s="213">
        <f>SUM(E44:AA44)</f>
        <v>9098820</v>
      </c>
    </row>
  </sheetData>
  <mergeCells count="50">
    <mergeCell ref="H4:J4"/>
    <mergeCell ref="B4:D4"/>
    <mergeCell ref="X12:Y12"/>
    <mergeCell ref="Z12:AA12"/>
    <mergeCell ref="B12:C12"/>
    <mergeCell ref="B11:AB11"/>
    <mergeCell ref="AB12:AB13"/>
    <mergeCell ref="L12:M12"/>
    <mergeCell ref="N12:O12"/>
    <mergeCell ref="P12:Q12"/>
    <mergeCell ref="R12:S12"/>
    <mergeCell ref="T12:U12"/>
    <mergeCell ref="V12:W12"/>
    <mergeCell ref="D12:E12"/>
    <mergeCell ref="F12:G12"/>
    <mergeCell ref="H12:I12"/>
    <mergeCell ref="J12:K12"/>
    <mergeCell ref="A15:A18"/>
    <mergeCell ref="B23:AB23"/>
    <mergeCell ref="B24:C24"/>
    <mergeCell ref="D24:E24"/>
    <mergeCell ref="F24:G24"/>
    <mergeCell ref="H24:I24"/>
    <mergeCell ref="J24:K24"/>
    <mergeCell ref="X24:Y24"/>
    <mergeCell ref="Z24:AA24"/>
    <mergeCell ref="AB24:AB25"/>
    <mergeCell ref="T24:U24"/>
    <mergeCell ref="V24:W24"/>
    <mergeCell ref="A27:A30"/>
    <mergeCell ref="L24:M24"/>
    <mergeCell ref="N24:O24"/>
    <mergeCell ref="P24:Q24"/>
    <mergeCell ref="R24:S24"/>
    <mergeCell ref="X36:Y36"/>
    <mergeCell ref="Z36:AA36"/>
    <mergeCell ref="B35:AB35"/>
    <mergeCell ref="B36:C36"/>
    <mergeCell ref="D36:E36"/>
    <mergeCell ref="F36:G36"/>
    <mergeCell ref="H36:I36"/>
    <mergeCell ref="J36:K36"/>
    <mergeCell ref="L36:M36"/>
    <mergeCell ref="N36:O36"/>
    <mergeCell ref="AB36:AB37"/>
    <mergeCell ref="A39:A42"/>
    <mergeCell ref="P36:Q36"/>
    <mergeCell ref="R36:S36"/>
    <mergeCell ref="T36:U36"/>
    <mergeCell ref="V36:W3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93"/>
  <sheetViews>
    <sheetView zoomScaleNormal="100" workbookViewId="0">
      <pane xSplit="2" ySplit="1" topLeftCell="O44" activePane="bottomRight" state="frozen"/>
      <selection pane="topRight" activeCell="C1" sqref="C1"/>
      <selection pane="bottomLeft" activeCell="A2" sqref="A2"/>
      <selection pane="bottomRight" activeCell="AB63" sqref="AB63"/>
    </sheetView>
  </sheetViews>
  <sheetFormatPr baseColWidth="10" defaultColWidth="11.5" defaultRowHeight="15"/>
  <cols>
    <col min="1" max="1" width="11.5" style="1"/>
    <col min="2" max="2" width="31" style="1" bestFit="1" customWidth="1"/>
    <col min="3" max="3" width="36.1640625" style="1" bestFit="1" customWidth="1"/>
    <col min="4" max="4" width="15.1640625" style="1" bestFit="1" customWidth="1"/>
    <col min="5" max="5" width="22" style="1" customWidth="1"/>
    <col min="6" max="6" width="23" style="1" customWidth="1"/>
    <col min="7" max="7" width="13.33203125" style="1" bestFit="1" customWidth="1"/>
    <col min="8" max="8" width="15.5" style="1" customWidth="1"/>
    <col min="9" max="9" width="15.6640625" style="1" bestFit="1" customWidth="1"/>
    <col min="10" max="10" width="15.1640625" style="1" bestFit="1" customWidth="1"/>
    <col min="11" max="11" width="16.6640625" style="1" bestFit="1" customWidth="1"/>
    <col min="12" max="12" width="21.33203125" style="1" customWidth="1"/>
    <col min="13" max="13" width="11.5" style="1"/>
    <col min="14" max="14" width="14.1640625" style="1" bestFit="1" customWidth="1"/>
    <col min="15" max="15" width="11.5" style="1"/>
    <col min="16" max="16" width="14.1640625" style="1" bestFit="1" customWidth="1"/>
    <col min="17" max="17" width="8.6640625" style="1" bestFit="1" customWidth="1"/>
    <col min="18" max="18" width="14.1640625" style="1" bestFit="1" customWidth="1"/>
    <col min="19" max="19" width="11.5" style="1"/>
    <col min="20" max="20" width="14.1640625" style="1" bestFit="1" customWidth="1"/>
    <col min="21" max="21" width="11.5" style="1"/>
    <col min="22" max="22" width="14.1640625" style="1" bestFit="1" customWidth="1"/>
    <col min="23" max="23" width="8.6640625" style="1" bestFit="1" customWidth="1"/>
    <col min="24" max="24" width="14.1640625" style="1" bestFit="1" customWidth="1"/>
    <col min="25" max="25" width="12.5" style="1" bestFit="1" customWidth="1"/>
    <col min="26" max="26" width="14.1640625" style="1" bestFit="1" customWidth="1"/>
    <col min="27" max="27" width="15.5" style="1" customWidth="1"/>
    <col min="28" max="28" width="13" style="1" bestFit="1" customWidth="1"/>
    <col min="29" max="29" width="12.5" style="1" bestFit="1" customWidth="1"/>
    <col min="30" max="30" width="13" style="1" bestFit="1" customWidth="1"/>
    <col min="31" max="16384" width="11.5" style="1"/>
  </cols>
  <sheetData>
    <row r="1" spans="1:31" customFormat="1" ht="58.5" customHeight="1">
      <c r="A1" s="373"/>
      <c r="B1" s="373"/>
      <c r="C1" s="373"/>
      <c r="D1" s="373"/>
      <c r="E1" s="380" t="s">
        <v>6</v>
      </c>
      <c r="F1" s="383"/>
      <c r="G1" s="383"/>
      <c r="H1" s="373"/>
      <c r="I1" s="373"/>
      <c r="J1" s="373"/>
      <c r="K1" s="373"/>
      <c r="L1" s="373"/>
      <c r="M1" s="373"/>
      <c r="N1" s="373"/>
      <c r="O1" s="373"/>
      <c r="P1" s="373"/>
      <c r="Q1" s="373"/>
      <c r="R1" s="373"/>
      <c r="S1" s="373"/>
      <c r="T1" s="373"/>
      <c r="U1" s="373"/>
      <c r="V1" s="373"/>
      <c r="W1" s="373"/>
      <c r="X1" s="373"/>
      <c r="Y1" s="373"/>
      <c r="Z1" s="373"/>
      <c r="AA1" s="373"/>
      <c r="AB1" s="373"/>
      <c r="AC1" s="373"/>
      <c r="AD1" s="373"/>
      <c r="AE1" s="373"/>
    </row>
    <row r="3" spans="1:31" ht="16" thickBot="1"/>
    <row r="4" spans="1:31" ht="27" thickBot="1">
      <c r="B4" s="505" t="s">
        <v>32</v>
      </c>
      <c r="C4" s="506"/>
      <c r="D4" s="507"/>
      <c r="E4" s="38"/>
      <c r="H4" s="505" t="s">
        <v>100</v>
      </c>
      <c r="I4" s="506"/>
      <c r="J4" s="507"/>
    </row>
    <row r="5" spans="1:31">
      <c r="B5" s="33">
        <v>2025</v>
      </c>
      <c r="C5" s="33">
        <v>2026</v>
      </c>
      <c r="D5" s="33">
        <v>2027</v>
      </c>
      <c r="E5" s="121"/>
      <c r="H5" s="61">
        <v>2025</v>
      </c>
      <c r="I5" s="33">
        <v>2026</v>
      </c>
      <c r="J5" s="62">
        <v>2027</v>
      </c>
    </row>
    <row r="6" spans="1:31" ht="16" thickBot="1">
      <c r="B6" s="39">
        <f>Hipótesis!C24</f>
        <v>0.04</v>
      </c>
      <c r="C6" s="39">
        <f>Hipótesis!C25</f>
        <v>0.06</v>
      </c>
      <c r="D6" s="39">
        <f>Hipótesis!C26</f>
        <v>0.09</v>
      </c>
      <c r="E6" s="188"/>
      <c r="H6" s="65">
        <f>$AA$56</f>
        <v>126808165.64</v>
      </c>
      <c r="I6" s="66">
        <f>$AA$73</f>
        <v>192749644.16499993</v>
      </c>
      <c r="J6" s="67">
        <f>$AA$89</f>
        <v>295467714.09999996</v>
      </c>
    </row>
    <row r="7" spans="1:31">
      <c r="B7" s="32">
        <f>Hipótesis!D24</f>
        <v>177120000</v>
      </c>
      <c r="C7" s="32">
        <f>Hipótesis!D25</f>
        <v>265680000</v>
      </c>
      <c r="D7" s="32">
        <f>Hipótesis!D26</f>
        <v>398520000</v>
      </c>
      <c r="E7" s="185"/>
    </row>
    <row r="10" spans="1:31" ht="16" thickBot="1"/>
    <row r="11" spans="1:31" ht="27" thickBot="1">
      <c r="B11" s="505" t="s">
        <v>114</v>
      </c>
      <c r="C11" s="506"/>
      <c r="D11" s="506"/>
      <c r="E11" s="506"/>
      <c r="F11" s="506"/>
      <c r="G11" s="506"/>
      <c r="H11" s="506"/>
      <c r="I11" s="506"/>
      <c r="J11" s="506"/>
      <c r="K11" s="506"/>
      <c r="L11" s="507"/>
    </row>
    <row r="12" spans="1:31" ht="17">
      <c r="B12" s="707" t="s">
        <v>107</v>
      </c>
      <c r="C12" s="705" t="s">
        <v>108</v>
      </c>
      <c r="D12" s="703" t="s">
        <v>109</v>
      </c>
      <c r="E12" s="233" t="s">
        <v>101</v>
      </c>
      <c r="F12" s="191" t="s">
        <v>102</v>
      </c>
      <c r="G12" s="191" t="s">
        <v>103</v>
      </c>
      <c r="H12" s="191" t="s">
        <v>104</v>
      </c>
      <c r="I12" s="226" t="s">
        <v>105</v>
      </c>
      <c r="J12" s="235" t="s">
        <v>106</v>
      </c>
      <c r="K12" s="701" t="s">
        <v>116</v>
      </c>
      <c r="L12" s="701" t="s">
        <v>117</v>
      </c>
    </row>
    <row r="13" spans="1:31" ht="17" thickBot="1">
      <c r="B13" s="708"/>
      <c r="C13" s="706"/>
      <c r="D13" s="704"/>
      <c r="E13" s="234">
        <v>0.1047</v>
      </c>
      <c r="F13" s="227">
        <v>1.54E-2</v>
      </c>
      <c r="G13" s="228">
        <v>0.06</v>
      </c>
      <c r="H13" s="227">
        <v>9.1999999999999998E-3</v>
      </c>
      <c r="I13" s="228" t="s">
        <v>115</v>
      </c>
      <c r="J13" s="236">
        <v>0.03</v>
      </c>
      <c r="K13" s="702"/>
      <c r="L13" s="702"/>
    </row>
    <row r="14" spans="1:31" ht="16" thickBot="1">
      <c r="B14" s="229" t="s">
        <v>110</v>
      </c>
      <c r="C14" s="230" t="s">
        <v>214</v>
      </c>
      <c r="D14" s="440">
        <v>3500000</v>
      </c>
      <c r="E14" s="172">
        <f>$D$14*E13</f>
        <v>366450</v>
      </c>
      <c r="F14" s="172">
        <f>$D$14*F13</f>
        <v>53900</v>
      </c>
      <c r="G14" s="172">
        <f>$D$14*G13</f>
        <v>210000</v>
      </c>
      <c r="H14" s="172">
        <f>$D$14*H13</f>
        <v>32200</v>
      </c>
      <c r="I14" s="172">
        <v>18.57</v>
      </c>
      <c r="J14" s="172">
        <f>$D$14*J13</f>
        <v>105000</v>
      </c>
      <c r="K14" s="172">
        <f>SUM(E14:J14)</f>
        <v>767568.57</v>
      </c>
      <c r="L14" s="441">
        <f>D14+K14</f>
        <v>4267568.57</v>
      </c>
    </row>
    <row r="15" spans="1:31">
      <c r="B15" s="698" t="s">
        <v>113</v>
      </c>
      <c r="C15" s="112" t="s">
        <v>312</v>
      </c>
      <c r="D15" s="435">
        <v>2500000</v>
      </c>
      <c r="E15" s="163">
        <f>$D$15*E13</f>
        <v>261750</v>
      </c>
      <c r="F15" s="163">
        <f>$D$15*F13</f>
        <v>38500</v>
      </c>
      <c r="G15" s="163">
        <f>$D$15*G13</f>
        <v>150000</v>
      </c>
      <c r="H15" s="163">
        <f>$D$15*H13</f>
        <v>23000</v>
      </c>
      <c r="I15" s="163">
        <v>18.57</v>
      </c>
      <c r="J15" s="163">
        <f>$D$15*J13</f>
        <v>75000</v>
      </c>
      <c r="K15" s="163">
        <f t="shared" ref="K15:K33" si="0">SUM(E15:J15)</f>
        <v>548268.57000000007</v>
      </c>
      <c r="L15" s="436">
        <f t="shared" ref="L15:L39" si="1">D15+K15</f>
        <v>3048268.5700000003</v>
      </c>
    </row>
    <row r="16" spans="1:31">
      <c r="B16" s="699"/>
      <c r="C16" s="112" t="s">
        <v>216</v>
      </c>
      <c r="D16" s="434">
        <v>1500000</v>
      </c>
      <c r="E16" s="146">
        <f>$D$16*E13</f>
        <v>157050</v>
      </c>
      <c r="F16" s="146">
        <f>$D$16*F13</f>
        <v>23100</v>
      </c>
      <c r="G16" s="146">
        <f>$D$16*G13</f>
        <v>90000</v>
      </c>
      <c r="H16" s="146">
        <f>$D$16*H13</f>
        <v>13800</v>
      </c>
      <c r="I16" s="146">
        <v>18.57</v>
      </c>
      <c r="J16" s="146">
        <f>$D$16*J13</f>
        <v>45000</v>
      </c>
      <c r="K16" s="146">
        <f t="shared" si="0"/>
        <v>328968.57</v>
      </c>
      <c r="L16" s="437">
        <f t="shared" si="1"/>
        <v>1828968.57</v>
      </c>
    </row>
    <row r="17" spans="2:12">
      <c r="B17" s="699"/>
      <c r="C17" s="112" t="s">
        <v>217</v>
      </c>
      <c r="D17" s="434">
        <v>1500000</v>
      </c>
      <c r="E17" s="146">
        <f>$D$17*E13</f>
        <v>157050</v>
      </c>
      <c r="F17" s="146">
        <f>$D$17*F13</f>
        <v>23100</v>
      </c>
      <c r="G17" s="146">
        <f>$D$17*G13</f>
        <v>90000</v>
      </c>
      <c r="H17" s="146">
        <f>$D$17*H13</f>
        <v>13800</v>
      </c>
      <c r="I17" s="146">
        <v>18.57</v>
      </c>
      <c r="J17" s="146">
        <f>$D$17*J13</f>
        <v>45000</v>
      </c>
      <c r="K17" s="146">
        <f t="shared" si="0"/>
        <v>328968.57</v>
      </c>
      <c r="L17" s="437">
        <f t="shared" si="1"/>
        <v>1828968.57</v>
      </c>
    </row>
    <row r="18" spans="2:12">
      <c r="B18" s="699"/>
      <c r="C18" s="112" t="s">
        <v>218</v>
      </c>
      <c r="D18" s="434">
        <v>1500000</v>
      </c>
      <c r="E18" s="146">
        <f>$D$18*E13</f>
        <v>157050</v>
      </c>
      <c r="F18" s="146">
        <f>$D$18*F13</f>
        <v>23100</v>
      </c>
      <c r="G18" s="146">
        <f>$D$18*G13</f>
        <v>90000</v>
      </c>
      <c r="H18" s="146">
        <f>$D$18*H13</f>
        <v>13800</v>
      </c>
      <c r="I18" s="146">
        <v>18.57</v>
      </c>
      <c r="J18" s="146">
        <f>$D$18*J13</f>
        <v>45000</v>
      </c>
      <c r="K18" s="146">
        <f t="shared" si="0"/>
        <v>328968.57</v>
      </c>
      <c r="L18" s="437">
        <f t="shared" si="1"/>
        <v>1828968.57</v>
      </c>
    </row>
    <row r="19" spans="2:12">
      <c r="B19" s="699"/>
      <c r="C19" s="112" t="s">
        <v>219</v>
      </c>
      <c r="D19" s="434">
        <v>1500000</v>
      </c>
      <c r="E19" s="146">
        <f>$D$19*E13</f>
        <v>157050</v>
      </c>
      <c r="F19" s="146">
        <f>$D$19*F13</f>
        <v>23100</v>
      </c>
      <c r="G19" s="146">
        <f>$D$19*G13</f>
        <v>90000</v>
      </c>
      <c r="H19" s="146">
        <f>$D$19*H13</f>
        <v>13800</v>
      </c>
      <c r="I19" s="146">
        <v>18.57</v>
      </c>
      <c r="J19" s="146">
        <f>$D$19*J13</f>
        <v>45000</v>
      </c>
      <c r="K19" s="146">
        <f t="shared" si="0"/>
        <v>328968.57</v>
      </c>
      <c r="L19" s="437">
        <f t="shared" si="1"/>
        <v>1828968.57</v>
      </c>
    </row>
    <row r="20" spans="2:12">
      <c r="B20" s="699"/>
      <c r="C20" s="112" t="s">
        <v>220</v>
      </c>
      <c r="D20" s="434">
        <v>1500000</v>
      </c>
      <c r="E20" s="146">
        <f>$D$20*E13</f>
        <v>157050</v>
      </c>
      <c r="F20" s="146">
        <f>$D$20*F13</f>
        <v>23100</v>
      </c>
      <c r="G20" s="146">
        <f>$D$20*G13</f>
        <v>90000</v>
      </c>
      <c r="H20" s="146">
        <f>$D$20*H13</f>
        <v>13800</v>
      </c>
      <c r="I20" s="146">
        <v>18.57</v>
      </c>
      <c r="J20" s="146">
        <f>$D$20*J13</f>
        <v>45000</v>
      </c>
      <c r="K20" s="146">
        <f t="shared" si="0"/>
        <v>328968.57</v>
      </c>
      <c r="L20" s="437">
        <f t="shared" si="1"/>
        <v>1828968.57</v>
      </c>
    </row>
    <row r="21" spans="2:12">
      <c r="B21" s="699"/>
      <c r="C21" s="112" t="s">
        <v>221</v>
      </c>
      <c r="D21" s="434">
        <v>1500000</v>
      </c>
      <c r="E21" s="146">
        <f>$D$21*E13</f>
        <v>157050</v>
      </c>
      <c r="F21" s="146">
        <f>$D$21*F13</f>
        <v>23100</v>
      </c>
      <c r="G21" s="146">
        <f>$D$21*G13</f>
        <v>90000</v>
      </c>
      <c r="H21" s="146">
        <f>$D$21*H13</f>
        <v>13800</v>
      </c>
      <c r="I21" s="146">
        <v>18.57</v>
      </c>
      <c r="J21" s="146">
        <f>$D$21*J13</f>
        <v>45000</v>
      </c>
      <c r="K21" s="146">
        <f t="shared" si="0"/>
        <v>328968.57</v>
      </c>
      <c r="L21" s="437">
        <f t="shared" si="1"/>
        <v>1828968.57</v>
      </c>
    </row>
    <row r="22" spans="2:12" ht="16" thickBot="1">
      <c r="B22" s="700"/>
      <c r="C22" s="232" t="s">
        <v>222</v>
      </c>
      <c r="D22" s="438">
        <v>2000000</v>
      </c>
      <c r="E22" s="167">
        <f>$D$22*E13</f>
        <v>209400</v>
      </c>
      <c r="F22" s="167">
        <f>$D$22*F13</f>
        <v>30800</v>
      </c>
      <c r="G22" s="167">
        <f>$D$22*G13</f>
        <v>120000</v>
      </c>
      <c r="H22" s="167">
        <f>$D$22*H13</f>
        <v>18400</v>
      </c>
      <c r="I22" s="167">
        <v>18.57</v>
      </c>
      <c r="J22" s="167">
        <f>$D$22*J13</f>
        <v>60000</v>
      </c>
      <c r="K22" s="167">
        <f t="shared" si="0"/>
        <v>438618.57</v>
      </c>
      <c r="L22" s="439">
        <f t="shared" si="1"/>
        <v>2438618.5699999998</v>
      </c>
    </row>
    <row r="23" spans="2:12">
      <c r="B23" s="698" t="s">
        <v>206</v>
      </c>
      <c r="C23" s="231" t="s">
        <v>223</v>
      </c>
      <c r="D23" s="435">
        <v>2500000</v>
      </c>
      <c r="E23" s="163">
        <f>$D$23*E13</f>
        <v>261750</v>
      </c>
      <c r="F23" s="163">
        <f>$D$23*F13</f>
        <v>38500</v>
      </c>
      <c r="G23" s="163">
        <f>$D$23*G13</f>
        <v>150000</v>
      </c>
      <c r="H23" s="163">
        <f>$D$23*H13</f>
        <v>23000</v>
      </c>
      <c r="I23" s="163">
        <v>18.57</v>
      </c>
      <c r="J23" s="163">
        <f>$D$23*J13</f>
        <v>75000</v>
      </c>
      <c r="K23" s="163">
        <f t="shared" si="0"/>
        <v>548268.57000000007</v>
      </c>
      <c r="L23" s="436">
        <f t="shared" si="1"/>
        <v>3048268.5700000003</v>
      </c>
    </row>
    <row r="24" spans="2:12">
      <c r="B24" s="699"/>
      <c r="C24" s="112" t="s">
        <v>224</v>
      </c>
      <c r="D24" s="442">
        <v>1500000</v>
      </c>
      <c r="E24" s="146">
        <f>$D$24*E13</f>
        <v>157050</v>
      </c>
      <c r="F24" s="146">
        <f>$D$24*F13</f>
        <v>23100</v>
      </c>
      <c r="G24" s="146">
        <f>$D$24*G13</f>
        <v>90000</v>
      </c>
      <c r="H24" s="146">
        <f>$D$24*H13</f>
        <v>13800</v>
      </c>
      <c r="I24" s="146">
        <v>18.57</v>
      </c>
      <c r="J24" s="146">
        <f>$D$24*J13</f>
        <v>45000</v>
      </c>
      <c r="K24" s="146">
        <f t="shared" si="0"/>
        <v>328968.57</v>
      </c>
      <c r="L24" s="437">
        <f>D24+K24</f>
        <v>1828968.57</v>
      </c>
    </row>
    <row r="25" spans="2:12">
      <c r="B25" s="699"/>
      <c r="C25" s="112" t="s">
        <v>225</v>
      </c>
      <c r="D25" s="442">
        <v>1500000</v>
      </c>
      <c r="E25" s="146">
        <f>$D$25*E13</f>
        <v>157050</v>
      </c>
      <c r="F25" s="146">
        <f>$D$25*F13</f>
        <v>23100</v>
      </c>
      <c r="G25" s="146">
        <f>$D$25*G13</f>
        <v>90000</v>
      </c>
      <c r="H25" s="146">
        <f>$D$25*H13</f>
        <v>13800</v>
      </c>
      <c r="I25" s="146">
        <v>18.57</v>
      </c>
      <c r="J25" s="146">
        <f>$D$25*J13</f>
        <v>45000</v>
      </c>
      <c r="K25" s="146">
        <f t="shared" si="0"/>
        <v>328968.57</v>
      </c>
      <c r="L25" s="437">
        <f>D25+K25</f>
        <v>1828968.57</v>
      </c>
    </row>
    <row r="26" spans="2:12">
      <c r="B26" s="699"/>
      <c r="C26" s="112" t="s">
        <v>226</v>
      </c>
      <c r="D26" s="442">
        <v>1500000</v>
      </c>
      <c r="E26" s="146">
        <f>$D$26*E13</f>
        <v>157050</v>
      </c>
      <c r="F26" s="146">
        <f>$D$26*F13</f>
        <v>23100</v>
      </c>
      <c r="G26" s="146">
        <f>$D$26*G13</f>
        <v>90000</v>
      </c>
      <c r="H26" s="146">
        <f>$D$26*H13</f>
        <v>13800</v>
      </c>
      <c r="I26" s="146">
        <v>18.57</v>
      </c>
      <c r="J26" s="146">
        <f>$D$26*J13</f>
        <v>45000</v>
      </c>
      <c r="K26" s="146">
        <f>SUM(E26:J26)</f>
        <v>328968.57</v>
      </c>
      <c r="L26" s="437">
        <f>D26+K26</f>
        <v>1828968.57</v>
      </c>
    </row>
    <row r="27" spans="2:12">
      <c r="B27" s="699"/>
      <c r="C27" s="112" t="s">
        <v>227</v>
      </c>
      <c r="D27" s="442">
        <v>1500000</v>
      </c>
      <c r="E27" s="146">
        <f>$D$27*E13</f>
        <v>157050</v>
      </c>
      <c r="F27" s="146">
        <f>$D$27*F13</f>
        <v>23100</v>
      </c>
      <c r="G27" s="146">
        <f>$D$27*G13</f>
        <v>90000</v>
      </c>
      <c r="H27" s="146">
        <f>$D$27*H13</f>
        <v>13800</v>
      </c>
      <c r="I27" s="146">
        <v>18.57</v>
      </c>
      <c r="J27" s="146">
        <f>$D$27*J13</f>
        <v>45000</v>
      </c>
      <c r="K27" s="146">
        <f t="shared" si="0"/>
        <v>328968.57</v>
      </c>
      <c r="L27" s="437">
        <f t="shared" si="1"/>
        <v>1828968.57</v>
      </c>
    </row>
    <row r="28" spans="2:12">
      <c r="B28" s="699"/>
      <c r="C28" s="112" t="s">
        <v>228</v>
      </c>
      <c r="D28" s="442">
        <v>1500000</v>
      </c>
      <c r="E28" s="146">
        <f>$D$28*E13</f>
        <v>157050</v>
      </c>
      <c r="F28" s="146">
        <f>$D$28*F13</f>
        <v>23100</v>
      </c>
      <c r="G28" s="146">
        <f>$D$28*G13</f>
        <v>90000</v>
      </c>
      <c r="H28" s="146">
        <f>$D$28*H13</f>
        <v>13800</v>
      </c>
      <c r="I28" s="146">
        <v>18.57</v>
      </c>
      <c r="J28" s="146">
        <f>$D$28*J13</f>
        <v>45000</v>
      </c>
      <c r="K28" s="146">
        <f t="shared" si="0"/>
        <v>328968.57</v>
      </c>
      <c r="L28" s="437">
        <f t="shared" si="1"/>
        <v>1828968.57</v>
      </c>
    </row>
    <row r="29" spans="2:12">
      <c r="B29" s="699"/>
      <c r="C29" s="112" t="s">
        <v>229</v>
      </c>
      <c r="D29" s="442">
        <v>1500000</v>
      </c>
      <c r="E29" s="146">
        <f>$D$29*E13</f>
        <v>157050</v>
      </c>
      <c r="F29" s="146">
        <f>$D$29*F13</f>
        <v>23100</v>
      </c>
      <c r="G29" s="146">
        <f>$D$29*G13</f>
        <v>90000</v>
      </c>
      <c r="H29" s="146">
        <f>$D$29*H13</f>
        <v>13800</v>
      </c>
      <c r="I29" s="146">
        <v>18.57</v>
      </c>
      <c r="J29" s="146">
        <f>$D$29*J13</f>
        <v>45000</v>
      </c>
      <c r="K29" s="146">
        <f t="shared" si="0"/>
        <v>328968.57</v>
      </c>
      <c r="L29" s="437">
        <f t="shared" si="1"/>
        <v>1828968.57</v>
      </c>
    </row>
    <row r="30" spans="2:12" ht="16" thickBot="1">
      <c r="B30" s="700"/>
      <c r="C30" s="232" t="s">
        <v>230</v>
      </c>
      <c r="D30" s="438">
        <v>2000000</v>
      </c>
      <c r="E30" s="167">
        <f>$D$30*E13</f>
        <v>209400</v>
      </c>
      <c r="F30" s="167">
        <f>$D$30*F13</f>
        <v>30800</v>
      </c>
      <c r="G30" s="167">
        <f>$D$30*G13</f>
        <v>120000</v>
      </c>
      <c r="H30" s="167">
        <f>$D$30*H13</f>
        <v>18400</v>
      </c>
      <c r="I30" s="167">
        <v>18.57</v>
      </c>
      <c r="J30" s="167">
        <f>$D$30*J13</f>
        <v>60000</v>
      </c>
      <c r="K30" s="167">
        <f t="shared" si="0"/>
        <v>438618.57</v>
      </c>
      <c r="L30" s="439">
        <f t="shared" si="1"/>
        <v>2438618.5699999998</v>
      </c>
    </row>
    <row r="31" spans="2:12">
      <c r="B31" s="698" t="s">
        <v>112</v>
      </c>
      <c r="C31" s="231" t="s">
        <v>231</v>
      </c>
      <c r="D31" s="435">
        <v>2500000</v>
      </c>
      <c r="E31" s="163">
        <f>$D$31*E13</f>
        <v>261750</v>
      </c>
      <c r="F31" s="163">
        <f>$D$31*F13</f>
        <v>38500</v>
      </c>
      <c r="G31" s="163">
        <f>$D$31*G13</f>
        <v>150000</v>
      </c>
      <c r="H31" s="163">
        <f>$D$31*H13</f>
        <v>23000</v>
      </c>
      <c r="I31" s="163">
        <v>18.57</v>
      </c>
      <c r="J31" s="163">
        <f>$D$31*J13</f>
        <v>75000</v>
      </c>
      <c r="K31" s="163">
        <f t="shared" si="0"/>
        <v>548268.57000000007</v>
      </c>
      <c r="L31" s="436">
        <f t="shared" si="1"/>
        <v>3048268.5700000003</v>
      </c>
    </row>
    <row r="32" spans="2:12">
      <c r="B32" s="699"/>
      <c r="C32" s="112" t="s">
        <v>232</v>
      </c>
      <c r="D32" s="442">
        <v>1500000</v>
      </c>
      <c r="E32" s="146">
        <f>$D$32*E13</f>
        <v>157050</v>
      </c>
      <c r="F32" s="146">
        <f>$D$32*F13</f>
        <v>23100</v>
      </c>
      <c r="G32" s="146">
        <f>$D$32*G13</f>
        <v>90000</v>
      </c>
      <c r="H32" s="146">
        <f>$D$32*H13</f>
        <v>13800</v>
      </c>
      <c r="I32" s="146">
        <v>18.57</v>
      </c>
      <c r="J32" s="146">
        <f>$D$32*J13</f>
        <v>45000</v>
      </c>
      <c r="K32" s="146">
        <f t="shared" si="0"/>
        <v>328968.57</v>
      </c>
      <c r="L32" s="437">
        <f t="shared" si="1"/>
        <v>1828968.57</v>
      </c>
    </row>
    <row r="33" spans="2:27" ht="16" thickBot="1">
      <c r="B33" s="700"/>
      <c r="C33" s="232" t="s">
        <v>233</v>
      </c>
      <c r="D33" s="443">
        <v>1500000</v>
      </c>
      <c r="E33" s="167">
        <f>$D$33*$E$13</f>
        <v>157050</v>
      </c>
      <c r="F33" s="167">
        <f>$D$33*$F$13</f>
        <v>23100</v>
      </c>
      <c r="G33" s="167">
        <f>$D$33*$G$13</f>
        <v>90000</v>
      </c>
      <c r="H33" s="167">
        <f>$D$33*$H$13</f>
        <v>13800</v>
      </c>
      <c r="I33" s="167">
        <v>18.57</v>
      </c>
      <c r="J33" s="167">
        <f>$D$33*$J$13</f>
        <v>45000</v>
      </c>
      <c r="K33" s="167">
        <f t="shared" si="0"/>
        <v>328968.57</v>
      </c>
      <c r="L33" s="439">
        <f t="shared" si="1"/>
        <v>1828968.57</v>
      </c>
    </row>
    <row r="34" spans="2:27">
      <c r="B34" s="698" t="s">
        <v>111</v>
      </c>
      <c r="C34" s="231" t="s">
        <v>234</v>
      </c>
      <c r="D34" s="435">
        <v>2500000</v>
      </c>
      <c r="E34" s="163">
        <f t="shared" ref="E34:E39" si="2">$D$33*$E$13</f>
        <v>157050</v>
      </c>
      <c r="F34" s="163">
        <f t="shared" ref="F34:F39" si="3">$D$33*$F$13</f>
        <v>23100</v>
      </c>
      <c r="G34" s="163">
        <f t="shared" ref="G34:G39" si="4">$D$33*$G$13</f>
        <v>90000</v>
      </c>
      <c r="H34" s="163">
        <f t="shared" ref="H34:H39" si="5">$D$33*$H$13</f>
        <v>13800</v>
      </c>
      <c r="I34" s="163">
        <v>18.57</v>
      </c>
      <c r="J34" s="163">
        <f t="shared" ref="J34:J39" si="6">$D$33*$J$13</f>
        <v>45000</v>
      </c>
      <c r="K34" s="163">
        <f t="shared" ref="K34:K39" si="7">SUM(E34:J34)</f>
        <v>328968.57</v>
      </c>
      <c r="L34" s="436">
        <f t="shared" si="1"/>
        <v>2828968.57</v>
      </c>
    </row>
    <row r="35" spans="2:27">
      <c r="B35" s="699"/>
      <c r="C35" s="112" t="s">
        <v>235</v>
      </c>
      <c r="D35" s="442">
        <v>1500000</v>
      </c>
      <c r="E35" s="146">
        <f t="shared" si="2"/>
        <v>157050</v>
      </c>
      <c r="F35" s="146">
        <f t="shared" si="3"/>
        <v>23100</v>
      </c>
      <c r="G35" s="146">
        <f t="shared" si="4"/>
        <v>90000</v>
      </c>
      <c r="H35" s="146">
        <f t="shared" si="5"/>
        <v>13800</v>
      </c>
      <c r="I35" s="146">
        <v>18.57</v>
      </c>
      <c r="J35" s="146">
        <f t="shared" si="6"/>
        <v>45000</v>
      </c>
      <c r="K35" s="146">
        <f t="shared" si="7"/>
        <v>328968.57</v>
      </c>
      <c r="L35" s="437">
        <f t="shared" si="1"/>
        <v>1828968.57</v>
      </c>
    </row>
    <row r="36" spans="2:27" ht="16" thickBot="1">
      <c r="B36" s="700"/>
      <c r="C36" s="232" t="s">
        <v>236</v>
      </c>
      <c r="D36" s="438">
        <v>2000000</v>
      </c>
      <c r="E36" s="167">
        <f t="shared" si="2"/>
        <v>157050</v>
      </c>
      <c r="F36" s="167">
        <f t="shared" si="3"/>
        <v>23100</v>
      </c>
      <c r="G36" s="167">
        <f t="shared" si="4"/>
        <v>90000</v>
      </c>
      <c r="H36" s="167">
        <f t="shared" si="5"/>
        <v>13800</v>
      </c>
      <c r="I36" s="167">
        <v>18.57</v>
      </c>
      <c r="J36" s="167">
        <f t="shared" si="6"/>
        <v>45000</v>
      </c>
      <c r="K36" s="167">
        <f t="shared" si="7"/>
        <v>328968.57</v>
      </c>
      <c r="L36" s="439">
        <f t="shared" si="1"/>
        <v>2328968.5699999998</v>
      </c>
    </row>
    <row r="37" spans="2:27">
      <c r="B37" s="698" t="s">
        <v>311</v>
      </c>
      <c r="C37" s="231" t="s">
        <v>237</v>
      </c>
      <c r="D37" s="435">
        <v>2500000</v>
      </c>
      <c r="E37" s="163">
        <f t="shared" si="2"/>
        <v>157050</v>
      </c>
      <c r="F37" s="163">
        <f t="shared" si="3"/>
        <v>23100</v>
      </c>
      <c r="G37" s="163">
        <f t="shared" si="4"/>
        <v>90000</v>
      </c>
      <c r="H37" s="163">
        <f t="shared" si="5"/>
        <v>13800</v>
      </c>
      <c r="I37" s="163">
        <v>18.57</v>
      </c>
      <c r="J37" s="163">
        <f t="shared" si="6"/>
        <v>45000</v>
      </c>
      <c r="K37" s="163">
        <f t="shared" si="7"/>
        <v>328968.57</v>
      </c>
      <c r="L37" s="436">
        <f t="shared" si="1"/>
        <v>2828968.57</v>
      </c>
    </row>
    <row r="38" spans="2:27">
      <c r="B38" s="699"/>
      <c r="C38" s="112" t="s">
        <v>238</v>
      </c>
      <c r="D38" s="442">
        <v>1500000</v>
      </c>
      <c r="E38" s="146">
        <f t="shared" si="2"/>
        <v>157050</v>
      </c>
      <c r="F38" s="146">
        <f t="shared" si="3"/>
        <v>23100</v>
      </c>
      <c r="G38" s="146">
        <f t="shared" si="4"/>
        <v>90000</v>
      </c>
      <c r="H38" s="146">
        <f t="shared" si="5"/>
        <v>13800</v>
      </c>
      <c r="I38" s="146">
        <v>18.57</v>
      </c>
      <c r="J38" s="146">
        <f t="shared" si="6"/>
        <v>45000</v>
      </c>
      <c r="K38" s="146">
        <f t="shared" si="7"/>
        <v>328968.57</v>
      </c>
      <c r="L38" s="437">
        <f t="shared" si="1"/>
        <v>1828968.57</v>
      </c>
    </row>
    <row r="39" spans="2:27" ht="16" thickBot="1">
      <c r="B39" s="700"/>
      <c r="C39" s="232" t="s">
        <v>239</v>
      </c>
      <c r="D39" s="438">
        <v>2000000</v>
      </c>
      <c r="E39" s="167">
        <f t="shared" si="2"/>
        <v>157050</v>
      </c>
      <c r="F39" s="167">
        <f t="shared" si="3"/>
        <v>23100</v>
      </c>
      <c r="G39" s="167">
        <f t="shared" si="4"/>
        <v>90000</v>
      </c>
      <c r="H39" s="167">
        <f t="shared" si="5"/>
        <v>13800</v>
      </c>
      <c r="I39" s="167">
        <v>18.57</v>
      </c>
      <c r="J39" s="167">
        <f t="shared" si="6"/>
        <v>45000</v>
      </c>
      <c r="K39" s="167">
        <f t="shared" si="7"/>
        <v>328968.57</v>
      </c>
      <c r="L39" s="439">
        <f t="shared" si="1"/>
        <v>2328968.5699999998</v>
      </c>
    </row>
    <row r="42" spans="2:27" ht="16" thickBot="1"/>
    <row r="43" spans="2:27" ht="27" thickBot="1">
      <c r="B43" s="515" t="s">
        <v>190</v>
      </c>
      <c r="C43" s="516"/>
      <c r="D43" s="516"/>
      <c r="E43" s="516"/>
      <c r="F43" s="516"/>
      <c r="G43" s="516"/>
      <c r="H43" s="516"/>
      <c r="I43" s="516"/>
      <c r="J43" s="516"/>
      <c r="K43" s="516"/>
      <c r="L43" s="516"/>
      <c r="M43" s="516"/>
      <c r="N43" s="516"/>
      <c r="O43" s="516"/>
      <c r="P43" s="516"/>
      <c r="Q43" s="516"/>
      <c r="R43" s="516"/>
      <c r="S43" s="516"/>
      <c r="T43" s="516"/>
      <c r="U43" s="516"/>
      <c r="V43" s="516"/>
      <c r="W43" s="516"/>
      <c r="X43" s="516"/>
      <c r="Y43" s="516"/>
      <c r="Z43" s="516"/>
      <c r="AA43" s="517"/>
    </row>
    <row r="44" spans="2:27" ht="16">
      <c r="B44" s="693" t="s">
        <v>108</v>
      </c>
      <c r="C44" s="695" t="s">
        <v>38</v>
      </c>
      <c r="D44" s="695"/>
      <c r="E44" s="695" t="s">
        <v>39</v>
      </c>
      <c r="F44" s="695"/>
      <c r="G44" s="695" t="s">
        <v>40</v>
      </c>
      <c r="H44" s="695"/>
      <c r="I44" s="695" t="s">
        <v>41</v>
      </c>
      <c r="J44" s="695"/>
      <c r="K44" s="695" t="s">
        <v>42</v>
      </c>
      <c r="L44" s="695"/>
      <c r="M44" s="695" t="s">
        <v>118</v>
      </c>
      <c r="N44" s="695"/>
      <c r="O44" s="695" t="s">
        <v>44</v>
      </c>
      <c r="P44" s="695"/>
      <c r="Q44" s="695" t="s">
        <v>45</v>
      </c>
      <c r="R44" s="695"/>
      <c r="S44" s="695" t="s">
        <v>46</v>
      </c>
      <c r="T44" s="695"/>
      <c r="U44" s="695" t="s">
        <v>47</v>
      </c>
      <c r="V44" s="695"/>
      <c r="W44" s="695" t="s">
        <v>48</v>
      </c>
      <c r="X44" s="695"/>
      <c r="Y44" s="695" t="s">
        <v>119</v>
      </c>
      <c r="Z44" s="695"/>
      <c r="AA44" s="696" t="s">
        <v>92</v>
      </c>
    </row>
    <row r="45" spans="2:27" ht="16">
      <c r="B45" s="694"/>
      <c r="C45" s="237" t="s">
        <v>52</v>
      </c>
      <c r="D45" s="237" t="s">
        <v>68</v>
      </c>
      <c r="E45" s="237" t="s">
        <v>52</v>
      </c>
      <c r="F45" s="237" t="s">
        <v>68</v>
      </c>
      <c r="G45" s="237" t="s">
        <v>52</v>
      </c>
      <c r="H45" s="237" t="s">
        <v>68</v>
      </c>
      <c r="I45" s="237" t="s">
        <v>52</v>
      </c>
      <c r="J45" s="237" t="s">
        <v>68</v>
      </c>
      <c r="K45" s="237" t="s">
        <v>52</v>
      </c>
      <c r="L45" s="237" t="s">
        <v>68</v>
      </c>
      <c r="M45" s="237" t="s">
        <v>52</v>
      </c>
      <c r="N45" s="237" t="s">
        <v>68</v>
      </c>
      <c r="O45" s="237" t="s">
        <v>52</v>
      </c>
      <c r="P45" s="237" t="s">
        <v>68</v>
      </c>
      <c r="Q45" s="237" t="s">
        <v>52</v>
      </c>
      <c r="R45" s="237" t="s">
        <v>68</v>
      </c>
      <c r="S45" s="237" t="s">
        <v>52</v>
      </c>
      <c r="T45" s="237" t="s">
        <v>68</v>
      </c>
      <c r="U45" s="237" t="s">
        <v>52</v>
      </c>
      <c r="V45" s="237" t="s">
        <v>68</v>
      </c>
      <c r="W45" s="237" t="s">
        <v>52</v>
      </c>
      <c r="X45" s="237" t="s">
        <v>68</v>
      </c>
      <c r="Y45" s="237" t="s">
        <v>52</v>
      </c>
      <c r="Z45" s="237" t="s">
        <v>68</v>
      </c>
      <c r="AA45" s="697"/>
    </row>
    <row r="46" spans="2:27" ht="16">
      <c r="B46" s="82" t="s">
        <v>222</v>
      </c>
      <c r="C46" s="186">
        <v>1</v>
      </c>
      <c r="D46" s="187">
        <f>C46*$L$22</f>
        <v>2438618.5699999998</v>
      </c>
      <c r="E46" s="186">
        <v>1</v>
      </c>
      <c r="F46" s="187">
        <f t="shared" ref="F46" si="8">E46*$L$22</f>
        <v>2438618.5699999998</v>
      </c>
      <c r="G46" s="186">
        <v>1</v>
      </c>
      <c r="H46" s="187">
        <f t="shared" ref="H46" si="9">G46*$L$22</f>
        <v>2438618.5699999998</v>
      </c>
      <c r="I46" s="186">
        <v>1</v>
      </c>
      <c r="J46" s="187">
        <f t="shared" ref="J46" si="10">I46*$L$22</f>
        <v>2438618.5699999998</v>
      </c>
      <c r="K46" s="186">
        <v>1</v>
      </c>
      <c r="L46" s="187">
        <f t="shared" ref="L46" si="11">K46*$L$22</f>
        <v>2438618.5699999998</v>
      </c>
      <c r="M46" s="186">
        <v>1</v>
      </c>
      <c r="N46" s="187">
        <f>M46*$L$22*1.5</f>
        <v>3657927.8549999995</v>
      </c>
      <c r="O46" s="186">
        <v>1</v>
      </c>
      <c r="P46" s="187">
        <f t="shared" ref="P46" si="12">O46*$L$22</f>
        <v>2438618.5699999998</v>
      </c>
      <c r="Q46" s="186">
        <v>1</v>
      </c>
      <c r="R46" s="187">
        <f t="shared" ref="R46" si="13">Q46*$L$22</f>
        <v>2438618.5699999998</v>
      </c>
      <c r="S46" s="186">
        <v>1</v>
      </c>
      <c r="T46" s="187">
        <f t="shared" ref="T46" si="14">S46*$L$22</f>
        <v>2438618.5699999998</v>
      </c>
      <c r="U46" s="186">
        <v>1</v>
      </c>
      <c r="V46" s="187">
        <f t="shared" ref="V46" si="15">U46*$L$22</f>
        <v>2438618.5699999998</v>
      </c>
      <c r="W46" s="186">
        <v>1</v>
      </c>
      <c r="X46" s="187">
        <f t="shared" ref="X46" si="16">W46*$L$22</f>
        <v>2438618.5699999998</v>
      </c>
      <c r="Y46" s="186">
        <v>1</v>
      </c>
      <c r="Z46" s="187">
        <f>Y46*$L$22*1.5</f>
        <v>3657927.8549999995</v>
      </c>
      <c r="AA46" s="250">
        <f>D46+F46+H46+J46+L46+N46+P46+R46+T46+V46+X46+Z46</f>
        <v>31702041.41</v>
      </c>
    </row>
    <row r="47" spans="2:27" ht="16">
      <c r="B47" s="82" t="s">
        <v>229</v>
      </c>
      <c r="C47" s="186">
        <v>1</v>
      </c>
      <c r="D47" s="187">
        <f>C47*$L$29</f>
        <v>1828968.57</v>
      </c>
      <c r="E47" s="186">
        <v>1</v>
      </c>
      <c r="F47" s="187">
        <f t="shared" ref="F47" si="17">E47*$L$29</f>
        <v>1828968.57</v>
      </c>
      <c r="G47" s="186">
        <v>1</v>
      </c>
      <c r="H47" s="187">
        <f t="shared" ref="H47" si="18">G47*$L$29</f>
        <v>1828968.57</v>
      </c>
      <c r="I47" s="186">
        <v>1</v>
      </c>
      <c r="J47" s="187">
        <f t="shared" ref="J47" si="19">I47*$L$29</f>
        <v>1828968.57</v>
      </c>
      <c r="K47" s="186">
        <v>1</v>
      </c>
      <c r="L47" s="187">
        <f t="shared" ref="L47" si="20">K47*$L$29</f>
        <v>1828968.57</v>
      </c>
      <c r="M47" s="186">
        <v>1</v>
      </c>
      <c r="N47" s="187">
        <f>M47*$L$29*1.5</f>
        <v>2743452.855</v>
      </c>
      <c r="O47" s="186">
        <v>1</v>
      </c>
      <c r="P47" s="187">
        <f t="shared" ref="P47" si="21">O47*$L$29</f>
        <v>1828968.57</v>
      </c>
      <c r="Q47" s="186">
        <v>1</v>
      </c>
      <c r="R47" s="187">
        <f t="shared" ref="R47" si="22">Q47*$L$29</f>
        <v>1828968.57</v>
      </c>
      <c r="S47" s="186">
        <v>1</v>
      </c>
      <c r="T47" s="187">
        <f t="shared" ref="T47" si="23">S47*$L$29</f>
        <v>1828968.57</v>
      </c>
      <c r="U47" s="186">
        <v>1</v>
      </c>
      <c r="V47" s="187">
        <f t="shared" ref="V47" si="24">U47*$L$29</f>
        <v>1828968.57</v>
      </c>
      <c r="W47" s="186">
        <v>1</v>
      </c>
      <c r="X47" s="187">
        <f t="shared" ref="X47" si="25">W47*$L$29</f>
        <v>1828968.57</v>
      </c>
      <c r="Y47" s="186">
        <v>1</v>
      </c>
      <c r="Z47" s="187">
        <f>Y47*$L$29*1.5</f>
        <v>2743452.855</v>
      </c>
      <c r="AA47" s="250">
        <f t="shared" ref="AA47:AA55" si="26">D47+F47+H47+J47+L47+N47+P47+R47+T47+V47+X47+Z47</f>
        <v>23776591.41</v>
      </c>
    </row>
    <row r="48" spans="2:27" ht="16">
      <c r="B48" s="82" t="s">
        <v>230</v>
      </c>
      <c r="C48" s="186">
        <v>1</v>
      </c>
      <c r="D48" s="187">
        <f>C48*$L$30</f>
        <v>2438618.5699999998</v>
      </c>
      <c r="E48" s="186">
        <v>1</v>
      </c>
      <c r="F48" s="187">
        <f t="shared" ref="F48" si="27">E48*$L$30</f>
        <v>2438618.5699999998</v>
      </c>
      <c r="G48" s="186">
        <v>1</v>
      </c>
      <c r="H48" s="187">
        <f t="shared" ref="H48" si="28">G48*$L$30</f>
        <v>2438618.5699999998</v>
      </c>
      <c r="I48" s="186">
        <v>1</v>
      </c>
      <c r="J48" s="187">
        <f t="shared" ref="J48" si="29">I48*$L$30</f>
        <v>2438618.5699999998</v>
      </c>
      <c r="K48" s="186">
        <v>1</v>
      </c>
      <c r="L48" s="187">
        <f t="shared" ref="L48" si="30">K48*$L$30</f>
        <v>2438618.5699999998</v>
      </c>
      <c r="M48" s="186">
        <v>1</v>
      </c>
      <c r="N48" s="187">
        <f>M48*$L$30*1.5</f>
        <v>3657927.8549999995</v>
      </c>
      <c r="O48" s="186">
        <v>1</v>
      </c>
      <c r="P48" s="187">
        <f t="shared" ref="P48" si="31">O48*$L$30</f>
        <v>2438618.5699999998</v>
      </c>
      <c r="Q48" s="186">
        <v>1</v>
      </c>
      <c r="R48" s="187">
        <f t="shared" ref="R48" si="32">Q48*$L$30</f>
        <v>2438618.5699999998</v>
      </c>
      <c r="S48" s="186">
        <v>1</v>
      </c>
      <c r="T48" s="187">
        <f t="shared" ref="T48" si="33">S48*$L$30</f>
        <v>2438618.5699999998</v>
      </c>
      <c r="U48" s="186">
        <v>1</v>
      </c>
      <c r="V48" s="187">
        <f t="shared" ref="V48" si="34">U48*$L$30</f>
        <v>2438618.5699999998</v>
      </c>
      <c r="W48" s="186">
        <v>1</v>
      </c>
      <c r="X48" s="187">
        <f t="shared" ref="X48" si="35">W48*$L$30</f>
        <v>2438618.5699999998</v>
      </c>
      <c r="Y48" s="186">
        <v>1</v>
      </c>
      <c r="Z48" s="187">
        <f>Y48*$L$30*1.5</f>
        <v>3657927.8549999995</v>
      </c>
      <c r="AA48" s="250">
        <f t="shared" si="26"/>
        <v>31702041.41</v>
      </c>
    </row>
    <row r="49" spans="2:27" ht="16">
      <c r="B49" s="404" t="s">
        <v>231</v>
      </c>
      <c r="C49" s="186">
        <v>1</v>
      </c>
      <c r="D49" s="187">
        <f>C49*$L$31</f>
        <v>3048268.5700000003</v>
      </c>
      <c r="E49" s="186">
        <v>1</v>
      </c>
      <c r="F49" s="187">
        <f t="shared" ref="F49" si="36">E49*$L$31</f>
        <v>3048268.5700000003</v>
      </c>
      <c r="G49" s="186">
        <v>1</v>
      </c>
      <c r="H49" s="187">
        <f t="shared" ref="H49" si="37">G49*$L$31</f>
        <v>3048268.5700000003</v>
      </c>
      <c r="I49" s="186">
        <v>1</v>
      </c>
      <c r="J49" s="187">
        <f t="shared" ref="J49" si="38">I49*$L$31</f>
        <v>3048268.5700000003</v>
      </c>
      <c r="K49" s="186">
        <v>1</v>
      </c>
      <c r="L49" s="187">
        <f t="shared" ref="L49" si="39">K49*$L$31</f>
        <v>3048268.5700000003</v>
      </c>
      <c r="M49" s="186">
        <v>1</v>
      </c>
      <c r="N49" s="187">
        <f>M49*$L$31*1.5</f>
        <v>4572402.8550000004</v>
      </c>
      <c r="O49" s="186">
        <v>1</v>
      </c>
      <c r="P49" s="187">
        <f t="shared" ref="P49" si="40">O49*$L$31</f>
        <v>3048268.5700000003</v>
      </c>
      <c r="Q49" s="186">
        <v>1</v>
      </c>
      <c r="R49" s="187">
        <f t="shared" ref="R49" si="41">Q49*$L$31</f>
        <v>3048268.5700000003</v>
      </c>
      <c r="S49" s="186">
        <v>1</v>
      </c>
      <c r="T49" s="187">
        <f t="shared" ref="T49" si="42">S49*$L$31</f>
        <v>3048268.5700000003</v>
      </c>
      <c r="U49" s="186">
        <v>1</v>
      </c>
      <c r="V49" s="187">
        <f t="shared" ref="V49" si="43">U49*$L$31</f>
        <v>3048268.5700000003</v>
      </c>
      <c r="W49" s="186">
        <v>1</v>
      </c>
      <c r="X49" s="187">
        <f t="shared" ref="X49" si="44">W49*$L$31</f>
        <v>3048268.5700000003</v>
      </c>
      <c r="Y49" s="186">
        <v>1</v>
      </c>
      <c r="Z49" s="187">
        <f>Y49*$L$31*1.5</f>
        <v>4572402.8550000004</v>
      </c>
      <c r="AA49" s="250">
        <f t="shared" si="26"/>
        <v>39627491.410000011</v>
      </c>
    </row>
    <row r="50" spans="2:27" ht="16">
      <c r="B50" s="82" t="s">
        <v>224</v>
      </c>
      <c r="C50" s="186">
        <v>0</v>
      </c>
      <c r="D50" s="187">
        <f>C50*$L$32</f>
        <v>0</v>
      </c>
      <c r="E50" s="186">
        <v>0</v>
      </c>
      <c r="F50" s="187">
        <f t="shared" ref="F50" si="45">E50*$L$32</f>
        <v>0</v>
      </c>
      <c r="G50" s="186">
        <v>0</v>
      </c>
      <c r="H50" s="187">
        <f t="shared" ref="H50" si="46">G50*$L$32</f>
        <v>0</v>
      </c>
      <c r="I50" s="186">
        <v>0</v>
      </c>
      <c r="J50" s="187">
        <f t="shared" ref="J50" si="47">I50*$L$32</f>
        <v>0</v>
      </c>
      <c r="K50" s="186">
        <v>0</v>
      </c>
      <c r="L50" s="187">
        <f t="shared" ref="L50" si="48">K50*$L$32</f>
        <v>0</v>
      </c>
      <c r="M50" s="186">
        <v>0</v>
      </c>
      <c r="N50" s="187">
        <f>M50*$L$32*1.5</f>
        <v>0</v>
      </c>
      <c r="O50" s="186">
        <v>0</v>
      </c>
      <c r="P50" s="187">
        <f t="shared" ref="P50" si="49">O50*$L$32</f>
        <v>0</v>
      </c>
      <c r="Q50" s="186">
        <v>0</v>
      </c>
      <c r="R50" s="187">
        <f t="shared" ref="R50" si="50">Q50*$L$32</f>
        <v>0</v>
      </c>
      <c r="S50" s="186">
        <v>0</v>
      </c>
      <c r="T50" s="187">
        <f t="shared" ref="T50" si="51">S50*$L$32</f>
        <v>0</v>
      </c>
      <c r="U50" s="186">
        <v>0</v>
      </c>
      <c r="V50" s="187">
        <f t="shared" ref="V50" si="52">U50*$L$32</f>
        <v>0</v>
      </c>
      <c r="W50" s="186">
        <v>0</v>
      </c>
      <c r="X50" s="187">
        <f t="shared" ref="X50" si="53">W50*$L$32</f>
        <v>0</v>
      </c>
      <c r="Y50" s="186">
        <v>0</v>
      </c>
      <c r="Z50" s="187">
        <f>Y50*$L$32*1.5</f>
        <v>0</v>
      </c>
      <c r="AA50" s="250">
        <f t="shared" si="26"/>
        <v>0</v>
      </c>
    </row>
    <row r="51" spans="2:27" ht="16">
      <c r="B51" s="82" t="s">
        <v>225</v>
      </c>
      <c r="C51" s="186">
        <v>0</v>
      </c>
      <c r="D51" s="187">
        <f>C51*$L$32</f>
        <v>0</v>
      </c>
      <c r="E51" s="186">
        <v>0</v>
      </c>
      <c r="F51" s="187">
        <f t="shared" ref="F51" si="54">E51*$L$32</f>
        <v>0</v>
      </c>
      <c r="G51" s="186">
        <v>0</v>
      </c>
      <c r="H51" s="187">
        <f t="shared" ref="H51" si="55">G51*$L$32</f>
        <v>0</v>
      </c>
      <c r="I51" s="186">
        <v>0</v>
      </c>
      <c r="J51" s="187">
        <f t="shared" ref="J51" si="56">I51*$L$32</f>
        <v>0</v>
      </c>
      <c r="K51" s="186">
        <v>0</v>
      </c>
      <c r="L51" s="187">
        <f t="shared" ref="L51" si="57">K51*$L$32</f>
        <v>0</v>
      </c>
      <c r="M51" s="186">
        <v>0</v>
      </c>
      <c r="N51" s="187">
        <f>M51*$L$32*1.5</f>
        <v>0</v>
      </c>
      <c r="O51" s="186">
        <v>0</v>
      </c>
      <c r="P51" s="187">
        <f t="shared" ref="P51" si="58">O51*$L$32</f>
        <v>0</v>
      </c>
      <c r="Q51" s="186">
        <v>0</v>
      </c>
      <c r="R51" s="187">
        <f t="shared" ref="R51" si="59">Q51*$L$32</f>
        <v>0</v>
      </c>
      <c r="S51" s="186">
        <v>0</v>
      </c>
      <c r="T51" s="187">
        <f t="shared" ref="T51" si="60">S51*$L$32</f>
        <v>0</v>
      </c>
      <c r="U51" s="186">
        <v>0</v>
      </c>
      <c r="V51" s="187">
        <f t="shared" ref="V51" si="61">U51*$L$32</f>
        <v>0</v>
      </c>
      <c r="W51" s="186">
        <v>0</v>
      </c>
      <c r="X51" s="187">
        <f t="shared" ref="X51" si="62">W51*$L$32</f>
        <v>0</v>
      </c>
      <c r="Y51" s="186">
        <v>0</v>
      </c>
      <c r="Z51" s="187">
        <f>Y51*$L$32*1.5</f>
        <v>0</v>
      </c>
      <c r="AA51" s="250">
        <f t="shared" si="26"/>
        <v>0</v>
      </c>
    </row>
    <row r="52" spans="2:27" ht="16">
      <c r="B52" s="404" t="s">
        <v>234</v>
      </c>
      <c r="C52" s="186">
        <v>0</v>
      </c>
      <c r="D52" s="187">
        <f>C52*$L$34</f>
        <v>0</v>
      </c>
      <c r="E52" s="186">
        <v>0</v>
      </c>
      <c r="F52" s="187">
        <f t="shared" ref="F52" si="63">E52*$L$34</f>
        <v>0</v>
      </c>
      <c r="G52" s="186">
        <v>0</v>
      </c>
      <c r="H52" s="187">
        <f t="shared" ref="H52" si="64">G52*$L$34</f>
        <v>0</v>
      </c>
      <c r="I52" s="186">
        <v>0</v>
      </c>
      <c r="J52" s="187">
        <f t="shared" ref="J52" si="65">I52*$L$34</f>
        <v>0</v>
      </c>
      <c r="K52" s="186">
        <v>0</v>
      </c>
      <c r="L52" s="187">
        <f t="shared" ref="L52" si="66">K52*$L$34</f>
        <v>0</v>
      </c>
      <c r="M52" s="186">
        <v>0</v>
      </c>
      <c r="N52" s="187">
        <f>M52*$L$34*1.5</f>
        <v>0</v>
      </c>
      <c r="O52" s="186">
        <v>0</v>
      </c>
      <c r="P52" s="187">
        <f t="shared" ref="P52" si="67">O52*$L$34</f>
        <v>0</v>
      </c>
      <c r="Q52" s="186">
        <v>0</v>
      </c>
      <c r="R52" s="187">
        <f t="shared" ref="R52" si="68">Q52*$L$34</f>
        <v>0</v>
      </c>
      <c r="S52" s="186">
        <v>0</v>
      </c>
      <c r="T52" s="187">
        <f t="shared" ref="T52" si="69">S52*$L$34</f>
        <v>0</v>
      </c>
      <c r="U52" s="186">
        <v>0</v>
      </c>
      <c r="V52" s="187">
        <f t="shared" ref="V52" si="70">U52*$L$34</f>
        <v>0</v>
      </c>
      <c r="W52" s="186">
        <v>0</v>
      </c>
      <c r="X52" s="187">
        <f t="shared" ref="X52" si="71">W52*$L$34</f>
        <v>0</v>
      </c>
      <c r="Y52" s="186">
        <v>0</v>
      </c>
      <c r="Z52" s="187">
        <f>Y52*$L$34*1.5</f>
        <v>0</v>
      </c>
      <c r="AA52" s="250">
        <f t="shared" si="26"/>
        <v>0</v>
      </c>
    </row>
    <row r="53" spans="2:27" ht="16">
      <c r="B53" s="82" t="s">
        <v>221</v>
      </c>
      <c r="C53" s="186">
        <v>0</v>
      </c>
      <c r="D53" s="187">
        <f>C53*$L$21</f>
        <v>0</v>
      </c>
      <c r="E53" s="186">
        <v>0</v>
      </c>
      <c r="F53" s="187">
        <f t="shared" ref="F53" si="72">E53*$L$21</f>
        <v>0</v>
      </c>
      <c r="G53" s="186">
        <v>0</v>
      </c>
      <c r="H53" s="187">
        <f t="shared" ref="H53" si="73">G53*$L$21</f>
        <v>0</v>
      </c>
      <c r="I53" s="186">
        <v>0</v>
      </c>
      <c r="J53" s="187">
        <f t="shared" ref="J53" si="74">I53*$L$21</f>
        <v>0</v>
      </c>
      <c r="K53" s="186">
        <v>0</v>
      </c>
      <c r="L53" s="187">
        <f t="shared" ref="L53" si="75">K53*$L$21</f>
        <v>0</v>
      </c>
      <c r="M53" s="186">
        <v>0</v>
      </c>
      <c r="N53" s="187">
        <f>M53*$L$21*1.5</f>
        <v>0</v>
      </c>
      <c r="O53" s="186">
        <v>0</v>
      </c>
      <c r="P53" s="187">
        <f t="shared" ref="P53" si="76">O53*$L$21</f>
        <v>0</v>
      </c>
      <c r="Q53" s="186">
        <v>0</v>
      </c>
      <c r="R53" s="187">
        <f t="shared" ref="R53" si="77">Q53*$L$21</f>
        <v>0</v>
      </c>
      <c r="S53" s="186">
        <v>0</v>
      </c>
      <c r="T53" s="187">
        <f t="shared" ref="T53" si="78">S53*$L$21</f>
        <v>0</v>
      </c>
      <c r="U53" s="186">
        <v>0</v>
      </c>
      <c r="V53" s="187">
        <f t="shared" ref="V53" si="79">U53*$L$21</f>
        <v>0</v>
      </c>
      <c r="W53" s="186">
        <v>0</v>
      </c>
      <c r="X53" s="187">
        <f t="shared" ref="X53" si="80">W53*$L$21</f>
        <v>0</v>
      </c>
      <c r="Y53" s="186">
        <v>0</v>
      </c>
      <c r="Z53" s="187">
        <f>Y53*$L$21*1.5</f>
        <v>0</v>
      </c>
      <c r="AA53" s="250">
        <f t="shared" si="26"/>
        <v>0</v>
      </c>
    </row>
    <row r="54" spans="2:27" ht="16">
      <c r="B54" s="82" t="s">
        <v>228</v>
      </c>
      <c r="C54" s="186">
        <v>0</v>
      </c>
      <c r="D54" s="187">
        <f>C54*$L$28</f>
        <v>0</v>
      </c>
      <c r="E54" s="186">
        <v>0</v>
      </c>
      <c r="F54" s="187">
        <f t="shared" ref="F54" si="81">E54*$L$28</f>
        <v>0</v>
      </c>
      <c r="G54" s="186">
        <v>0</v>
      </c>
      <c r="H54" s="187">
        <f t="shared" ref="H54" si="82">G54*$L$28</f>
        <v>0</v>
      </c>
      <c r="I54" s="186">
        <v>0</v>
      </c>
      <c r="J54" s="187">
        <f t="shared" ref="J54" si="83">I54*$L$28</f>
        <v>0</v>
      </c>
      <c r="K54" s="186">
        <v>0</v>
      </c>
      <c r="L54" s="187">
        <f t="shared" ref="L54" si="84">K54*$L$28</f>
        <v>0</v>
      </c>
      <c r="M54" s="186">
        <v>0</v>
      </c>
      <c r="N54" s="187">
        <f>M54*$L$28*1.5</f>
        <v>0</v>
      </c>
      <c r="O54" s="186">
        <v>0</v>
      </c>
      <c r="P54" s="187">
        <f t="shared" ref="P54" si="85">O54*$L$28</f>
        <v>0</v>
      </c>
      <c r="Q54" s="186">
        <v>0</v>
      </c>
      <c r="R54" s="187">
        <f t="shared" ref="R54" si="86">Q54*$L$28</f>
        <v>0</v>
      </c>
      <c r="S54" s="186">
        <v>0</v>
      </c>
      <c r="T54" s="187">
        <f t="shared" ref="T54" si="87">S54*$L$28</f>
        <v>0</v>
      </c>
      <c r="U54" s="186">
        <v>0</v>
      </c>
      <c r="V54" s="187">
        <f t="shared" ref="V54" si="88">U54*$L$28</f>
        <v>0</v>
      </c>
      <c r="W54" s="186">
        <v>0</v>
      </c>
      <c r="X54" s="187">
        <f t="shared" ref="X54" si="89">W54*$L$28</f>
        <v>0</v>
      </c>
      <c r="Y54" s="186">
        <v>0</v>
      </c>
      <c r="Z54" s="187">
        <f>Y54*$L$28*1.5</f>
        <v>0</v>
      </c>
      <c r="AA54" s="250">
        <f t="shared" si="26"/>
        <v>0</v>
      </c>
    </row>
    <row r="55" spans="2:27" ht="16">
      <c r="B55" s="82" t="s">
        <v>237</v>
      </c>
      <c r="C55" s="186">
        <v>0</v>
      </c>
      <c r="D55" s="187">
        <f>C55*$L$37</f>
        <v>0</v>
      </c>
      <c r="E55" s="186">
        <v>0</v>
      </c>
      <c r="F55" s="187">
        <f t="shared" ref="F55" si="90">E55*$L$37</f>
        <v>0</v>
      </c>
      <c r="G55" s="186">
        <v>0</v>
      </c>
      <c r="H55" s="187">
        <f t="shared" ref="H55" si="91">G55*$L$37</f>
        <v>0</v>
      </c>
      <c r="I55" s="186">
        <v>0</v>
      </c>
      <c r="J55" s="187">
        <f t="shared" ref="J55" si="92">I55*$L$37</f>
        <v>0</v>
      </c>
      <c r="K55" s="186">
        <v>0</v>
      </c>
      <c r="L55" s="187">
        <f t="shared" ref="L55" si="93">K55*$L$37</f>
        <v>0</v>
      </c>
      <c r="M55" s="186">
        <v>0</v>
      </c>
      <c r="N55" s="187">
        <f>M55*$L$37*1.5</f>
        <v>0</v>
      </c>
      <c r="O55" s="186">
        <v>0</v>
      </c>
      <c r="P55" s="187">
        <f t="shared" ref="P55" si="94">O55*$L$37</f>
        <v>0</v>
      </c>
      <c r="Q55" s="186">
        <v>0</v>
      </c>
      <c r="R55" s="187">
        <f t="shared" ref="R55" si="95">Q55*$L$37</f>
        <v>0</v>
      </c>
      <c r="S55" s="186">
        <v>0</v>
      </c>
      <c r="T55" s="187">
        <f t="shared" ref="T55" si="96">S55*$L$37</f>
        <v>0</v>
      </c>
      <c r="U55" s="186">
        <v>0</v>
      </c>
      <c r="V55" s="187">
        <f t="shared" ref="V55" si="97">U55*$L$37</f>
        <v>0</v>
      </c>
      <c r="W55" s="186">
        <v>0</v>
      </c>
      <c r="X55" s="187">
        <f t="shared" ref="X55" si="98">W55*$L$37</f>
        <v>0</v>
      </c>
      <c r="Y55" s="186">
        <v>0</v>
      </c>
      <c r="Z55" s="187">
        <f>Y55*$L$37*1.5</f>
        <v>0</v>
      </c>
      <c r="AA55" s="250">
        <f t="shared" si="26"/>
        <v>0</v>
      </c>
    </row>
    <row r="56" spans="2:27" ht="17" thickBot="1">
      <c r="B56" s="251" t="s">
        <v>120</v>
      </c>
      <c r="C56" s="252">
        <f t="shared" ref="C56:Z56" si="99">SUM(C46:C55)</f>
        <v>4</v>
      </c>
      <c r="D56" s="253">
        <f t="shared" si="99"/>
        <v>9754474.2799999993</v>
      </c>
      <c r="E56" s="252">
        <f t="shared" si="99"/>
        <v>4</v>
      </c>
      <c r="F56" s="253">
        <f t="shared" si="99"/>
        <v>9754474.2799999993</v>
      </c>
      <c r="G56" s="252">
        <f t="shared" si="99"/>
        <v>4</v>
      </c>
      <c r="H56" s="253">
        <f t="shared" si="99"/>
        <v>9754474.2799999993</v>
      </c>
      <c r="I56" s="252">
        <f t="shared" si="99"/>
        <v>4</v>
      </c>
      <c r="J56" s="253">
        <f t="shared" si="99"/>
        <v>9754474.2799999993</v>
      </c>
      <c r="K56" s="252">
        <f t="shared" si="99"/>
        <v>4</v>
      </c>
      <c r="L56" s="253">
        <f t="shared" si="99"/>
        <v>9754474.2799999993</v>
      </c>
      <c r="M56" s="252">
        <f t="shared" si="99"/>
        <v>4</v>
      </c>
      <c r="N56" s="253">
        <f t="shared" si="99"/>
        <v>14631711.419999998</v>
      </c>
      <c r="O56" s="252">
        <f t="shared" si="99"/>
        <v>4</v>
      </c>
      <c r="P56" s="253">
        <f t="shared" si="99"/>
        <v>9754474.2799999993</v>
      </c>
      <c r="Q56" s="252">
        <f t="shared" si="99"/>
        <v>4</v>
      </c>
      <c r="R56" s="253">
        <f t="shared" si="99"/>
        <v>9754474.2799999993</v>
      </c>
      <c r="S56" s="252">
        <f t="shared" si="99"/>
        <v>4</v>
      </c>
      <c r="T56" s="253">
        <f t="shared" si="99"/>
        <v>9754474.2799999993</v>
      </c>
      <c r="U56" s="252">
        <f t="shared" si="99"/>
        <v>4</v>
      </c>
      <c r="V56" s="253">
        <f t="shared" si="99"/>
        <v>9754474.2799999993</v>
      </c>
      <c r="W56" s="252">
        <f t="shared" si="99"/>
        <v>4</v>
      </c>
      <c r="X56" s="253">
        <f t="shared" si="99"/>
        <v>9754474.2799999993</v>
      </c>
      <c r="Y56" s="252">
        <f t="shared" si="99"/>
        <v>4</v>
      </c>
      <c r="Z56" s="253">
        <f t="shared" si="99"/>
        <v>14631711.419999998</v>
      </c>
      <c r="AA56" s="254">
        <f>Z56+X56+V56+T56+R56+P56+N56+L56+J56+H56+F56+D56</f>
        <v>126808165.64</v>
      </c>
    </row>
    <row r="59" spans="2:27" ht="16" thickBot="1"/>
    <row r="60" spans="2:27" ht="27" thickBot="1">
      <c r="B60" s="515" t="s">
        <v>313</v>
      </c>
      <c r="C60" s="516"/>
      <c r="D60" s="516"/>
      <c r="E60" s="516"/>
      <c r="F60" s="516"/>
      <c r="G60" s="516"/>
      <c r="H60" s="516"/>
      <c r="I60" s="516"/>
      <c r="J60" s="516"/>
      <c r="K60" s="516"/>
      <c r="L60" s="516"/>
      <c r="M60" s="516"/>
      <c r="N60" s="516"/>
      <c r="O60" s="516"/>
      <c r="P60" s="516"/>
      <c r="Q60" s="516"/>
      <c r="R60" s="516"/>
      <c r="S60" s="516"/>
      <c r="T60" s="516"/>
      <c r="U60" s="516"/>
      <c r="V60" s="516"/>
      <c r="W60" s="516"/>
      <c r="X60" s="516"/>
      <c r="Y60" s="516"/>
      <c r="Z60" s="516"/>
      <c r="AA60" s="517"/>
    </row>
    <row r="61" spans="2:27" ht="16">
      <c r="B61" s="693" t="s">
        <v>108</v>
      </c>
      <c r="C61" s="695" t="s">
        <v>38</v>
      </c>
      <c r="D61" s="695"/>
      <c r="E61" s="695" t="s">
        <v>39</v>
      </c>
      <c r="F61" s="695"/>
      <c r="G61" s="695" t="s">
        <v>40</v>
      </c>
      <c r="H61" s="695"/>
      <c r="I61" s="695" t="s">
        <v>41</v>
      </c>
      <c r="J61" s="695"/>
      <c r="K61" s="695" t="s">
        <v>42</v>
      </c>
      <c r="L61" s="695"/>
      <c r="M61" s="695" t="s">
        <v>118</v>
      </c>
      <c r="N61" s="695"/>
      <c r="O61" s="695" t="s">
        <v>44</v>
      </c>
      <c r="P61" s="695"/>
      <c r="Q61" s="695" t="s">
        <v>45</v>
      </c>
      <c r="R61" s="695"/>
      <c r="S61" s="695" t="s">
        <v>46</v>
      </c>
      <c r="T61" s="695"/>
      <c r="U61" s="695" t="s">
        <v>47</v>
      </c>
      <c r="V61" s="695"/>
      <c r="W61" s="695" t="s">
        <v>48</v>
      </c>
      <c r="X61" s="695"/>
      <c r="Y61" s="695" t="s">
        <v>119</v>
      </c>
      <c r="Z61" s="695"/>
      <c r="AA61" s="696" t="s">
        <v>92</v>
      </c>
    </row>
    <row r="62" spans="2:27" ht="16">
      <c r="B62" s="694"/>
      <c r="C62" s="237" t="s">
        <v>52</v>
      </c>
      <c r="D62" s="237" t="s">
        <v>68</v>
      </c>
      <c r="E62" s="237" t="s">
        <v>52</v>
      </c>
      <c r="F62" s="237" t="s">
        <v>68</v>
      </c>
      <c r="G62" s="237" t="s">
        <v>52</v>
      </c>
      <c r="H62" s="237" t="s">
        <v>68</v>
      </c>
      <c r="I62" s="237" t="s">
        <v>52</v>
      </c>
      <c r="J62" s="237" t="s">
        <v>68</v>
      </c>
      <c r="K62" s="237" t="s">
        <v>52</v>
      </c>
      <c r="L62" s="237" t="s">
        <v>68</v>
      </c>
      <c r="M62" s="237" t="s">
        <v>52</v>
      </c>
      <c r="N62" s="237" t="s">
        <v>68</v>
      </c>
      <c r="O62" s="237" t="s">
        <v>52</v>
      </c>
      <c r="P62" s="237" t="s">
        <v>68</v>
      </c>
      <c r="Q62" s="237" t="s">
        <v>52</v>
      </c>
      <c r="R62" s="237" t="s">
        <v>68</v>
      </c>
      <c r="S62" s="237" t="s">
        <v>52</v>
      </c>
      <c r="T62" s="237" t="s">
        <v>68</v>
      </c>
      <c r="U62" s="237" t="s">
        <v>52</v>
      </c>
      <c r="V62" s="237" t="s">
        <v>68</v>
      </c>
      <c r="W62" s="237" t="s">
        <v>52</v>
      </c>
      <c r="X62" s="237" t="s">
        <v>68</v>
      </c>
      <c r="Y62" s="237" t="s">
        <v>52</v>
      </c>
      <c r="Z62" s="237" t="s">
        <v>68</v>
      </c>
      <c r="AA62" s="697"/>
    </row>
    <row r="63" spans="2:27" ht="16">
      <c r="B63" s="82" t="s">
        <v>222</v>
      </c>
      <c r="C63" s="186">
        <v>1</v>
      </c>
      <c r="D63" s="187">
        <f>C63*$L$22</f>
        <v>2438618.5699999998</v>
      </c>
      <c r="E63" s="186">
        <v>1</v>
      </c>
      <c r="F63" s="187">
        <f t="shared" ref="F63" si="100">E63*$L$22</f>
        <v>2438618.5699999998</v>
      </c>
      <c r="G63" s="186">
        <v>1</v>
      </c>
      <c r="H63" s="187">
        <f t="shared" ref="H63" si="101">G63*$L$22</f>
        <v>2438618.5699999998</v>
      </c>
      <c r="I63" s="186">
        <v>1</v>
      </c>
      <c r="J63" s="187">
        <f t="shared" ref="J63" si="102">I63*$L$22</f>
        <v>2438618.5699999998</v>
      </c>
      <c r="K63" s="186">
        <v>1</v>
      </c>
      <c r="L63" s="187">
        <f t="shared" ref="L63" si="103">K63*$L$22</f>
        <v>2438618.5699999998</v>
      </c>
      <c r="M63" s="186">
        <v>1</v>
      </c>
      <c r="N63" s="187">
        <f>M63*$L$22*1.5</f>
        <v>3657927.8549999995</v>
      </c>
      <c r="O63" s="186">
        <v>1</v>
      </c>
      <c r="P63" s="187">
        <f t="shared" ref="P63" si="104">O63*$L$22</f>
        <v>2438618.5699999998</v>
      </c>
      <c r="Q63" s="186">
        <v>1</v>
      </c>
      <c r="R63" s="187">
        <f t="shared" ref="R63" si="105">Q63*$L$22</f>
        <v>2438618.5699999998</v>
      </c>
      <c r="S63" s="186">
        <v>1</v>
      </c>
      <c r="T63" s="187">
        <f t="shared" ref="T63" si="106">S63*$L$22</f>
        <v>2438618.5699999998</v>
      </c>
      <c r="U63" s="186">
        <v>1</v>
      </c>
      <c r="V63" s="187">
        <f t="shared" ref="V63" si="107">U63*$L$22</f>
        <v>2438618.5699999998</v>
      </c>
      <c r="W63" s="186">
        <v>1</v>
      </c>
      <c r="X63" s="187">
        <f t="shared" ref="X63" si="108">W63*$L$22</f>
        <v>2438618.5699999998</v>
      </c>
      <c r="Y63" s="186">
        <v>1</v>
      </c>
      <c r="Z63" s="187">
        <f>Y63*$L$22*1.5</f>
        <v>3657927.8549999995</v>
      </c>
      <c r="AA63" s="250">
        <f>D63+F63+H63+J63+L63+N63+P63+R63+T63+V63+X63+Z63</f>
        <v>31702041.41</v>
      </c>
    </row>
    <row r="64" spans="2:27" ht="16">
      <c r="B64" s="82" t="s">
        <v>229</v>
      </c>
      <c r="C64" s="186">
        <v>1</v>
      </c>
      <c r="D64" s="187">
        <f>C64*$L$29</f>
        <v>1828968.57</v>
      </c>
      <c r="E64" s="186">
        <v>1</v>
      </c>
      <c r="F64" s="187">
        <f t="shared" ref="F64" si="109">E64*$L$29</f>
        <v>1828968.57</v>
      </c>
      <c r="G64" s="186">
        <v>1</v>
      </c>
      <c r="H64" s="187">
        <f t="shared" ref="H64" si="110">G64*$L$29</f>
        <v>1828968.57</v>
      </c>
      <c r="I64" s="186">
        <v>1</v>
      </c>
      <c r="J64" s="187">
        <f t="shared" ref="J64" si="111">I64*$L$29</f>
        <v>1828968.57</v>
      </c>
      <c r="K64" s="186">
        <v>1</v>
      </c>
      <c r="L64" s="187">
        <f t="shared" ref="L64" si="112">K64*$L$29</f>
        <v>1828968.57</v>
      </c>
      <c r="M64" s="186">
        <v>1</v>
      </c>
      <c r="N64" s="187">
        <f>M64*$L$29*1.5</f>
        <v>2743452.855</v>
      </c>
      <c r="O64" s="186">
        <v>1</v>
      </c>
      <c r="P64" s="187">
        <f t="shared" ref="P64" si="113">O64*$L$29</f>
        <v>1828968.57</v>
      </c>
      <c r="Q64" s="186">
        <v>1</v>
      </c>
      <c r="R64" s="187">
        <f t="shared" ref="R64" si="114">Q64*$L$29</f>
        <v>1828968.57</v>
      </c>
      <c r="S64" s="186">
        <v>1</v>
      </c>
      <c r="T64" s="187">
        <f t="shared" ref="T64" si="115">S64*$L$29</f>
        <v>1828968.57</v>
      </c>
      <c r="U64" s="186">
        <v>1</v>
      </c>
      <c r="V64" s="187">
        <f t="shared" ref="V64" si="116">U64*$L$29</f>
        <v>1828968.57</v>
      </c>
      <c r="W64" s="186">
        <v>1</v>
      </c>
      <c r="X64" s="187">
        <f t="shared" ref="X64" si="117">W64*$L$29</f>
        <v>1828968.57</v>
      </c>
      <c r="Y64" s="186">
        <v>1</v>
      </c>
      <c r="Z64" s="187">
        <f>Y64*$L$29*1.5</f>
        <v>2743452.855</v>
      </c>
      <c r="AA64" s="250">
        <f t="shared" ref="AA64:AA72" si="118">D64+F64+H64+J64+L64+N64+P64+R64+T64+V64+X64+Z64</f>
        <v>23776591.41</v>
      </c>
    </row>
    <row r="65" spans="2:30" ht="16">
      <c r="B65" s="82" t="s">
        <v>230</v>
      </c>
      <c r="C65" s="186">
        <v>1</v>
      </c>
      <c r="D65" s="187">
        <f>C65*$L$30</f>
        <v>2438618.5699999998</v>
      </c>
      <c r="E65" s="186">
        <v>1</v>
      </c>
      <c r="F65" s="187">
        <f t="shared" ref="F65" si="119">E65*$L$30</f>
        <v>2438618.5699999998</v>
      </c>
      <c r="G65" s="186">
        <v>1</v>
      </c>
      <c r="H65" s="187">
        <f t="shared" ref="H65" si="120">G65*$L$30</f>
        <v>2438618.5699999998</v>
      </c>
      <c r="I65" s="186">
        <v>1</v>
      </c>
      <c r="J65" s="187">
        <f t="shared" ref="J65" si="121">I65*$L$30</f>
        <v>2438618.5699999998</v>
      </c>
      <c r="K65" s="186">
        <v>1</v>
      </c>
      <c r="L65" s="187">
        <f t="shared" ref="L65" si="122">K65*$L$30</f>
        <v>2438618.5699999998</v>
      </c>
      <c r="M65" s="186">
        <v>1</v>
      </c>
      <c r="N65" s="187">
        <f>M65*$L$30*1.5</f>
        <v>3657927.8549999995</v>
      </c>
      <c r="O65" s="186">
        <v>1</v>
      </c>
      <c r="P65" s="187">
        <f t="shared" ref="P65" si="123">O65*$L$30</f>
        <v>2438618.5699999998</v>
      </c>
      <c r="Q65" s="186">
        <v>1</v>
      </c>
      <c r="R65" s="187">
        <f t="shared" ref="R65" si="124">Q65*$L$30</f>
        <v>2438618.5699999998</v>
      </c>
      <c r="S65" s="186">
        <v>1</v>
      </c>
      <c r="T65" s="187">
        <f t="shared" ref="T65" si="125">S65*$L$30</f>
        <v>2438618.5699999998</v>
      </c>
      <c r="U65" s="186">
        <v>1</v>
      </c>
      <c r="V65" s="187">
        <f t="shared" ref="V65" si="126">U65*$L$30</f>
        <v>2438618.5699999998</v>
      </c>
      <c r="W65" s="186">
        <v>1</v>
      </c>
      <c r="X65" s="187">
        <f t="shared" ref="X65" si="127">W65*$L$30</f>
        <v>2438618.5699999998</v>
      </c>
      <c r="Y65" s="186">
        <v>1</v>
      </c>
      <c r="Z65" s="187">
        <f>Y65*$L$30*1.5</f>
        <v>3657927.8549999995</v>
      </c>
      <c r="AA65" s="250">
        <f t="shared" si="118"/>
        <v>31702041.41</v>
      </c>
    </row>
    <row r="66" spans="2:30" ht="16">
      <c r="B66" s="404" t="s">
        <v>231</v>
      </c>
      <c r="C66" s="186">
        <v>1</v>
      </c>
      <c r="D66" s="187">
        <f>C66*$L$31</f>
        <v>3048268.5700000003</v>
      </c>
      <c r="E66" s="186">
        <v>1</v>
      </c>
      <c r="F66" s="187">
        <f t="shared" ref="F66" si="128">E66*$L$31</f>
        <v>3048268.5700000003</v>
      </c>
      <c r="G66" s="186">
        <v>1</v>
      </c>
      <c r="H66" s="187">
        <f t="shared" ref="H66" si="129">G66*$L$31</f>
        <v>3048268.5700000003</v>
      </c>
      <c r="I66" s="186">
        <v>1</v>
      </c>
      <c r="J66" s="187">
        <f t="shared" ref="J66" si="130">I66*$L$31</f>
        <v>3048268.5700000003</v>
      </c>
      <c r="K66" s="186">
        <v>1</v>
      </c>
      <c r="L66" s="187">
        <f t="shared" ref="L66" si="131">K66*$L$31</f>
        <v>3048268.5700000003</v>
      </c>
      <c r="M66" s="186">
        <v>1</v>
      </c>
      <c r="N66" s="187">
        <f>M66*$L$31*1.5</f>
        <v>4572402.8550000004</v>
      </c>
      <c r="O66" s="186">
        <v>1</v>
      </c>
      <c r="P66" s="187">
        <f t="shared" ref="P66" si="132">O66*$L$31</f>
        <v>3048268.5700000003</v>
      </c>
      <c r="Q66" s="186">
        <v>1</v>
      </c>
      <c r="R66" s="187">
        <f t="shared" ref="R66" si="133">Q66*$L$31</f>
        <v>3048268.5700000003</v>
      </c>
      <c r="S66" s="186">
        <v>1</v>
      </c>
      <c r="T66" s="187">
        <f t="shared" ref="T66" si="134">S66*$L$31</f>
        <v>3048268.5700000003</v>
      </c>
      <c r="U66" s="186">
        <v>1</v>
      </c>
      <c r="V66" s="187">
        <f t="shared" ref="V66" si="135">U66*$L$31</f>
        <v>3048268.5700000003</v>
      </c>
      <c r="W66" s="186">
        <v>1</v>
      </c>
      <c r="X66" s="187">
        <f t="shared" ref="X66" si="136">W66*$L$31</f>
        <v>3048268.5700000003</v>
      </c>
      <c r="Y66" s="186">
        <v>1</v>
      </c>
      <c r="Z66" s="187">
        <f>Y66*$L$31*1.5</f>
        <v>4572402.8550000004</v>
      </c>
      <c r="AA66" s="250">
        <f t="shared" si="118"/>
        <v>39627491.410000011</v>
      </c>
    </row>
    <row r="67" spans="2:30" ht="16">
      <c r="B67" s="82" t="s">
        <v>224</v>
      </c>
      <c r="C67" s="186">
        <v>1</v>
      </c>
      <c r="D67" s="187">
        <f>C67*$L$32</f>
        <v>1828968.57</v>
      </c>
      <c r="E67" s="186">
        <v>1</v>
      </c>
      <c r="F67" s="187">
        <f t="shared" ref="F67" si="137">E67*$L$32</f>
        <v>1828968.57</v>
      </c>
      <c r="G67" s="186">
        <v>1</v>
      </c>
      <c r="H67" s="187">
        <f t="shared" ref="H67" si="138">G67*$L$32</f>
        <v>1828968.57</v>
      </c>
      <c r="I67" s="186">
        <v>1</v>
      </c>
      <c r="J67" s="187">
        <f t="shared" ref="J67" si="139">I67*$L$32</f>
        <v>1828968.57</v>
      </c>
      <c r="K67" s="186">
        <v>1</v>
      </c>
      <c r="L67" s="187">
        <f t="shared" ref="L67" si="140">K67*$L$32</f>
        <v>1828968.57</v>
      </c>
      <c r="M67" s="186">
        <v>1</v>
      </c>
      <c r="N67" s="187">
        <f>M67*$L$32*1.5</f>
        <v>2743452.855</v>
      </c>
      <c r="O67" s="186">
        <v>1</v>
      </c>
      <c r="P67" s="187">
        <f t="shared" ref="P67" si="141">O67*$L$32</f>
        <v>1828968.57</v>
      </c>
      <c r="Q67" s="186">
        <v>1</v>
      </c>
      <c r="R67" s="187">
        <f t="shared" ref="R67" si="142">Q67*$L$32</f>
        <v>1828968.57</v>
      </c>
      <c r="S67" s="186">
        <v>1</v>
      </c>
      <c r="T67" s="187">
        <f t="shared" ref="T67" si="143">S67*$L$32</f>
        <v>1828968.57</v>
      </c>
      <c r="U67" s="186">
        <v>1</v>
      </c>
      <c r="V67" s="187">
        <f t="shared" ref="V67" si="144">U67*$L$32</f>
        <v>1828968.57</v>
      </c>
      <c r="W67" s="186">
        <v>1</v>
      </c>
      <c r="X67" s="187">
        <f t="shared" ref="X67" si="145">W67*$L$32</f>
        <v>1828968.57</v>
      </c>
      <c r="Y67" s="186">
        <v>1</v>
      </c>
      <c r="Z67" s="187">
        <f>Y67*$L$32*1.5</f>
        <v>2743452.855</v>
      </c>
      <c r="AA67" s="250">
        <f t="shared" si="118"/>
        <v>23776591.41</v>
      </c>
    </row>
    <row r="68" spans="2:30" ht="16">
      <c r="B68" s="82" t="s">
        <v>225</v>
      </c>
      <c r="C68" s="186">
        <v>1</v>
      </c>
      <c r="D68" s="187">
        <f>C68*$L$32</f>
        <v>1828968.57</v>
      </c>
      <c r="E68" s="186">
        <v>1</v>
      </c>
      <c r="F68" s="187">
        <f t="shared" ref="F68" si="146">E68*$L$32</f>
        <v>1828968.57</v>
      </c>
      <c r="G68" s="186">
        <v>1</v>
      </c>
      <c r="H68" s="187">
        <f t="shared" ref="H68" si="147">G68*$L$32</f>
        <v>1828968.57</v>
      </c>
      <c r="I68" s="186">
        <v>1</v>
      </c>
      <c r="J68" s="187">
        <f t="shared" ref="J68" si="148">I68*$L$32</f>
        <v>1828968.57</v>
      </c>
      <c r="K68" s="186">
        <v>1</v>
      </c>
      <c r="L68" s="187">
        <f t="shared" ref="L68" si="149">K68*$L$32</f>
        <v>1828968.57</v>
      </c>
      <c r="M68" s="186">
        <v>1</v>
      </c>
      <c r="N68" s="187">
        <f>M68*$L$32*1.5</f>
        <v>2743452.855</v>
      </c>
      <c r="O68" s="186">
        <v>1</v>
      </c>
      <c r="P68" s="187">
        <f t="shared" ref="P68" si="150">O68*$L$32</f>
        <v>1828968.57</v>
      </c>
      <c r="Q68" s="186">
        <v>1</v>
      </c>
      <c r="R68" s="187">
        <f t="shared" ref="R68" si="151">Q68*$L$32</f>
        <v>1828968.57</v>
      </c>
      <c r="S68" s="186">
        <v>1</v>
      </c>
      <c r="T68" s="187">
        <f t="shared" ref="T68" si="152">S68*$L$32</f>
        <v>1828968.57</v>
      </c>
      <c r="U68" s="186">
        <v>1</v>
      </c>
      <c r="V68" s="187">
        <f t="shared" ref="V68" si="153">U68*$L$32</f>
        <v>1828968.57</v>
      </c>
      <c r="W68" s="186">
        <v>1</v>
      </c>
      <c r="X68" s="187">
        <f t="shared" ref="X68" si="154">W68*$L$32</f>
        <v>1828968.57</v>
      </c>
      <c r="Y68" s="186">
        <v>1</v>
      </c>
      <c r="Z68" s="187">
        <f>Y68*$L$32*1.5</f>
        <v>2743452.855</v>
      </c>
      <c r="AA68" s="250">
        <f t="shared" si="118"/>
        <v>23776591.41</v>
      </c>
      <c r="AB68" s="503"/>
      <c r="AC68" s="503"/>
      <c r="AD68" s="503"/>
    </row>
    <row r="69" spans="2:30" ht="16">
      <c r="B69" s="404" t="s">
        <v>234</v>
      </c>
      <c r="C69" s="186">
        <v>0</v>
      </c>
      <c r="D69" s="187">
        <f>C69*$L$34</f>
        <v>0</v>
      </c>
      <c r="E69" s="186">
        <v>0</v>
      </c>
      <c r="F69" s="187">
        <f t="shared" ref="F69" si="155">E69*$L$34</f>
        <v>0</v>
      </c>
      <c r="G69" s="186">
        <v>0</v>
      </c>
      <c r="H69" s="187">
        <f t="shared" ref="H69" si="156">G69*$L$34</f>
        <v>0</v>
      </c>
      <c r="I69" s="186">
        <v>0</v>
      </c>
      <c r="J69" s="187">
        <f t="shared" ref="J69" si="157">I69*$L$34</f>
        <v>0</v>
      </c>
      <c r="K69" s="186">
        <v>0</v>
      </c>
      <c r="L69" s="187">
        <f t="shared" ref="L69" si="158">K69*$L$34</f>
        <v>0</v>
      </c>
      <c r="M69" s="186">
        <v>0</v>
      </c>
      <c r="N69" s="187">
        <f>M69*$L$34*1.5</f>
        <v>0</v>
      </c>
      <c r="O69" s="186">
        <v>1</v>
      </c>
      <c r="P69" s="187">
        <f t="shared" ref="P69" si="159">O69*$L$34</f>
        <v>2828968.57</v>
      </c>
      <c r="Q69" s="186">
        <v>1</v>
      </c>
      <c r="R69" s="187">
        <f t="shared" ref="R69" si="160">Q69*$L$34</f>
        <v>2828968.57</v>
      </c>
      <c r="S69" s="186">
        <v>1</v>
      </c>
      <c r="T69" s="187">
        <f t="shared" ref="T69" si="161">S69*$L$34</f>
        <v>2828968.57</v>
      </c>
      <c r="U69" s="186">
        <v>1</v>
      </c>
      <c r="V69" s="187">
        <f t="shared" ref="V69" si="162">U69*$L$34</f>
        <v>2828968.57</v>
      </c>
      <c r="W69" s="186">
        <v>1</v>
      </c>
      <c r="X69" s="187">
        <f t="shared" ref="X69" si="163">W69*$L$34</f>
        <v>2828968.57</v>
      </c>
      <c r="Y69" s="186">
        <v>1</v>
      </c>
      <c r="Z69" s="187">
        <f>Y69*$L$34*1.5</f>
        <v>4243452.8549999995</v>
      </c>
      <c r="AA69" s="250">
        <f t="shared" si="118"/>
        <v>18388295.704999998</v>
      </c>
      <c r="AB69" s="504">
        <f>R69*2</f>
        <v>5657937.1399999997</v>
      </c>
      <c r="AC69" s="504">
        <f>X69*0.5*2/6</f>
        <v>471494.76166666666</v>
      </c>
      <c r="AD69" s="504">
        <f>AB69+AC69</f>
        <v>6129431.9016666664</v>
      </c>
    </row>
    <row r="70" spans="2:30" ht="16">
      <c r="B70" s="82" t="s">
        <v>221</v>
      </c>
      <c r="C70" s="186">
        <v>0</v>
      </c>
      <c r="D70" s="187">
        <f>C70*$L$21</f>
        <v>0</v>
      </c>
      <c r="E70" s="186">
        <v>0</v>
      </c>
      <c r="F70" s="187">
        <f t="shared" ref="F70" si="164">E70*$L$21</f>
        <v>0</v>
      </c>
      <c r="G70" s="186">
        <v>0</v>
      </c>
      <c r="H70" s="187">
        <f t="shared" ref="H70" si="165">G70*$L$21</f>
        <v>0</v>
      </c>
      <c r="I70" s="186">
        <v>0</v>
      </c>
      <c r="J70" s="187">
        <f t="shared" ref="J70" si="166">I70*$L$21</f>
        <v>0</v>
      </c>
      <c r="K70" s="186">
        <v>0</v>
      </c>
      <c r="L70" s="187">
        <f t="shared" ref="L70" si="167">K70*$L$21</f>
        <v>0</v>
      </c>
      <c r="M70" s="186">
        <v>0</v>
      </c>
      <c r="N70" s="187">
        <f>M70*$L$21*1.5</f>
        <v>0</v>
      </c>
      <c r="O70" s="186">
        <v>0</v>
      </c>
      <c r="P70" s="187">
        <f t="shared" ref="P70" si="168">O70*$L$21</f>
        <v>0</v>
      </c>
      <c r="Q70" s="186">
        <v>0</v>
      </c>
      <c r="R70" s="187">
        <f t="shared" ref="R70" si="169">Q70*$L$21</f>
        <v>0</v>
      </c>
      <c r="S70" s="186">
        <v>0</v>
      </c>
      <c r="T70" s="187">
        <f t="shared" ref="T70" si="170">S70*$L$21</f>
        <v>0</v>
      </c>
      <c r="U70" s="186">
        <v>0</v>
      </c>
      <c r="V70" s="187">
        <f t="shared" ref="V70" si="171">U70*$L$21</f>
        <v>0</v>
      </c>
      <c r="W70" s="186">
        <v>0</v>
      </c>
      <c r="X70" s="187">
        <f t="shared" ref="X70" si="172">W70*$L$21</f>
        <v>0</v>
      </c>
      <c r="Y70" s="186">
        <v>0</v>
      </c>
      <c r="Z70" s="187">
        <f>Y70*$L$21*1.5</f>
        <v>0</v>
      </c>
      <c r="AA70" s="250">
        <f t="shared" si="118"/>
        <v>0</v>
      </c>
      <c r="AB70" s="503"/>
      <c r="AC70" s="503"/>
      <c r="AD70" s="503"/>
    </row>
    <row r="71" spans="2:30" ht="16">
      <c r="B71" s="82" t="s">
        <v>228</v>
      </c>
      <c r="C71" s="186">
        <v>0</v>
      </c>
      <c r="D71" s="187">
        <f>C71*$L$28</f>
        <v>0</v>
      </c>
      <c r="E71" s="186">
        <v>0</v>
      </c>
      <c r="F71" s="187">
        <f t="shared" ref="F71" si="173">E71*$L$28</f>
        <v>0</v>
      </c>
      <c r="G71" s="186">
        <v>0</v>
      </c>
      <c r="H71" s="187">
        <f t="shared" ref="H71" si="174">G71*$L$28</f>
        <v>0</v>
      </c>
      <c r="I71" s="186">
        <v>0</v>
      </c>
      <c r="J71" s="187">
        <f t="shared" ref="J71" si="175">I71*$L$28</f>
        <v>0</v>
      </c>
      <c r="K71" s="186">
        <v>0</v>
      </c>
      <c r="L71" s="187">
        <f t="shared" ref="L71" si="176">K71*$L$28</f>
        <v>0</v>
      </c>
      <c r="M71" s="186">
        <v>0</v>
      </c>
      <c r="N71" s="187">
        <f>M71*$L$28*1.5</f>
        <v>0</v>
      </c>
      <c r="O71" s="186">
        <v>0</v>
      </c>
      <c r="P71" s="187">
        <f t="shared" ref="P71" si="177">O71*$L$28</f>
        <v>0</v>
      </c>
      <c r="Q71" s="186">
        <v>0</v>
      </c>
      <c r="R71" s="187">
        <f t="shared" ref="R71" si="178">Q71*$L$28</f>
        <v>0</v>
      </c>
      <c r="S71" s="186">
        <v>0</v>
      </c>
      <c r="T71" s="187">
        <f t="shared" ref="T71" si="179">S71*$L$28</f>
        <v>0</v>
      </c>
      <c r="U71" s="186">
        <v>0</v>
      </c>
      <c r="V71" s="187">
        <f t="shared" ref="V71" si="180">U71*$L$28</f>
        <v>0</v>
      </c>
      <c r="W71" s="186">
        <v>0</v>
      </c>
      <c r="X71" s="187">
        <f t="shared" ref="X71" si="181">W71*$L$28</f>
        <v>0</v>
      </c>
      <c r="Y71" s="186">
        <v>0</v>
      </c>
      <c r="Z71" s="187">
        <f>Y71*$L$28*1.5</f>
        <v>0</v>
      </c>
      <c r="AA71" s="250">
        <f t="shared" si="118"/>
        <v>0</v>
      </c>
      <c r="AB71" s="503"/>
      <c r="AC71" s="503"/>
      <c r="AD71" s="503"/>
    </row>
    <row r="72" spans="2:30" ht="16">
      <c r="B72" s="82" t="s">
        <v>237</v>
      </c>
      <c r="C72" s="186">
        <v>0</v>
      </c>
      <c r="D72" s="187">
        <f>C72*$L$37</f>
        <v>0</v>
      </c>
      <c r="E72" s="186">
        <v>0</v>
      </c>
      <c r="F72" s="187">
        <f t="shared" ref="F72" si="182">E72*$L$37</f>
        <v>0</v>
      </c>
      <c r="G72" s="186">
        <v>0</v>
      </c>
      <c r="H72" s="187">
        <f t="shared" ref="H72" si="183">G72*$L$37</f>
        <v>0</v>
      </c>
      <c r="I72" s="186">
        <v>0</v>
      </c>
      <c r="J72" s="187">
        <f t="shared" ref="J72" si="184">I72*$L$37</f>
        <v>0</v>
      </c>
      <c r="K72" s="186">
        <v>0</v>
      </c>
      <c r="L72" s="187">
        <f t="shared" ref="L72" si="185">K72*$L$37</f>
        <v>0</v>
      </c>
      <c r="M72" s="186">
        <v>0</v>
      </c>
      <c r="N72" s="187">
        <f>M72*$L$37*1.5</f>
        <v>0</v>
      </c>
      <c r="O72" s="186">
        <v>0</v>
      </c>
      <c r="P72" s="187">
        <f t="shared" ref="P72" si="186">O72*$L$37</f>
        <v>0</v>
      </c>
      <c r="Q72" s="186">
        <v>0</v>
      </c>
      <c r="R72" s="187">
        <f t="shared" ref="R72" si="187">Q72*$L$37</f>
        <v>0</v>
      </c>
      <c r="S72" s="186">
        <v>0</v>
      </c>
      <c r="T72" s="187">
        <f t="shared" ref="T72" si="188">S72*$L$37</f>
        <v>0</v>
      </c>
      <c r="U72" s="186">
        <v>0</v>
      </c>
      <c r="V72" s="187">
        <f t="shared" ref="V72" si="189">U72*$L$37</f>
        <v>0</v>
      </c>
      <c r="W72" s="186">
        <v>0</v>
      </c>
      <c r="X72" s="187">
        <f t="shared" ref="X72" si="190">W72*$L$37</f>
        <v>0</v>
      </c>
      <c r="Y72" s="186">
        <v>0</v>
      </c>
      <c r="Z72" s="187">
        <f>Y72*$L$37*1.5</f>
        <v>0</v>
      </c>
      <c r="AA72" s="250">
        <f t="shared" si="118"/>
        <v>0</v>
      </c>
      <c r="AB72" s="503"/>
      <c r="AC72" s="503"/>
      <c r="AD72" s="503"/>
    </row>
    <row r="73" spans="2:30" ht="17" thickBot="1">
      <c r="B73" s="255" t="s">
        <v>120</v>
      </c>
      <c r="C73" s="33">
        <f>SUM(C63:C72)</f>
        <v>6</v>
      </c>
      <c r="D73" s="253">
        <f t="shared" ref="D73" si="191">SUM(D63:D72)</f>
        <v>13412411.42</v>
      </c>
      <c r="E73" s="33">
        <f t="shared" ref="E73:Z73" si="192">SUM(E63:E72)</f>
        <v>6</v>
      </c>
      <c r="F73" s="238">
        <f t="shared" si="192"/>
        <v>13412411.42</v>
      </c>
      <c r="G73" s="33">
        <f t="shared" si="192"/>
        <v>6</v>
      </c>
      <c r="H73" s="238">
        <f t="shared" si="192"/>
        <v>13412411.42</v>
      </c>
      <c r="I73" s="33">
        <f t="shared" si="192"/>
        <v>6</v>
      </c>
      <c r="J73" s="238">
        <f t="shared" si="192"/>
        <v>13412411.42</v>
      </c>
      <c r="K73" s="33">
        <f t="shared" si="192"/>
        <v>6</v>
      </c>
      <c r="L73" s="238">
        <f t="shared" si="192"/>
        <v>13412411.42</v>
      </c>
      <c r="M73" s="33">
        <f t="shared" si="192"/>
        <v>6</v>
      </c>
      <c r="N73" s="238">
        <f t="shared" si="192"/>
        <v>20118617.129999999</v>
      </c>
      <c r="O73" s="33">
        <f t="shared" si="192"/>
        <v>7</v>
      </c>
      <c r="P73" s="238">
        <f t="shared" si="192"/>
        <v>16241379.99</v>
      </c>
      <c r="Q73" s="33">
        <f t="shared" si="192"/>
        <v>7</v>
      </c>
      <c r="R73" s="238">
        <f t="shared" si="192"/>
        <v>16241379.99</v>
      </c>
      <c r="S73" s="33">
        <f t="shared" si="192"/>
        <v>7</v>
      </c>
      <c r="T73" s="238">
        <f t="shared" si="192"/>
        <v>16241379.99</v>
      </c>
      <c r="U73" s="33">
        <f t="shared" si="192"/>
        <v>7</v>
      </c>
      <c r="V73" s="238">
        <f t="shared" si="192"/>
        <v>16241379.99</v>
      </c>
      <c r="W73" s="33">
        <f t="shared" si="192"/>
        <v>7</v>
      </c>
      <c r="X73" s="238">
        <f t="shared" si="192"/>
        <v>16241379.99</v>
      </c>
      <c r="Y73" s="33">
        <f t="shared" si="192"/>
        <v>7</v>
      </c>
      <c r="Z73" s="238">
        <f t="shared" si="192"/>
        <v>24362069.984999999</v>
      </c>
      <c r="AA73" s="256">
        <f>Z73+X73+V73+T73+R73+P73+N73+L73+J73+H73+F73+D73</f>
        <v>192749644.16499993</v>
      </c>
    </row>
    <row r="74" spans="2:30" ht="16" thickBot="1">
      <c r="B74" s="257"/>
      <c r="C74" s="258"/>
      <c r="D74" s="258"/>
      <c r="E74" s="258"/>
      <c r="F74" s="258"/>
      <c r="G74" s="258"/>
      <c r="H74" s="258"/>
      <c r="I74" s="258"/>
      <c r="J74" s="258"/>
      <c r="K74" s="258"/>
      <c r="L74" s="258"/>
      <c r="M74" s="258"/>
      <c r="N74" s="258"/>
      <c r="O74" s="258"/>
      <c r="P74" s="258"/>
      <c r="Q74" s="258"/>
      <c r="R74" s="258"/>
      <c r="S74" s="258"/>
      <c r="T74" s="258"/>
      <c r="U74" s="258"/>
      <c r="V74" s="258"/>
      <c r="W74" s="258"/>
      <c r="X74" s="258"/>
      <c r="Y74" s="258"/>
      <c r="Z74" s="258"/>
      <c r="AA74" s="259"/>
    </row>
    <row r="75" spans="2:30" ht="16" thickBot="1"/>
    <row r="76" spans="2:30" ht="27" thickBot="1">
      <c r="B76" s="515" t="s">
        <v>355</v>
      </c>
      <c r="C76" s="516"/>
      <c r="D76" s="516"/>
      <c r="E76" s="516"/>
      <c r="F76" s="516"/>
      <c r="G76" s="516"/>
      <c r="H76" s="516"/>
      <c r="I76" s="516"/>
      <c r="J76" s="516"/>
      <c r="K76" s="516"/>
      <c r="L76" s="516"/>
      <c r="M76" s="516"/>
      <c r="N76" s="516"/>
      <c r="O76" s="516"/>
      <c r="P76" s="516"/>
      <c r="Q76" s="516"/>
      <c r="R76" s="516"/>
      <c r="S76" s="516"/>
      <c r="T76" s="516"/>
      <c r="U76" s="516"/>
      <c r="V76" s="516"/>
      <c r="W76" s="516"/>
      <c r="X76" s="516"/>
      <c r="Y76" s="516"/>
      <c r="Z76" s="516"/>
      <c r="AA76" s="517"/>
    </row>
    <row r="77" spans="2:30" ht="16">
      <c r="B77" s="693" t="s">
        <v>108</v>
      </c>
      <c r="C77" s="695" t="s">
        <v>38</v>
      </c>
      <c r="D77" s="695"/>
      <c r="E77" s="695" t="s">
        <v>39</v>
      </c>
      <c r="F77" s="695"/>
      <c r="G77" s="695" t="s">
        <v>40</v>
      </c>
      <c r="H77" s="695"/>
      <c r="I77" s="695" t="s">
        <v>41</v>
      </c>
      <c r="J77" s="695"/>
      <c r="K77" s="695" t="s">
        <v>42</v>
      </c>
      <c r="L77" s="695"/>
      <c r="M77" s="695" t="s">
        <v>118</v>
      </c>
      <c r="N77" s="695"/>
      <c r="O77" s="695" t="s">
        <v>44</v>
      </c>
      <c r="P77" s="695"/>
      <c r="Q77" s="695" t="s">
        <v>45</v>
      </c>
      <c r="R77" s="695"/>
      <c r="S77" s="695" t="s">
        <v>46</v>
      </c>
      <c r="T77" s="695"/>
      <c r="U77" s="695" t="s">
        <v>47</v>
      </c>
      <c r="V77" s="695"/>
      <c r="W77" s="695" t="s">
        <v>48</v>
      </c>
      <c r="X77" s="695"/>
      <c r="Y77" s="695" t="s">
        <v>119</v>
      </c>
      <c r="Z77" s="695"/>
      <c r="AA77" s="696" t="s">
        <v>92</v>
      </c>
    </row>
    <row r="78" spans="2:30" ht="16">
      <c r="B78" s="694"/>
      <c r="C78" s="237" t="s">
        <v>52</v>
      </c>
      <c r="D78" s="237" t="s">
        <v>68</v>
      </c>
      <c r="E78" s="237" t="s">
        <v>52</v>
      </c>
      <c r="F78" s="237" t="s">
        <v>68</v>
      </c>
      <c r="G78" s="237" t="s">
        <v>52</v>
      </c>
      <c r="H78" s="237" t="s">
        <v>68</v>
      </c>
      <c r="I78" s="237" t="s">
        <v>52</v>
      </c>
      <c r="J78" s="237" t="s">
        <v>68</v>
      </c>
      <c r="K78" s="237" t="s">
        <v>52</v>
      </c>
      <c r="L78" s="237" t="s">
        <v>68</v>
      </c>
      <c r="M78" s="237" t="s">
        <v>52</v>
      </c>
      <c r="N78" s="237" t="s">
        <v>68</v>
      </c>
      <c r="O78" s="237" t="s">
        <v>52</v>
      </c>
      <c r="P78" s="237" t="s">
        <v>68</v>
      </c>
      <c r="Q78" s="237" t="s">
        <v>52</v>
      </c>
      <c r="R78" s="237" t="s">
        <v>68</v>
      </c>
      <c r="S78" s="237" t="s">
        <v>52</v>
      </c>
      <c r="T78" s="237" t="s">
        <v>68</v>
      </c>
      <c r="U78" s="237" t="s">
        <v>52</v>
      </c>
      <c r="V78" s="237" t="s">
        <v>68</v>
      </c>
      <c r="W78" s="237" t="s">
        <v>52</v>
      </c>
      <c r="X78" s="237" t="s">
        <v>68</v>
      </c>
      <c r="Y78" s="237" t="s">
        <v>52</v>
      </c>
      <c r="Z78" s="237" t="s">
        <v>68</v>
      </c>
      <c r="AA78" s="697"/>
    </row>
    <row r="79" spans="2:30" ht="16">
      <c r="B79" s="82" t="s">
        <v>222</v>
      </c>
      <c r="C79" s="186">
        <v>1</v>
      </c>
      <c r="D79" s="187">
        <f>C79*$L$22</f>
        <v>2438618.5699999998</v>
      </c>
      <c r="E79" s="186">
        <v>1</v>
      </c>
      <c r="F79" s="187">
        <f t="shared" ref="F79" si="193">E79*$L$22</f>
        <v>2438618.5699999998</v>
      </c>
      <c r="G79" s="186">
        <v>1</v>
      </c>
      <c r="H79" s="187">
        <f t="shared" ref="H79" si="194">G79*$L$22</f>
        <v>2438618.5699999998</v>
      </c>
      <c r="I79" s="186">
        <v>1</v>
      </c>
      <c r="J79" s="187">
        <f t="shared" ref="J79" si="195">I79*$L$22</f>
        <v>2438618.5699999998</v>
      </c>
      <c r="K79" s="186">
        <v>1</v>
      </c>
      <c r="L79" s="187">
        <f t="shared" ref="L79" si="196">K79*$L$22</f>
        <v>2438618.5699999998</v>
      </c>
      <c r="M79" s="186">
        <v>1</v>
      </c>
      <c r="N79" s="187">
        <f>M79*$L$22*1.5</f>
        <v>3657927.8549999995</v>
      </c>
      <c r="O79" s="186">
        <v>1</v>
      </c>
      <c r="P79" s="187">
        <f t="shared" ref="P79" si="197">O79*$L$22</f>
        <v>2438618.5699999998</v>
      </c>
      <c r="Q79" s="186">
        <v>1</v>
      </c>
      <c r="R79" s="187">
        <f t="shared" ref="R79" si="198">Q79*$L$22</f>
        <v>2438618.5699999998</v>
      </c>
      <c r="S79" s="186">
        <v>1</v>
      </c>
      <c r="T79" s="187">
        <f t="shared" ref="T79" si="199">S79*$L$22</f>
        <v>2438618.5699999998</v>
      </c>
      <c r="U79" s="186">
        <v>1</v>
      </c>
      <c r="V79" s="187">
        <f t="shared" ref="V79" si="200">U79*$L$22</f>
        <v>2438618.5699999998</v>
      </c>
      <c r="W79" s="186">
        <v>1</v>
      </c>
      <c r="X79" s="187">
        <f t="shared" ref="X79" si="201">W79*$L$22</f>
        <v>2438618.5699999998</v>
      </c>
      <c r="Y79" s="186">
        <v>1</v>
      </c>
      <c r="Z79" s="187">
        <f>Y79*$L$22*1.5</f>
        <v>3657927.8549999995</v>
      </c>
      <c r="AA79" s="250">
        <f>D79+F79+H79+J79+L79+N79+P79+R79+T79+V79+X79+Z79</f>
        <v>31702041.41</v>
      </c>
    </row>
    <row r="80" spans="2:30" ht="16">
      <c r="B80" s="82" t="s">
        <v>229</v>
      </c>
      <c r="C80" s="186">
        <v>1</v>
      </c>
      <c r="D80" s="187">
        <f>C80*$L$29</f>
        <v>1828968.57</v>
      </c>
      <c r="E80" s="186">
        <v>1</v>
      </c>
      <c r="F80" s="187">
        <f t="shared" ref="F80" si="202">E80*$L$29</f>
        <v>1828968.57</v>
      </c>
      <c r="G80" s="186">
        <v>1</v>
      </c>
      <c r="H80" s="187">
        <f t="shared" ref="H80" si="203">G80*$L$29</f>
        <v>1828968.57</v>
      </c>
      <c r="I80" s="186">
        <v>1</v>
      </c>
      <c r="J80" s="187">
        <f t="shared" ref="J80" si="204">I80*$L$29</f>
        <v>1828968.57</v>
      </c>
      <c r="K80" s="186">
        <v>1</v>
      </c>
      <c r="L80" s="187">
        <f t="shared" ref="L80" si="205">K80*$L$29</f>
        <v>1828968.57</v>
      </c>
      <c r="M80" s="186">
        <v>1</v>
      </c>
      <c r="N80" s="187">
        <f>M80*$L$29*1.5</f>
        <v>2743452.855</v>
      </c>
      <c r="O80" s="186">
        <v>1</v>
      </c>
      <c r="P80" s="187">
        <f t="shared" ref="P80" si="206">O80*$L$29</f>
        <v>1828968.57</v>
      </c>
      <c r="Q80" s="186">
        <v>1</v>
      </c>
      <c r="R80" s="187">
        <f t="shared" ref="R80" si="207">Q80*$L$29</f>
        <v>1828968.57</v>
      </c>
      <c r="S80" s="186">
        <v>1</v>
      </c>
      <c r="T80" s="187">
        <f t="shared" ref="T80" si="208">S80*$L$29</f>
        <v>1828968.57</v>
      </c>
      <c r="U80" s="186">
        <v>1</v>
      </c>
      <c r="V80" s="187">
        <f t="shared" ref="V80" si="209">U80*$L$29</f>
        <v>1828968.57</v>
      </c>
      <c r="W80" s="186">
        <v>1</v>
      </c>
      <c r="X80" s="187">
        <f t="shared" ref="X80" si="210">W80*$L$29</f>
        <v>1828968.57</v>
      </c>
      <c r="Y80" s="186">
        <v>1</v>
      </c>
      <c r="Z80" s="187">
        <f>Y80*$L$29*1.5</f>
        <v>2743452.855</v>
      </c>
      <c r="AA80" s="250">
        <f t="shared" ref="AA80:AA88" si="211">D80+F80+H80+J80+L80+N80+P80+R80+T80+V80+X80+Z80</f>
        <v>23776591.41</v>
      </c>
    </row>
    <row r="81" spans="2:29" ht="16">
      <c r="B81" s="82" t="s">
        <v>230</v>
      </c>
      <c r="C81" s="186">
        <v>1</v>
      </c>
      <c r="D81" s="187">
        <f>C81*$L$30</f>
        <v>2438618.5699999998</v>
      </c>
      <c r="E81" s="186">
        <v>1</v>
      </c>
      <c r="F81" s="187">
        <f t="shared" ref="F81" si="212">E81*$L$30</f>
        <v>2438618.5699999998</v>
      </c>
      <c r="G81" s="186">
        <v>1</v>
      </c>
      <c r="H81" s="187">
        <f t="shared" ref="H81" si="213">G81*$L$30</f>
        <v>2438618.5699999998</v>
      </c>
      <c r="I81" s="186">
        <v>1</v>
      </c>
      <c r="J81" s="187">
        <f t="shared" ref="J81" si="214">I81*$L$30</f>
        <v>2438618.5699999998</v>
      </c>
      <c r="K81" s="186">
        <v>1</v>
      </c>
      <c r="L81" s="187">
        <f t="shared" ref="L81" si="215">K81*$L$30</f>
        <v>2438618.5699999998</v>
      </c>
      <c r="M81" s="186">
        <v>1</v>
      </c>
      <c r="N81" s="187">
        <f>M81*$L$30*1.5</f>
        <v>3657927.8549999995</v>
      </c>
      <c r="O81" s="186">
        <v>1</v>
      </c>
      <c r="P81" s="187">
        <f t="shared" ref="P81" si="216">O81*$L$30</f>
        <v>2438618.5699999998</v>
      </c>
      <c r="Q81" s="186">
        <v>1</v>
      </c>
      <c r="R81" s="187">
        <f t="shared" ref="R81" si="217">Q81*$L$30</f>
        <v>2438618.5699999998</v>
      </c>
      <c r="S81" s="186">
        <v>1</v>
      </c>
      <c r="T81" s="187">
        <f t="shared" ref="T81" si="218">S81*$L$30</f>
        <v>2438618.5699999998</v>
      </c>
      <c r="U81" s="186">
        <v>1</v>
      </c>
      <c r="V81" s="187">
        <f t="shared" ref="V81" si="219">U81*$L$30</f>
        <v>2438618.5699999998</v>
      </c>
      <c r="W81" s="186">
        <v>1</v>
      </c>
      <c r="X81" s="187">
        <f t="shared" ref="X81" si="220">W81*$L$30</f>
        <v>2438618.5699999998</v>
      </c>
      <c r="Y81" s="186">
        <v>1</v>
      </c>
      <c r="Z81" s="187">
        <f>Y81*$L$30*1.5</f>
        <v>3657927.8549999995</v>
      </c>
      <c r="AA81" s="250">
        <f t="shared" si="211"/>
        <v>31702041.41</v>
      </c>
    </row>
    <row r="82" spans="2:29" ht="16">
      <c r="B82" s="404" t="s">
        <v>231</v>
      </c>
      <c r="C82" s="186">
        <v>1</v>
      </c>
      <c r="D82" s="187">
        <f>C82*$L$31</f>
        <v>3048268.5700000003</v>
      </c>
      <c r="E82" s="186">
        <v>1</v>
      </c>
      <c r="F82" s="187">
        <f t="shared" ref="F82" si="221">E82*$L$31</f>
        <v>3048268.5700000003</v>
      </c>
      <c r="G82" s="186">
        <v>1</v>
      </c>
      <c r="H82" s="187">
        <f t="shared" ref="H82" si="222">G82*$L$31</f>
        <v>3048268.5700000003</v>
      </c>
      <c r="I82" s="186">
        <v>1</v>
      </c>
      <c r="J82" s="187">
        <f t="shared" ref="J82" si="223">I82*$L$31</f>
        <v>3048268.5700000003</v>
      </c>
      <c r="K82" s="186">
        <v>1</v>
      </c>
      <c r="L82" s="187">
        <f t="shared" ref="L82" si="224">K82*$L$31</f>
        <v>3048268.5700000003</v>
      </c>
      <c r="M82" s="186">
        <v>1</v>
      </c>
      <c r="N82" s="187">
        <f>M82*$L$31*1.5</f>
        <v>4572402.8550000004</v>
      </c>
      <c r="O82" s="186">
        <v>1</v>
      </c>
      <c r="P82" s="187">
        <f t="shared" ref="P82" si="225">O82*$L$31</f>
        <v>3048268.5700000003</v>
      </c>
      <c r="Q82" s="186">
        <v>1</v>
      </c>
      <c r="R82" s="187">
        <f t="shared" ref="R82" si="226">Q82*$L$31</f>
        <v>3048268.5700000003</v>
      </c>
      <c r="S82" s="186">
        <v>1</v>
      </c>
      <c r="T82" s="187">
        <f t="shared" ref="T82" si="227">S82*$L$31</f>
        <v>3048268.5700000003</v>
      </c>
      <c r="U82" s="186">
        <v>1</v>
      </c>
      <c r="V82" s="187">
        <f t="shared" ref="V82" si="228">U82*$L$31</f>
        <v>3048268.5700000003</v>
      </c>
      <c r="W82" s="186">
        <v>1</v>
      </c>
      <c r="X82" s="187">
        <f t="shared" ref="X82" si="229">W82*$L$31</f>
        <v>3048268.5700000003</v>
      </c>
      <c r="Y82" s="186">
        <v>1</v>
      </c>
      <c r="Z82" s="187">
        <f>Y82*$L$31*1.5</f>
        <v>4572402.8550000004</v>
      </c>
      <c r="AA82" s="250">
        <f t="shared" si="211"/>
        <v>39627491.410000011</v>
      </c>
    </row>
    <row r="83" spans="2:29" ht="16">
      <c r="B83" s="82" t="s">
        <v>224</v>
      </c>
      <c r="C83" s="186">
        <v>1</v>
      </c>
      <c r="D83" s="187">
        <f>C83*$L$32</f>
        <v>1828968.57</v>
      </c>
      <c r="E83" s="186">
        <v>1</v>
      </c>
      <c r="F83" s="187">
        <f t="shared" ref="F83" si="230">E83*$L$32</f>
        <v>1828968.57</v>
      </c>
      <c r="G83" s="186">
        <v>1</v>
      </c>
      <c r="H83" s="187">
        <f t="shared" ref="H83" si="231">G83*$L$32</f>
        <v>1828968.57</v>
      </c>
      <c r="I83" s="186">
        <v>1</v>
      </c>
      <c r="J83" s="187">
        <f t="shared" ref="J83" si="232">I83*$L$32</f>
        <v>1828968.57</v>
      </c>
      <c r="K83" s="186">
        <v>1</v>
      </c>
      <c r="L83" s="187">
        <f t="shared" ref="L83" si="233">K83*$L$32</f>
        <v>1828968.57</v>
      </c>
      <c r="M83" s="186">
        <v>1</v>
      </c>
      <c r="N83" s="187">
        <f>M83*$L$32*1.5</f>
        <v>2743452.855</v>
      </c>
      <c r="O83" s="186">
        <v>1</v>
      </c>
      <c r="P83" s="187">
        <f t="shared" ref="P83" si="234">O83*$L$32</f>
        <v>1828968.57</v>
      </c>
      <c r="Q83" s="186">
        <v>1</v>
      </c>
      <c r="R83" s="187">
        <f t="shared" ref="R83" si="235">Q83*$L$32</f>
        <v>1828968.57</v>
      </c>
      <c r="S83" s="186">
        <v>1</v>
      </c>
      <c r="T83" s="187">
        <f t="shared" ref="T83" si="236">S83*$L$32</f>
        <v>1828968.57</v>
      </c>
      <c r="U83" s="186">
        <v>1</v>
      </c>
      <c r="V83" s="187">
        <f t="shared" ref="V83" si="237">U83*$L$32</f>
        <v>1828968.57</v>
      </c>
      <c r="W83" s="186">
        <v>1</v>
      </c>
      <c r="X83" s="187">
        <f t="shared" ref="X83" si="238">W83*$L$32</f>
        <v>1828968.57</v>
      </c>
      <c r="Y83" s="186">
        <v>1</v>
      </c>
      <c r="Z83" s="187">
        <f>Y83*$L$32*1.5</f>
        <v>2743452.855</v>
      </c>
      <c r="AA83" s="250">
        <f t="shared" si="211"/>
        <v>23776591.41</v>
      </c>
    </row>
    <row r="84" spans="2:29" ht="16">
      <c r="B84" s="82" t="s">
        <v>225</v>
      </c>
      <c r="C84" s="186">
        <v>1</v>
      </c>
      <c r="D84" s="187">
        <f>C84*$L$32</f>
        <v>1828968.57</v>
      </c>
      <c r="E84" s="186">
        <v>1</v>
      </c>
      <c r="F84" s="187">
        <f t="shared" ref="F84" si="239">E84*$L$32</f>
        <v>1828968.57</v>
      </c>
      <c r="G84" s="186">
        <v>1</v>
      </c>
      <c r="H84" s="187">
        <f t="shared" ref="H84" si="240">G84*$L$32</f>
        <v>1828968.57</v>
      </c>
      <c r="I84" s="186">
        <v>1</v>
      </c>
      <c r="J84" s="187">
        <f t="shared" ref="J84" si="241">I84*$L$32</f>
        <v>1828968.57</v>
      </c>
      <c r="K84" s="186">
        <v>1</v>
      </c>
      <c r="L84" s="187">
        <f t="shared" ref="L84" si="242">K84*$L$32</f>
        <v>1828968.57</v>
      </c>
      <c r="M84" s="186">
        <v>1</v>
      </c>
      <c r="N84" s="187">
        <f>M84*$L$32*1.5</f>
        <v>2743452.855</v>
      </c>
      <c r="O84" s="186">
        <v>1</v>
      </c>
      <c r="P84" s="187">
        <f t="shared" ref="P84" si="243">O84*$L$32</f>
        <v>1828968.57</v>
      </c>
      <c r="Q84" s="186">
        <v>1</v>
      </c>
      <c r="R84" s="187">
        <f t="shared" ref="R84" si="244">Q84*$L$32</f>
        <v>1828968.57</v>
      </c>
      <c r="S84" s="186">
        <v>1</v>
      </c>
      <c r="T84" s="187">
        <f t="shared" ref="T84" si="245">S84*$L$32</f>
        <v>1828968.57</v>
      </c>
      <c r="U84" s="186">
        <v>1</v>
      </c>
      <c r="V84" s="187">
        <f t="shared" ref="V84" si="246">U84*$L$32</f>
        <v>1828968.57</v>
      </c>
      <c r="W84" s="186">
        <v>1</v>
      </c>
      <c r="X84" s="187">
        <f t="shared" ref="X84" si="247">W84*$L$32</f>
        <v>1828968.57</v>
      </c>
      <c r="Y84" s="186">
        <v>1</v>
      </c>
      <c r="Z84" s="187">
        <f>Y84*$L$32*1.5</f>
        <v>2743452.855</v>
      </c>
      <c r="AA84" s="250">
        <f t="shared" si="211"/>
        <v>23776591.41</v>
      </c>
      <c r="AC84" s="34"/>
    </row>
    <row r="85" spans="2:29" ht="16">
      <c r="B85" s="404" t="s">
        <v>234</v>
      </c>
      <c r="C85" s="186">
        <v>1</v>
      </c>
      <c r="D85" s="187">
        <f>C85*$L$34</f>
        <v>2828968.57</v>
      </c>
      <c r="E85" s="186">
        <v>1</v>
      </c>
      <c r="F85" s="187">
        <f t="shared" ref="F85" si="248">E85*$L$34</f>
        <v>2828968.57</v>
      </c>
      <c r="G85" s="186">
        <v>1</v>
      </c>
      <c r="H85" s="187">
        <f t="shared" ref="H85" si="249">G85*$L$34</f>
        <v>2828968.57</v>
      </c>
      <c r="I85" s="186">
        <v>1</v>
      </c>
      <c r="J85" s="187">
        <f t="shared" ref="J85" si="250">I85*$L$34</f>
        <v>2828968.57</v>
      </c>
      <c r="K85" s="186">
        <v>1</v>
      </c>
      <c r="L85" s="187">
        <f t="shared" ref="L85" si="251">K85*$L$34</f>
        <v>2828968.57</v>
      </c>
      <c r="M85" s="186">
        <v>1</v>
      </c>
      <c r="N85" s="187">
        <f>M85*$L$34*1.5</f>
        <v>4243452.8549999995</v>
      </c>
      <c r="O85" s="186">
        <v>1</v>
      </c>
      <c r="P85" s="187">
        <f t="shared" ref="P85" si="252">O85*$L$34</f>
        <v>2828968.57</v>
      </c>
      <c r="Q85" s="186">
        <v>1</v>
      </c>
      <c r="R85" s="187">
        <f t="shared" ref="R85" si="253">Q85*$L$34</f>
        <v>2828968.57</v>
      </c>
      <c r="S85" s="186">
        <v>1</v>
      </c>
      <c r="T85" s="187">
        <f t="shared" ref="T85" si="254">S85*$L$34</f>
        <v>2828968.57</v>
      </c>
      <c r="U85" s="186">
        <v>1</v>
      </c>
      <c r="V85" s="187">
        <f t="shared" ref="V85" si="255">U85*$L$34</f>
        <v>2828968.57</v>
      </c>
      <c r="W85" s="186">
        <v>1</v>
      </c>
      <c r="X85" s="187">
        <f t="shared" ref="X85" si="256">W85*$L$34</f>
        <v>2828968.57</v>
      </c>
      <c r="Y85" s="186">
        <v>1</v>
      </c>
      <c r="Z85" s="187">
        <f>Y85*$L$34*1.5</f>
        <v>4243452.8549999995</v>
      </c>
      <c r="AA85" s="250">
        <f t="shared" si="211"/>
        <v>36776591.409999996</v>
      </c>
    </row>
    <row r="86" spans="2:29" ht="16">
      <c r="B86" s="82" t="s">
        <v>221</v>
      </c>
      <c r="C86" s="186">
        <v>1</v>
      </c>
      <c r="D86" s="187">
        <f>C86*$L$21</f>
        <v>1828968.57</v>
      </c>
      <c r="E86" s="186">
        <v>1</v>
      </c>
      <c r="F86" s="187">
        <f t="shared" ref="F86" si="257">E86*$L$21</f>
        <v>1828968.57</v>
      </c>
      <c r="G86" s="186">
        <v>1</v>
      </c>
      <c r="H86" s="187">
        <f t="shared" ref="H86" si="258">G86*$L$21</f>
        <v>1828968.57</v>
      </c>
      <c r="I86" s="186">
        <v>1</v>
      </c>
      <c r="J86" s="187">
        <f t="shared" ref="J86" si="259">I86*$L$21</f>
        <v>1828968.57</v>
      </c>
      <c r="K86" s="186">
        <v>1</v>
      </c>
      <c r="L86" s="187">
        <f t="shared" ref="L86" si="260">K86*$L$21</f>
        <v>1828968.57</v>
      </c>
      <c r="M86" s="186">
        <v>1</v>
      </c>
      <c r="N86" s="187">
        <f>M86*$L$21*1.5</f>
        <v>2743452.855</v>
      </c>
      <c r="O86" s="186">
        <v>1</v>
      </c>
      <c r="P86" s="187">
        <f t="shared" ref="P86" si="261">O86*$L$21</f>
        <v>1828968.57</v>
      </c>
      <c r="Q86" s="186">
        <v>1</v>
      </c>
      <c r="R86" s="187">
        <f t="shared" ref="R86" si="262">Q86*$L$21</f>
        <v>1828968.57</v>
      </c>
      <c r="S86" s="186">
        <v>1</v>
      </c>
      <c r="T86" s="187">
        <f t="shared" ref="T86" si="263">S86*$L$21</f>
        <v>1828968.57</v>
      </c>
      <c r="U86" s="186">
        <v>1</v>
      </c>
      <c r="V86" s="187">
        <f t="shared" ref="V86" si="264">U86*$L$21</f>
        <v>1828968.57</v>
      </c>
      <c r="W86" s="186">
        <v>1</v>
      </c>
      <c r="X86" s="187">
        <f t="shared" ref="X86" si="265">W86*$L$21</f>
        <v>1828968.57</v>
      </c>
      <c r="Y86" s="186">
        <v>1</v>
      </c>
      <c r="Z86" s="187">
        <f>Y86*$L$21*1.5</f>
        <v>2743452.855</v>
      </c>
      <c r="AA86" s="250">
        <f t="shared" si="211"/>
        <v>23776591.41</v>
      </c>
    </row>
    <row r="87" spans="2:29" ht="16">
      <c r="B87" s="82" t="s">
        <v>228</v>
      </c>
      <c r="C87" s="186">
        <v>1</v>
      </c>
      <c r="D87" s="187">
        <f>C87*$L$28</f>
        <v>1828968.57</v>
      </c>
      <c r="E87" s="186">
        <v>1</v>
      </c>
      <c r="F87" s="187">
        <f t="shared" ref="F87" si="266">E87*$L$28</f>
        <v>1828968.57</v>
      </c>
      <c r="G87" s="186">
        <v>1</v>
      </c>
      <c r="H87" s="187">
        <f t="shared" ref="H87" si="267">G87*$L$28</f>
        <v>1828968.57</v>
      </c>
      <c r="I87" s="186">
        <v>1</v>
      </c>
      <c r="J87" s="187">
        <f t="shared" ref="J87" si="268">I87*$L$28</f>
        <v>1828968.57</v>
      </c>
      <c r="K87" s="186">
        <v>1</v>
      </c>
      <c r="L87" s="187">
        <f t="shared" ref="L87" si="269">K87*$L$28</f>
        <v>1828968.57</v>
      </c>
      <c r="M87" s="186">
        <v>1</v>
      </c>
      <c r="N87" s="187">
        <f>M87*$L$28*1.5</f>
        <v>2743452.855</v>
      </c>
      <c r="O87" s="186">
        <v>1</v>
      </c>
      <c r="P87" s="187">
        <f t="shared" ref="P87" si="270">O87*$L$28</f>
        <v>1828968.57</v>
      </c>
      <c r="Q87" s="186">
        <v>1</v>
      </c>
      <c r="R87" s="187">
        <f t="shared" ref="R87" si="271">Q87*$L$28</f>
        <v>1828968.57</v>
      </c>
      <c r="S87" s="186">
        <v>1</v>
      </c>
      <c r="T87" s="187">
        <f t="shared" ref="T87" si="272">S87*$L$28</f>
        <v>1828968.57</v>
      </c>
      <c r="U87" s="186">
        <v>1</v>
      </c>
      <c r="V87" s="187">
        <f t="shared" ref="V87" si="273">U87*$L$28</f>
        <v>1828968.57</v>
      </c>
      <c r="W87" s="186">
        <v>1</v>
      </c>
      <c r="X87" s="187">
        <f t="shared" ref="X87" si="274">W87*$L$28</f>
        <v>1828968.57</v>
      </c>
      <c r="Y87" s="186">
        <v>1</v>
      </c>
      <c r="Z87" s="187">
        <f>Y87*$L$28*1.5</f>
        <v>2743452.855</v>
      </c>
      <c r="AA87" s="250">
        <f t="shared" si="211"/>
        <v>23776591.41</v>
      </c>
    </row>
    <row r="88" spans="2:29" ht="16">
      <c r="B88" s="82" t="s">
        <v>237</v>
      </c>
      <c r="C88" s="186">
        <v>1</v>
      </c>
      <c r="D88" s="187">
        <f>C88*$L$37</f>
        <v>2828968.57</v>
      </c>
      <c r="E88" s="186">
        <v>1</v>
      </c>
      <c r="F88" s="187">
        <f t="shared" ref="F88" si="275">E88*$L$37</f>
        <v>2828968.57</v>
      </c>
      <c r="G88" s="186">
        <v>1</v>
      </c>
      <c r="H88" s="187">
        <f t="shared" ref="H88" si="276">G88*$L$37</f>
        <v>2828968.57</v>
      </c>
      <c r="I88" s="186">
        <v>1</v>
      </c>
      <c r="J88" s="187">
        <f t="shared" ref="J88" si="277">I88*$L$37</f>
        <v>2828968.57</v>
      </c>
      <c r="K88" s="186">
        <v>1</v>
      </c>
      <c r="L88" s="187">
        <f t="shared" ref="L88" si="278">K88*$L$37</f>
        <v>2828968.57</v>
      </c>
      <c r="M88" s="186">
        <v>1</v>
      </c>
      <c r="N88" s="187">
        <f>M88*$L$37*1.5</f>
        <v>4243452.8549999995</v>
      </c>
      <c r="O88" s="186">
        <v>1</v>
      </c>
      <c r="P88" s="187">
        <f t="shared" ref="P88" si="279">O88*$L$37</f>
        <v>2828968.57</v>
      </c>
      <c r="Q88" s="186">
        <v>1</v>
      </c>
      <c r="R88" s="187">
        <f t="shared" ref="R88" si="280">Q88*$L$37</f>
        <v>2828968.57</v>
      </c>
      <c r="S88" s="186">
        <v>1</v>
      </c>
      <c r="T88" s="187">
        <f t="shared" ref="T88" si="281">S88*$L$37</f>
        <v>2828968.57</v>
      </c>
      <c r="U88" s="186">
        <v>1</v>
      </c>
      <c r="V88" s="187">
        <f t="shared" ref="V88" si="282">U88*$L$37</f>
        <v>2828968.57</v>
      </c>
      <c r="W88" s="186">
        <v>1</v>
      </c>
      <c r="X88" s="187">
        <f t="shared" ref="X88" si="283">W88*$L$37</f>
        <v>2828968.57</v>
      </c>
      <c r="Y88" s="186">
        <v>1</v>
      </c>
      <c r="Z88" s="187">
        <f>Y88*$L$37*1.5</f>
        <v>4243452.8549999995</v>
      </c>
      <c r="AA88" s="250">
        <f t="shared" si="211"/>
        <v>36776591.409999996</v>
      </c>
    </row>
    <row r="89" spans="2:29" ht="17" thickBot="1">
      <c r="B89" s="251" t="s">
        <v>120</v>
      </c>
      <c r="C89" s="252">
        <f t="shared" ref="C89:Z89" si="284">SUM(C79:C88)</f>
        <v>10</v>
      </c>
      <c r="D89" s="253">
        <f t="shared" si="284"/>
        <v>22728285.699999999</v>
      </c>
      <c r="E89" s="252">
        <f t="shared" si="284"/>
        <v>10</v>
      </c>
      <c r="F89" s="253">
        <f t="shared" si="284"/>
        <v>22728285.699999999</v>
      </c>
      <c r="G89" s="252">
        <f t="shared" si="284"/>
        <v>10</v>
      </c>
      <c r="H89" s="253">
        <f t="shared" si="284"/>
        <v>22728285.699999999</v>
      </c>
      <c r="I89" s="252">
        <f t="shared" si="284"/>
        <v>10</v>
      </c>
      <c r="J89" s="253">
        <f t="shared" si="284"/>
        <v>22728285.699999999</v>
      </c>
      <c r="K89" s="252">
        <f t="shared" si="284"/>
        <v>10</v>
      </c>
      <c r="L89" s="253">
        <f t="shared" si="284"/>
        <v>22728285.699999999</v>
      </c>
      <c r="M89" s="252">
        <f t="shared" si="284"/>
        <v>10</v>
      </c>
      <c r="N89" s="253">
        <f t="shared" si="284"/>
        <v>34092428.549999997</v>
      </c>
      <c r="O89" s="252">
        <f t="shared" si="284"/>
        <v>10</v>
      </c>
      <c r="P89" s="253">
        <f t="shared" si="284"/>
        <v>22728285.699999999</v>
      </c>
      <c r="Q89" s="252">
        <f t="shared" si="284"/>
        <v>10</v>
      </c>
      <c r="R89" s="253">
        <f t="shared" si="284"/>
        <v>22728285.699999999</v>
      </c>
      <c r="S89" s="252">
        <f t="shared" si="284"/>
        <v>10</v>
      </c>
      <c r="T89" s="253">
        <f t="shared" si="284"/>
        <v>22728285.699999999</v>
      </c>
      <c r="U89" s="252">
        <f t="shared" si="284"/>
        <v>10</v>
      </c>
      <c r="V89" s="253">
        <f t="shared" si="284"/>
        <v>22728285.699999999</v>
      </c>
      <c r="W89" s="252">
        <f t="shared" si="284"/>
        <v>10</v>
      </c>
      <c r="X89" s="253">
        <f t="shared" si="284"/>
        <v>22728285.699999999</v>
      </c>
      <c r="Y89" s="252">
        <f t="shared" si="284"/>
        <v>10</v>
      </c>
      <c r="Z89" s="253">
        <f t="shared" si="284"/>
        <v>34092428.549999997</v>
      </c>
      <c r="AA89" s="254">
        <f>Z89+X89+V89+T89+R89+P89+N89+L89+J89+H89+F89+D89</f>
        <v>295467714.09999996</v>
      </c>
    </row>
    <row r="93" spans="2:29">
      <c r="U93" s="34"/>
      <c r="W93" s="34"/>
      <c r="X93" s="34"/>
      <c r="Y93" s="34"/>
      <c r="Z93" s="34"/>
    </row>
  </sheetData>
  <mergeCells count="58">
    <mergeCell ref="AA77:AA78"/>
    <mergeCell ref="B4:D4"/>
    <mergeCell ref="H4:J4"/>
    <mergeCell ref="B76:AA76"/>
    <mergeCell ref="B77:B78"/>
    <mergeCell ref="C77:D77"/>
    <mergeCell ref="E77:F77"/>
    <mergeCell ref="G77:H77"/>
    <mergeCell ref="I77:J77"/>
    <mergeCell ref="K77:L77"/>
    <mergeCell ref="M77:N77"/>
    <mergeCell ref="O77:P77"/>
    <mergeCell ref="Q77:R77"/>
    <mergeCell ref="S77:T77"/>
    <mergeCell ref="U77:V77"/>
    <mergeCell ref="W77:X77"/>
    <mergeCell ref="Y77:Z77"/>
    <mergeCell ref="K12:K13"/>
    <mergeCell ref="L12:L13"/>
    <mergeCell ref="B11:L11"/>
    <mergeCell ref="C44:D44"/>
    <mergeCell ref="E44:F44"/>
    <mergeCell ref="G44:H44"/>
    <mergeCell ref="I44:J44"/>
    <mergeCell ref="K44:L44"/>
    <mergeCell ref="D12:D13"/>
    <mergeCell ref="C12:C13"/>
    <mergeCell ref="B12:B13"/>
    <mergeCell ref="Y44:Z44"/>
    <mergeCell ref="B44:B45"/>
    <mergeCell ref="B43:AA43"/>
    <mergeCell ref="AA44:AA45"/>
    <mergeCell ref="W44:X44"/>
    <mergeCell ref="B15:B22"/>
    <mergeCell ref="B34:B36"/>
    <mergeCell ref="B37:B39"/>
    <mergeCell ref="B31:B33"/>
    <mergeCell ref="B23:B30"/>
    <mergeCell ref="M44:N44"/>
    <mergeCell ref="O44:P44"/>
    <mergeCell ref="Q44:R44"/>
    <mergeCell ref="S44:T44"/>
    <mergeCell ref="U44:V44"/>
    <mergeCell ref="B60:AA60"/>
    <mergeCell ref="B61:B62"/>
    <mergeCell ref="C61:D61"/>
    <mergeCell ref="E61:F61"/>
    <mergeCell ref="G61:H61"/>
    <mergeCell ref="I61:J61"/>
    <mergeCell ref="K61:L61"/>
    <mergeCell ref="M61:N61"/>
    <mergeCell ref="AA61:AA62"/>
    <mergeCell ref="O61:P61"/>
    <mergeCell ref="Q61:R61"/>
    <mergeCell ref="S61:T61"/>
    <mergeCell ref="U61:V61"/>
    <mergeCell ref="W61:X61"/>
    <mergeCell ref="Y61:Z6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4"/>
  <sheetViews>
    <sheetView zoomScale="120" zoomScaleNormal="120" workbookViewId="0">
      <pane ySplit="1" topLeftCell="A2" activePane="bottomLeft" state="frozen"/>
      <selection pane="bottomLeft" activeCell="D11" sqref="D11"/>
    </sheetView>
  </sheetViews>
  <sheetFormatPr baseColWidth="10" defaultColWidth="11.5" defaultRowHeight="15"/>
  <cols>
    <col min="1" max="1" width="17.6640625" style="1" customWidth="1"/>
    <col min="2" max="3" width="15.33203125" style="1" bestFit="1" customWidth="1"/>
    <col min="4" max="4" width="18.5" style="1" customWidth="1"/>
    <col min="5" max="7" width="11.5" style="1"/>
    <col min="8" max="8" width="15.5" style="1" customWidth="1"/>
    <col min="9" max="16384" width="11.5" style="1"/>
  </cols>
  <sheetData>
    <row r="1" spans="1:15" customFormat="1" ht="58.5" customHeight="1">
      <c r="A1" s="373"/>
      <c r="B1" s="373"/>
      <c r="C1" s="373"/>
      <c r="D1" s="373"/>
      <c r="E1" s="373"/>
      <c r="F1" s="380" t="s">
        <v>7</v>
      </c>
      <c r="G1" s="381"/>
      <c r="H1" s="381"/>
      <c r="I1" s="373"/>
      <c r="J1" s="373"/>
      <c r="K1" s="373"/>
      <c r="L1" s="373"/>
      <c r="M1" s="373"/>
      <c r="N1" s="373"/>
      <c r="O1" s="373"/>
    </row>
    <row r="2" spans="1:15" ht="16" thickBot="1"/>
    <row r="3" spans="1:15" ht="27" thickBot="1">
      <c r="B3" s="505" t="s">
        <v>32</v>
      </c>
      <c r="C3" s="506"/>
      <c r="D3" s="507"/>
    </row>
    <row r="4" spans="1:15">
      <c r="B4" s="33">
        <v>2025</v>
      </c>
      <c r="C4" s="33">
        <v>2026</v>
      </c>
      <c r="D4" s="33">
        <v>2027</v>
      </c>
    </row>
    <row r="5" spans="1:15">
      <c r="B5" s="39">
        <f>Hipótesis!C24</f>
        <v>0.04</v>
      </c>
      <c r="C5" s="39">
        <f>Hipótesis!C25</f>
        <v>0.06</v>
      </c>
      <c r="D5" s="39">
        <f>Hipótesis!C26</f>
        <v>0.09</v>
      </c>
    </row>
    <row r="6" spans="1:15">
      <c r="B6" s="32">
        <f>Hipótesis!D24</f>
        <v>177120000</v>
      </c>
      <c r="C6" s="32">
        <f>Hipótesis!D25</f>
        <v>265680000</v>
      </c>
      <c r="D6" s="32">
        <f>Hipótesis!D26</f>
        <v>398520000</v>
      </c>
    </row>
    <row r="7" spans="1:15" ht="16" thickBot="1">
      <c r="B7" s="185"/>
      <c r="C7" s="185"/>
      <c r="D7" s="185"/>
    </row>
    <row r="8" spans="1:15" ht="27" thickBot="1">
      <c r="B8" s="505" t="s">
        <v>124</v>
      </c>
      <c r="C8" s="506"/>
      <c r="D8" s="507"/>
    </row>
    <row r="9" spans="1:15">
      <c r="B9" s="33">
        <v>2025</v>
      </c>
      <c r="C9" s="33">
        <v>2026</v>
      </c>
      <c r="D9" s="33">
        <v>2027</v>
      </c>
    </row>
    <row r="10" spans="1:15">
      <c r="A10" s="240" t="s">
        <v>121</v>
      </c>
      <c r="B10" s="239">
        <f>'Costos fijos'!$G$5</f>
        <v>40672572</v>
      </c>
      <c r="C10" s="239">
        <f>'Costos fijos'!$H$5</f>
        <v>42139416</v>
      </c>
      <c r="D10" s="239">
        <f>'Costos fijos'!$I$5</f>
        <v>43846260</v>
      </c>
    </row>
    <row r="11" spans="1:15">
      <c r="A11" s="240" t="s">
        <v>122</v>
      </c>
      <c r="B11" s="239">
        <f>'Costos variables'!$H$6</f>
        <v>4268280</v>
      </c>
      <c r="C11" s="239">
        <f>'Costos variables'!$I$6</f>
        <v>6270720.0000000009</v>
      </c>
      <c r="D11" s="239">
        <f>'Costos variables'!$J$6</f>
        <v>9098820</v>
      </c>
    </row>
    <row r="12" spans="1:15">
      <c r="A12" s="240" t="s">
        <v>123</v>
      </c>
      <c r="B12" s="239">
        <f>'Costos RRHH'!$H$6</f>
        <v>126808165.64</v>
      </c>
      <c r="C12" s="239">
        <f>'Costos RRHH'!$I$6</f>
        <v>192749644.16499993</v>
      </c>
      <c r="D12" s="239">
        <f>'Costos RRHH'!$J$6</f>
        <v>295467714.09999996</v>
      </c>
    </row>
    <row r="13" spans="1:15">
      <c r="A13" s="240" t="s">
        <v>124</v>
      </c>
      <c r="B13" s="241">
        <f>SUM(B9:B12)</f>
        <v>171751042.63999999</v>
      </c>
      <c r="C13" s="241">
        <f>SUM(C9:C12)</f>
        <v>241161806.16499993</v>
      </c>
      <c r="D13" s="241">
        <f>SUM(D9:D12)</f>
        <v>348414821.09999996</v>
      </c>
    </row>
    <row r="14" spans="1:15">
      <c r="A14" s="240" t="s">
        <v>125</v>
      </c>
      <c r="B14" s="239">
        <f>+'Mod. ingresos'!C22</f>
        <v>177460000</v>
      </c>
      <c r="C14" s="239">
        <f>+'Mod. ingresos'!D22</f>
        <v>265040000</v>
      </c>
      <c r="D14" s="239">
        <f>+'Mod. ingresos'!E22</f>
        <v>398490000</v>
      </c>
    </row>
  </sheetData>
  <mergeCells count="2">
    <mergeCell ref="B3:D3"/>
    <mergeCell ref="B8:D8"/>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2"/>
  <sheetViews>
    <sheetView zoomScale="110" zoomScaleNormal="110" workbookViewId="0">
      <pane ySplit="1" topLeftCell="A16" activePane="bottomLeft" state="frozen"/>
      <selection pane="bottomLeft" activeCell="B18" sqref="B18:E42"/>
    </sheetView>
  </sheetViews>
  <sheetFormatPr baseColWidth="10" defaultColWidth="11.5" defaultRowHeight="15"/>
  <cols>
    <col min="1" max="1" width="11.5" style="1"/>
    <col min="2" max="2" width="48" style="1" customWidth="1"/>
    <col min="3" max="3" width="20.83203125" style="1" customWidth="1"/>
    <col min="4" max="4" width="19.1640625" style="1" customWidth="1"/>
    <col min="5" max="5" width="14.5" style="1" customWidth="1"/>
    <col min="6" max="6" width="19.83203125" style="1" customWidth="1"/>
    <col min="7" max="7" width="15" style="1" bestFit="1" customWidth="1"/>
    <col min="8" max="8" width="15.5" style="1" customWidth="1"/>
    <col min="9" max="9" width="12.5" style="1" customWidth="1"/>
    <col min="10" max="10" width="16.6640625" style="1" customWidth="1"/>
    <col min="11" max="16384" width="11.5" style="1"/>
  </cols>
  <sheetData>
    <row r="1" spans="1:12" customFormat="1" ht="58.5" customHeight="1">
      <c r="A1" s="373"/>
      <c r="B1" s="373"/>
      <c r="C1" s="373"/>
      <c r="D1" s="373"/>
      <c r="E1" s="373"/>
      <c r="F1" s="380" t="s">
        <v>8</v>
      </c>
      <c r="G1" s="381"/>
      <c r="H1" s="381"/>
      <c r="I1" s="373"/>
      <c r="J1" s="373"/>
      <c r="K1" s="373"/>
      <c r="L1" s="373"/>
    </row>
    <row r="2" spans="1:12" ht="16" thickBot="1"/>
    <row r="3" spans="1:12" ht="27" thickBot="1">
      <c r="B3" s="505" t="s">
        <v>32</v>
      </c>
      <c r="C3" s="506"/>
      <c r="D3" s="507"/>
      <c r="G3" s="528" t="s">
        <v>126</v>
      </c>
      <c r="H3" s="529"/>
      <c r="I3" s="529"/>
      <c r="J3" s="530"/>
    </row>
    <row r="4" spans="1:12">
      <c r="B4" s="61">
        <v>2025</v>
      </c>
      <c r="C4" s="33">
        <v>2026</v>
      </c>
      <c r="D4" s="62">
        <v>2027</v>
      </c>
      <c r="G4" s="246" t="s">
        <v>127</v>
      </c>
      <c r="H4" s="247">
        <v>2025</v>
      </c>
      <c r="I4" s="247">
        <v>2026</v>
      </c>
      <c r="J4" s="248">
        <v>2027</v>
      </c>
    </row>
    <row r="5" spans="1:12" ht="16" thickBot="1">
      <c r="B5" s="63">
        <f>Hipótesis!$C$24</f>
        <v>0.04</v>
      </c>
      <c r="C5" s="39">
        <f>Hipótesis!$C$25</f>
        <v>0.06</v>
      </c>
      <c r="D5" s="64">
        <f>Hipótesis!$C$26</f>
        <v>0.09</v>
      </c>
      <c r="G5" s="243">
        <f>$E$16</f>
        <v>5200000</v>
      </c>
      <c r="H5" s="244">
        <f>$E$24</f>
        <v>5862388</v>
      </c>
      <c r="I5" s="244">
        <f>$E$33</f>
        <v>4396791</v>
      </c>
      <c r="J5" s="245">
        <f>$E$42</f>
        <v>4396791</v>
      </c>
    </row>
    <row r="6" spans="1:12" ht="16" thickBot="1">
      <c r="B6" s="65">
        <f>Hipótesis!$D$24</f>
        <v>177120000</v>
      </c>
      <c r="C6" s="66">
        <f>Hipótesis!$D$25</f>
        <v>265680000</v>
      </c>
      <c r="D6" s="67">
        <f>Hipótesis!$D$26</f>
        <v>398520000</v>
      </c>
    </row>
    <row r="8" spans="1:12" ht="16" thickBot="1"/>
    <row r="9" spans="1:12" ht="27" thickBot="1">
      <c r="B9" s="515" t="s">
        <v>128</v>
      </c>
      <c r="C9" s="516"/>
      <c r="D9" s="516"/>
      <c r="E9" s="516"/>
      <c r="F9" s="517"/>
    </row>
    <row r="10" spans="1:12" ht="17" thickBot="1">
      <c r="B10" s="78" t="s">
        <v>55</v>
      </c>
      <c r="C10" s="70" t="s">
        <v>52</v>
      </c>
      <c r="D10" s="70" t="s">
        <v>129</v>
      </c>
      <c r="E10" s="70" t="s">
        <v>96</v>
      </c>
      <c r="F10" s="79" t="s">
        <v>131</v>
      </c>
    </row>
    <row r="11" spans="1:12" ht="16">
      <c r="B11" s="405" t="s">
        <v>130</v>
      </c>
      <c r="C11" s="445"/>
      <c r="D11" s="276">
        <v>1152999</v>
      </c>
      <c r="E11" s="446">
        <f>C11*D11</f>
        <v>0</v>
      </c>
      <c r="F11" s="449" t="s">
        <v>317</v>
      </c>
    </row>
    <row r="12" spans="1:12" ht="16">
      <c r="B12" s="82" t="s">
        <v>255</v>
      </c>
      <c r="C12" s="304"/>
      <c r="D12" s="242">
        <v>43600</v>
      </c>
      <c r="E12" s="386">
        <f>C12*D12</f>
        <v>0</v>
      </c>
      <c r="F12" s="450" t="s">
        <v>318</v>
      </c>
    </row>
    <row r="13" spans="1:12" ht="16">
      <c r="B13" s="82" t="s">
        <v>246</v>
      </c>
      <c r="C13" s="304"/>
      <c r="D13" s="242">
        <v>195999</v>
      </c>
      <c r="E13" s="386">
        <f>C13*D13</f>
        <v>0</v>
      </c>
      <c r="F13" s="450" t="s">
        <v>318</v>
      </c>
    </row>
    <row r="14" spans="1:12" ht="16">
      <c r="B14" s="82" t="s">
        <v>247</v>
      </c>
      <c r="C14" s="303"/>
      <c r="D14" s="242">
        <v>72999</v>
      </c>
      <c r="E14" s="386">
        <f>C14*D14</f>
        <v>0</v>
      </c>
      <c r="F14" s="450" t="s">
        <v>318</v>
      </c>
    </row>
    <row r="15" spans="1:12" ht="16" thickBot="1">
      <c r="B15" s="260" t="s">
        <v>314</v>
      </c>
      <c r="C15" s="261">
        <v>1</v>
      </c>
      <c r="D15" s="244">
        <v>5200000</v>
      </c>
      <c r="E15" s="447">
        <f t="shared" ref="E15" si="0">C15*D15</f>
        <v>5200000</v>
      </c>
      <c r="F15" s="448" t="s">
        <v>322</v>
      </c>
    </row>
    <row r="16" spans="1:12" ht="16" thickBot="1">
      <c r="B16" s="709" t="s">
        <v>19</v>
      </c>
      <c r="C16" s="710"/>
      <c r="D16" s="711"/>
      <c r="E16" s="262">
        <f>SUM(E11:E15)</f>
        <v>5200000</v>
      </c>
    </row>
    <row r="17" spans="2:8" ht="16" thickBot="1"/>
    <row r="18" spans="2:8" ht="27" thickBot="1">
      <c r="B18" s="505" t="s">
        <v>191</v>
      </c>
      <c r="C18" s="506"/>
      <c r="D18" s="506"/>
      <c r="E18" s="507"/>
      <c r="F18" s="263"/>
      <c r="G18" s="34"/>
    </row>
    <row r="19" spans="2:8" ht="17" thickBot="1">
      <c r="B19" s="78" t="s">
        <v>55</v>
      </c>
      <c r="C19" s="70" t="s">
        <v>52</v>
      </c>
      <c r="D19" s="70" t="s">
        <v>129</v>
      </c>
      <c r="E19" s="79" t="s">
        <v>96</v>
      </c>
    </row>
    <row r="20" spans="2:8" ht="16">
      <c r="B20" s="405" t="s">
        <v>130</v>
      </c>
      <c r="C20" s="445">
        <v>4</v>
      </c>
      <c r="D20" s="276">
        <v>1152999</v>
      </c>
      <c r="E20" s="444">
        <f>C20*D20</f>
        <v>4611996</v>
      </c>
    </row>
    <row r="21" spans="2:8" ht="16">
      <c r="B21" s="82" t="s">
        <v>255</v>
      </c>
      <c r="C21" s="304">
        <v>4</v>
      </c>
      <c r="D21" s="242">
        <v>43600</v>
      </c>
      <c r="E21" s="264">
        <f t="shared" ref="E21:E23" si="1">C21*D21</f>
        <v>174400</v>
      </c>
    </row>
    <row r="22" spans="2:8" ht="16">
      <c r="B22" s="82" t="s">
        <v>246</v>
      </c>
      <c r="C22" s="304">
        <v>4</v>
      </c>
      <c r="D22" s="242">
        <v>195999</v>
      </c>
      <c r="E22" s="264">
        <f t="shared" si="1"/>
        <v>783996</v>
      </c>
    </row>
    <row r="23" spans="2:8" ht="16">
      <c r="B23" s="82" t="s">
        <v>247</v>
      </c>
      <c r="C23" s="303">
        <v>4</v>
      </c>
      <c r="D23" s="242">
        <v>72999</v>
      </c>
      <c r="E23" s="264">
        <f t="shared" si="1"/>
        <v>291996</v>
      </c>
      <c r="G23" s="712"/>
      <c r="H23" s="712"/>
    </row>
    <row r="24" spans="2:8" ht="16" thickBot="1">
      <c r="B24" s="709" t="s">
        <v>19</v>
      </c>
      <c r="C24" s="710"/>
      <c r="D24" s="711"/>
      <c r="E24" s="262">
        <f>SUM(E20:E23)</f>
        <v>5862388</v>
      </c>
    </row>
    <row r="26" spans="2:8" ht="16" thickBot="1"/>
    <row r="27" spans="2:8" ht="27" thickBot="1">
      <c r="B27" s="505" t="s">
        <v>315</v>
      </c>
      <c r="C27" s="506"/>
      <c r="D27" s="506"/>
      <c r="E27" s="507"/>
    </row>
    <row r="28" spans="2:8" ht="17" thickBot="1">
      <c r="B28" s="78" t="s">
        <v>55</v>
      </c>
      <c r="C28" s="70" t="s">
        <v>52</v>
      </c>
      <c r="D28" s="70" t="s">
        <v>129</v>
      </c>
      <c r="E28" s="79" t="s">
        <v>96</v>
      </c>
    </row>
    <row r="29" spans="2:8" ht="16">
      <c r="B29" s="405" t="s">
        <v>130</v>
      </c>
      <c r="C29" s="445">
        <v>3</v>
      </c>
      <c r="D29" s="276">
        <v>1152999</v>
      </c>
      <c r="E29" s="444">
        <f>C29*D29</f>
        <v>3458997</v>
      </c>
    </row>
    <row r="30" spans="2:8" ht="16">
      <c r="B30" s="82" t="s">
        <v>255</v>
      </c>
      <c r="C30" s="304">
        <v>3</v>
      </c>
      <c r="D30" s="242">
        <v>43600</v>
      </c>
      <c r="E30" s="264">
        <f t="shared" ref="E30:E32" si="2">C30*D30</f>
        <v>130800</v>
      </c>
    </row>
    <row r="31" spans="2:8" ht="16">
      <c r="B31" s="82" t="s">
        <v>246</v>
      </c>
      <c r="C31" s="304">
        <v>3</v>
      </c>
      <c r="D31" s="242">
        <v>195999</v>
      </c>
      <c r="E31" s="264">
        <f t="shared" si="2"/>
        <v>587997</v>
      </c>
    </row>
    <row r="32" spans="2:8" ht="16">
      <c r="B32" s="82" t="s">
        <v>247</v>
      </c>
      <c r="C32" s="303">
        <v>3</v>
      </c>
      <c r="D32" s="242">
        <v>72999</v>
      </c>
      <c r="E32" s="264">
        <f t="shared" si="2"/>
        <v>218997</v>
      </c>
    </row>
    <row r="33" spans="2:5" ht="16" thickBot="1">
      <c r="B33" s="709" t="s">
        <v>19</v>
      </c>
      <c r="C33" s="710"/>
      <c r="D33" s="711"/>
      <c r="E33" s="262">
        <f>SUM(E29:E32)</f>
        <v>4396791</v>
      </c>
    </row>
    <row r="35" spans="2:5" ht="16" thickBot="1"/>
    <row r="36" spans="2:5" ht="27" thickBot="1">
      <c r="B36" s="505" t="s">
        <v>316</v>
      </c>
      <c r="C36" s="506"/>
      <c r="D36" s="506"/>
      <c r="E36" s="507"/>
    </row>
    <row r="37" spans="2:5" ht="17" thickBot="1">
      <c r="B37" s="78" t="s">
        <v>55</v>
      </c>
      <c r="C37" s="70" t="s">
        <v>52</v>
      </c>
      <c r="D37" s="70" t="s">
        <v>129</v>
      </c>
      <c r="E37" s="79" t="s">
        <v>96</v>
      </c>
    </row>
    <row r="38" spans="2:5" ht="16">
      <c r="B38" s="405" t="s">
        <v>130</v>
      </c>
      <c r="C38" s="275">
        <v>3</v>
      </c>
      <c r="D38" s="276">
        <v>1152999</v>
      </c>
      <c r="E38" s="444">
        <f>C38*D38</f>
        <v>3458997</v>
      </c>
    </row>
    <row r="39" spans="2:5" ht="16">
      <c r="B39" s="82" t="s">
        <v>255</v>
      </c>
      <c r="C39" s="186">
        <v>3</v>
      </c>
      <c r="D39" s="242">
        <v>43600</v>
      </c>
      <c r="E39" s="264">
        <f t="shared" ref="E39:E41" si="3">C39*D39</f>
        <v>130800</v>
      </c>
    </row>
    <row r="40" spans="2:5" ht="16">
      <c r="B40" s="82" t="s">
        <v>246</v>
      </c>
      <c r="C40" s="186">
        <v>3</v>
      </c>
      <c r="D40" s="242">
        <v>195999</v>
      </c>
      <c r="E40" s="264">
        <f t="shared" si="3"/>
        <v>587997</v>
      </c>
    </row>
    <row r="41" spans="2:5" ht="16">
      <c r="B41" s="82" t="s">
        <v>247</v>
      </c>
      <c r="C41" s="186">
        <v>3</v>
      </c>
      <c r="D41" s="242">
        <v>72999</v>
      </c>
      <c r="E41" s="264">
        <f t="shared" si="3"/>
        <v>218997</v>
      </c>
    </row>
    <row r="42" spans="2:5" ht="16" thickBot="1">
      <c r="B42" s="709" t="s">
        <v>19</v>
      </c>
      <c r="C42" s="710"/>
      <c r="D42" s="711"/>
      <c r="E42" s="262">
        <f>SUM(E38:E41)</f>
        <v>4396791</v>
      </c>
    </row>
  </sheetData>
  <mergeCells count="11">
    <mergeCell ref="B3:D3"/>
    <mergeCell ref="G3:J3"/>
    <mergeCell ref="B16:D16"/>
    <mergeCell ref="B9:F9"/>
    <mergeCell ref="B36:E36"/>
    <mergeCell ref="B42:D42"/>
    <mergeCell ref="G23:H23"/>
    <mergeCell ref="B24:D24"/>
    <mergeCell ref="B18:E18"/>
    <mergeCell ref="B27:E27"/>
    <mergeCell ref="B33:D33"/>
  </mergeCells>
  <hyperlinks>
    <hyperlink ref="F11" r:id="rId1" xr:uid="{806D3048-572F-5946-A240-C9E74C247C87}"/>
    <hyperlink ref="F12" r:id="rId2" xr:uid="{4F533456-F53A-2D40-9CA0-237633902134}"/>
    <hyperlink ref="F13" r:id="rId3" xr:uid="{E193E742-1E3F-0D44-BB6C-4E097E184130}"/>
    <hyperlink ref="F14" r:id="rId4" xr:uid="{423830C9-00D0-BA47-915F-D4097477CF60}"/>
  </hyperlinks>
  <pageMargins left="0.7" right="0.7" top="0.75" bottom="0.75" header="0.3" footer="0.3"/>
  <pageSetup orientation="portrait" r:id="rId5"/>
  <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5"/>
  <sheetViews>
    <sheetView topLeftCell="B1" zoomScale="110" zoomScaleNormal="110" workbookViewId="0">
      <pane ySplit="1" topLeftCell="A2" activePane="bottomLeft" state="frozen"/>
      <selection pane="bottomLeft" activeCell="I3" sqref="I3:K5"/>
    </sheetView>
  </sheetViews>
  <sheetFormatPr baseColWidth="10" defaultColWidth="11.5" defaultRowHeight="15"/>
  <cols>
    <col min="1" max="1" width="11.5" style="1"/>
    <col min="2" max="2" width="19.33203125" style="1" customWidth="1"/>
    <col min="3" max="3" width="43.6640625" style="1" customWidth="1"/>
    <col min="4" max="4" width="15.33203125" style="1" bestFit="1" customWidth="1"/>
    <col min="5" max="5" width="22.1640625" style="1" customWidth="1"/>
    <col min="6" max="6" width="17.5" style="1" customWidth="1"/>
    <col min="7" max="7" width="14.5" style="1" customWidth="1"/>
    <col min="8" max="8" width="13.5" style="1" bestFit="1" customWidth="1"/>
    <col min="9" max="9" width="15.33203125" style="1" customWidth="1"/>
    <col min="10" max="10" width="14.1640625" style="1" bestFit="1" customWidth="1"/>
    <col min="11" max="11" width="15.33203125" style="1" customWidth="1"/>
    <col min="12" max="13" width="16.33203125" style="1" bestFit="1" customWidth="1"/>
    <col min="14" max="16384" width="11.5" style="1"/>
  </cols>
  <sheetData>
    <row r="1" spans="1:15" customFormat="1" ht="58.5" customHeight="1">
      <c r="A1" s="373"/>
      <c r="B1" s="373"/>
      <c r="C1" s="373"/>
      <c r="D1" s="373"/>
      <c r="E1" s="373"/>
      <c r="F1" s="373"/>
      <c r="G1" s="380" t="s">
        <v>9</v>
      </c>
      <c r="H1" s="381"/>
      <c r="I1" s="373"/>
      <c r="J1" s="373"/>
      <c r="K1" s="373"/>
      <c r="L1" s="373"/>
      <c r="M1" s="373"/>
      <c r="N1" s="373"/>
      <c r="O1" s="373"/>
    </row>
    <row r="2" spans="1:15" ht="16" thickBot="1"/>
    <row r="3" spans="1:15" ht="27" thickBot="1">
      <c r="B3" s="505" t="s">
        <v>32</v>
      </c>
      <c r="C3" s="506"/>
      <c r="D3" s="507"/>
      <c r="E3" s="38"/>
      <c r="I3" s="505" t="s">
        <v>9</v>
      </c>
      <c r="J3" s="506"/>
      <c r="K3" s="507"/>
    </row>
    <row r="4" spans="1:15">
      <c r="B4" s="33">
        <v>2025</v>
      </c>
      <c r="C4" s="33">
        <v>2026</v>
      </c>
      <c r="D4" s="33">
        <v>2027</v>
      </c>
      <c r="E4" s="121"/>
      <c r="I4" s="246">
        <v>2025</v>
      </c>
      <c r="J4" s="247">
        <v>2026</v>
      </c>
      <c r="K4" s="248">
        <v>2027</v>
      </c>
    </row>
    <row r="5" spans="1:15" ht="16" thickBot="1">
      <c r="B5" s="39">
        <f>Hipótesis!$C$24</f>
        <v>0.04</v>
      </c>
      <c r="C5" s="39">
        <f>Hipótesis!$C$25</f>
        <v>0.06</v>
      </c>
      <c r="D5" s="39">
        <f>Hipótesis!$C$26</f>
        <v>0.09</v>
      </c>
      <c r="E5" s="188"/>
      <c r="I5" s="243">
        <f>$K$15</f>
        <v>0</v>
      </c>
      <c r="J5" s="244">
        <f>$L$15</f>
        <v>1885996.9333333333</v>
      </c>
      <c r="K5" s="245">
        <f>$M$15</f>
        <v>1414497.7</v>
      </c>
    </row>
    <row r="6" spans="1:15">
      <c r="B6" s="32">
        <f>Hipótesis!$D$24</f>
        <v>177120000</v>
      </c>
      <c r="C6" s="32">
        <f>Hipótesis!D25</f>
        <v>265680000</v>
      </c>
      <c r="D6" s="32">
        <f>Hipótesis!D26</f>
        <v>398520000</v>
      </c>
      <c r="E6" s="185"/>
    </row>
    <row r="7" spans="1:15" ht="16" thickBot="1"/>
    <row r="8" spans="1:15" ht="27" thickBot="1">
      <c r="B8" s="725" t="s">
        <v>9</v>
      </c>
      <c r="C8" s="726"/>
      <c r="D8" s="726"/>
      <c r="E8" s="726"/>
      <c r="F8" s="726"/>
      <c r="G8" s="726"/>
      <c r="H8" s="726"/>
      <c r="I8" s="726"/>
      <c r="J8" s="726"/>
      <c r="K8" s="726"/>
      <c r="L8" s="726"/>
      <c r="M8" s="727"/>
    </row>
    <row r="9" spans="1:15">
      <c r="B9" s="722" t="s">
        <v>133</v>
      </c>
      <c r="C9" s="723" t="s">
        <v>55</v>
      </c>
      <c r="D9" s="723" t="s">
        <v>52</v>
      </c>
      <c r="E9" s="718" t="s">
        <v>129</v>
      </c>
      <c r="F9" s="716" t="s">
        <v>135</v>
      </c>
      <c r="G9" s="722" t="s">
        <v>136</v>
      </c>
      <c r="H9" s="723"/>
      <c r="I9" s="723"/>
      <c r="J9" s="724"/>
      <c r="K9" s="722" t="s">
        <v>132</v>
      </c>
      <c r="L9" s="723"/>
      <c r="M9" s="724"/>
    </row>
    <row r="10" spans="1:15" ht="16" thickBot="1">
      <c r="B10" s="728"/>
      <c r="C10" s="729"/>
      <c r="D10" s="729"/>
      <c r="E10" s="719"/>
      <c r="F10" s="717"/>
      <c r="G10" s="278" t="s">
        <v>134</v>
      </c>
      <c r="H10" s="279" t="s">
        <v>192</v>
      </c>
      <c r="I10" s="279" t="s">
        <v>319</v>
      </c>
      <c r="J10" s="280" t="s">
        <v>320</v>
      </c>
      <c r="K10" s="279" t="s">
        <v>192</v>
      </c>
      <c r="L10" s="279" t="s">
        <v>319</v>
      </c>
      <c r="M10" s="280" t="s">
        <v>320</v>
      </c>
    </row>
    <row r="11" spans="1:15" ht="16">
      <c r="B11" s="720" t="s">
        <v>321</v>
      </c>
      <c r="C11" s="405" t="s">
        <v>130</v>
      </c>
      <c r="D11" s="275">
        <v>0</v>
      </c>
      <c r="E11" s="276">
        <v>1152999</v>
      </c>
      <c r="F11" s="277">
        <v>3</v>
      </c>
      <c r="G11" s="270">
        <f t="shared" ref="G11:G14" si="0">D11*E11</f>
        <v>0</v>
      </c>
      <c r="H11" s="267">
        <f>'Mod. inversión'!E20</f>
        <v>4611996</v>
      </c>
      <c r="I11" s="267">
        <f>'Mod. inversión'!E29</f>
        <v>3458997</v>
      </c>
      <c r="J11" s="267">
        <f>'Mod. inversión'!E38</f>
        <v>3458997</v>
      </c>
      <c r="K11" s="271">
        <f>$G$11/$F$11</f>
        <v>0</v>
      </c>
      <c r="L11" s="268">
        <f>$H$11/$F$11</f>
        <v>1537332</v>
      </c>
      <c r="M11" s="272">
        <f>$I$11/$F$11</f>
        <v>1152999</v>
      </c>
    </row>
    <row r="12" spans="1:15" ht="16">
      <c r="B12" s="721"/>
      <c r="C12" s="82" t="s">
        <v>255</v>
      </c>
      <c r="D12" s="186">
        <v>0</v>
      </c>
      <c r="E12" s="242">
        <v>43600</v>
      </c>
      <c r="F12" s="269">
        <v>3</v>
      </c>
      <c r="G12" s="270">
        <f>D12*E12</f>
        <v>0</v>
      </c>
      <c r="H12" s="267">
        <f>'Mod. inversión'!E21</f>
        <v>174400</v>
      </c>
      <c r="I12" s="267">
        <f>'Mod. inversión'!E30</f>
        <v>130800</v>
      </c>
      <c r="J12" s="267">
        <f>'Mod. inversión'!E39</f>
        <v>130800</v>
      </c>
      <c r="K12" s="271">
        <f>$G$12/$F$12</f>
        <v>0</v>
      </c>
      <c r="L12" s="268">
        <f>$H$12/$F$12</f>
        <v>58133.333333333336</v>
      </c>
      <c r="M12" s="272">
        <f>$I$12/$F$12</f>
        <v>43600</v>
      </c>
    </row>
    <row r="13" spans="1:15" ht="16">
      <c r="B13" s="721"/>
      <c r="C13" s="82" t="s">
        <v>246</v>
      </c>
      <c r="D13" s="186">
        <v>0</v>
      </c>
      <c r="E13" s="242">
        <v>195999</v>
      </c>
      <c r="F13" s="269">
        <v>3</v>
      </c>
      <c r="G13" s="270">
        <f t="shared" si="0"/>
        <v>0</v>
      </c>
      <c r="H13" s="267">
        <f>'Mod. inversión'!E22</f>
        <v>783996</v>
      </c>
      <c r="I13" s="267">
        <f>'Mod. inversión'!E31</f>
        <v>587997</v>
      </c>
      <c r="J13" s="267">
        <f>'Mod. inversión'!E40</f>
        <v>587997</v>
      </c>
      <c r="K13" s="271">
        <f>$G$13/$F$13</f>
        <v>0</v>
      </c>
      <c r="L13" s="268">
        <f>$H$13/$F$13</f>
        <v>261332</v>
      </c>
      <c r="M13" s="272">
        <f>I13/F13</f>
        <v>195999</v>
      </c>
    </row>
    <row r="14" spans="1:15" ht="17" thickBot="1">
      <c r="B14" s="721"/>
      <c r="C14" s="82" t="s">
        <v>247</v>
      </c>
      <c r="D14" s="186">
        <v>0</v>
      </c>
      <c r="E14" s="242">
        <v>72999</v>
      </c>
      <c r="F14" s="269">
        <v>10</v>
      </c>
      <c r="G14" s="270">
        <f t="shared" si="0"/>
        <v>0</v>
      </c>
      <c r="H14" s="267">
        <f>'Mod. inversión'!E23</f>
        <v>291996</v>
      </c>
      <c r="I14" s="267">
        <f>'Mod. inversión'!E32</f>
        <v>218997</v>
      </c>
      <c r="J14" s="267">
        <f>'Mod. inversión'!E41</f>
        <v>218997</v>
      </c>
      <c r="K14" s="271">
        <f>$G$14/$F$14</f>
        <v>0</v>
      </c>
      <c r="L14" s="268">
        <f>$H$14/$F$14</f>
        <v>29199.599999999999</v>
      </c>
      <c r="M14" s="272">
        <f>I14/F14</f>
        <v>21899.7</v>
      </c>
    </row>
    <row r="15" spans="1:15" ht="17" thickBot="1">
      <c r="B15" s="713" t="s">
        <v>120</v>
      </c>
      <c r="C15" s="714"/>
      <c r="D15" s="714"/>
      <c r="E15" s="714"/>
      <c r="F15" s="714"/>
      <c r="G15" s="714"/>
      <c r="H15" s="714"/>
      <c r="I15" s="714"/>
      <c r="J15" s="715"/>
      <c r="K15" s="281">
        <f>SUM(K11:K14)</f>
        <v>0</v>
      </c>
      <c r="L15" s="273">
        <f>SUM(L11:L14)</f>
        <v>1885996.9333333333</v>
      </c>
      <c r="M15" s="274">
        <f>SUM(M11:M14)</f>
        <v>1414497.7</v>
      </c>
    </row>
  </sheetData>
  <mergeCells count="12">
    <mergeCell ref="B15:J15"/>
    <mergeCell ref="F9:F10"/>
    <mergeCell ref="E9:E10"/>
    <mergeCell ref="B11:B14"/>
    <mergeCell ref="B3:D3"/>
    <mergeCell ref="I3:K3"/>
    <mergeCell ref="G9:J9"/>
    <mergeCell ref="K9:M9"/>
    <mergeCell ref="B8:M8"/>
    <mergeCell ref="B9:B10"/>
    <mergeCell ref="C9:C10"/>
    <mergeCell ref="D9:D1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8"/>
  <sheetViews>
    <sheetView tabSelected="1" zoomScale="110" zoomScaleNormal="110" workbookViewId="0">
      <pane ySplit="1" topLeftCell="A2" activePane="bottomLeft" state="frozen"/>
      <selection pane="bottomLeft" activeCell="G28" sqref="G28"/>
    </sheetView>
  </sheetViews>
  <sheetFormatPr baseColWidth="10" defaultColWidth="11.5" defaultRowHeight="15"/>
  <cols>
    <col min="1" max="1" width="6" style="1" customWidth="1"/>
    <col min="2" max="2" width="15" style="1" bestFit="1" customWidth="1"/>
    <col min="3" max="3" width="29.5" style="1" customWidth="1"/>
    <col min="4" max="4" width="19.6640625" style="1" customWidth="1"/>
    <col min="5" max="5" width="19" style="1" customWidth="1"/>
    <col min="6" max="6" width="15.1640625" style="1" bestFit="1" customWidth="1"/>
    <col min="7" max="7" width="23.1640625" style="1" customWidth="1"/>
    <col min="8" max="8" width="14.1640625" style="1" bestFit="1" customWidth="1"/>
    <col min="9" max="9" width="14.5" style="1" bestFit="1" customWidth="1"/>
    <col min="10" max="10" width="15.1640625" style="1" customWidth="1"/>
    <col min="11" max="13" width="15.6640625" style="1" bestFit="1" customWidth="1"/>
    <col min="14" max="14" width="23.5" style="1" customWidth="1"/>
    <col min="15" max="16384" width="11.5" style="1"/>
  </cols>
  <sheetData>
    <row r="1" spans="1:15" customFormat="1" ht="58.5" customHeight="1">
      <c r="A1" s="373"/>
      <c r="B1" s="373"/>
      <c r="C1" s="373"/>
      <c r="D1" s="373"/>
      <c r="E1" s="380" t="s">
        <v>13</v>
      </c>
      <c r="F1" s="381"/>
      <c r="G1" s="381"/>
      <c r="H1" s="373"/>
      <c r="I1" s="373"/>
      <c r="J1" s="373"/>
      <c r="K1" s="373"/>
      <c r="L1" s="373"/>
      <c r="M1" s="373"/>
      <c r="N1" s="373"/>
      <c r="O1" s="373"/>
    </row>
    <row r="2" spans="1:15" ht="16" thickBot="1"/>
    <row r="3" spans="1:15" ht="27" thickBot="1">
      <c r="H3" s="128"/>
      <c r="K3" s="505" t="s">
        <v>32</v>
      </c>
      <c r="L3" s="506"/>
      <c r="M3" s="507"/>
    </row>
    <row r="4" spans="1:15">
      <c r="H4" s="121"/>
      <c r="K4" s="33">
        <v>2025</v>
      </c>
      <c r="L4" s="33">
        <v>2026</v>
      </c>
      <c r="M4" s="33">
        <v>2027</v>
      </c>
    </row>
    <row r="5" spans="1:15">
      <c r="H5" s="185"/>
      <c r="K5" s="39">
        <f>Hipótesis!$C$24</f>
        <v>0.04</v>
      </c>
      <c r="L5" s="39">
        <f>Hipótesis!$C$25</f>
        <v>0.06</v>
      </c>
      <c r="M5" s="39">
        <f>Hipótesis!$C$26</f>
        <v>0.09</v>
      </c>
    </row>
    <row r="6" spans="1:15">
      <c r="K6" s="32">
        <f>Hipótesis!$D$24</f>
        <v>177120000</v>
      </c>
      <c r="L6" s="32">
        <f>Hipótesis!$D$25</f>
        <v>265680000</v>
      </c>
      <c r="M6" s="32">
        <f>Hipótesis!$D$26</f>
        <v>398520000</v>
      </c>
    </row>
    <row r="7" spans="1:15" ht="16" thickBot="1"/>
    <row r="8" spans="1:15" ht="27" thickBot="1">
      <c r="H8" s="128"/>
      <c r="K8" s="505" t="s">
        <v>165</v>
      </c>
      <c r="L8" s="506"/>
      <c r="M8" s="507"/>
    </row>
    <row r="9" spans="1:15" ht="16" thickBot="1">
      <c r="H9" s="121"/>
      <c r="K9" s="61">
        <v>2025</v>
      </c>
      <c r="L9" s="33">
        <v>2026</v>
      </c>
      <c r="M9" s="62">
        <v>2027</v>
      </c>
    </row>
    <row r="10" spans="1:15" ht="27" thickBot="1">
      <c r="B10" s="515" t="s">
        <v>13</v>
      </c>
      <c r="C10" s="516"/>
      <c r="D10" s="516"/>
      <c r="E10" s="516"/>
      <c r="F10" s="516"/>
      <c r="G10" s="517"/>
      <c r="H10" s="185"/>
      <c r="J10" s="325" t="s">
        <v>137</v>
      </c>
      <c r="K10" s="328">
        <f>'Costos fijos'!$G$5</f>
        <v>40672572</v>
      </c>
      <c r="L10" s="32">
        <f>'Costos fijos'!$H$5</f>
        <v>42139416</v>
      </c>
      <c r="M10" s="329">
        <f>'Costos fijos'!$I$5</f>
        <v>43846260</v>
      </c>
    </row>
    <row r="11" spans="1:15" ht="16" thickBot="1">
      <c r="B11" s="738" t="s">
        <v>150</v>
      </c>
      <c r="C11" s="739"/>
      <c r="D11" s="285">
        <v>0</v>
      </c>
      <c r="E11" s="286">
        <v>2025</v>
      </c>
      <c r="F11" s="286">
        <v>2026</v>
      </c>
      <c r="G11" s="287">
        <v>2027</v>
      </c>
      <c r="J11" s="325" t="s">
        <v>122</v>
      </c>
      <c r="K11" s="328">
        <f>'Costos variables'!$H$6</f>
        <v>4268280</v>
      </c>
      <c r="L11" s="32">
        <f>'Costos variables'!$I$6</f>
        <v>6270720.0000000009</v>
      </c>
      <c r="M11" s="329">
        <f>'Costos variables'!$J$6</f>
        <v>9098820</v>
      </c>
    </row>
    <row r="12" spans="1:15" ht="16" thickBot="1">
      <c r="B12" s="732" t="s">
        <v>37</v>
      </c>
      <c r="C12" s="733"/>
      <c r="D12" s="266" t="s">
        <v>138</v>
      </c>
      <c r="E12" s="249">
        <f>+'Mod. ingresos'!C22</f>
        <v>177460000</v>
      </c>
      <c r="F12" s="249">
        <f>+'Mod. ingresos'!D22</f>
        <v>265040000</v>
      </c>
      <c r="G12" s="249">
        <f>+'Mod. ingresos'!E22</f>
        <v>398490000</v>
      </c>
      <c r="J12" s="325" t="s">
        <v>123</v>
      </c>
      <c r="K12" s="65">
        <f>'Costos RRHH'!$H$6</f>
        <v>126808165.64</v>
      </c>
      <c r="L12" s="66">
        <f>'Costos RRHH'!$I$6</f>
        <v>192749644.16499993</v>
      </c>
      <c r="M12" s="67">
        <f>'Costos RRHH'!$J$6</f>
        <v>295467714.09999996</v>
      </c>
    </row>
    <row r="13" spans="1:15" ht="16" thickBot="1">
      <c r="B13" s="734" t="s">
        <v>139</v>
      </c>
      <c r="C13" s="283" t="s">
        <v>137</v>
      </c>
      <c r="D13" s="282" t="s">
        <v>138</v>
      </c>
      <c r="E13" s="242">
        <f>+'Mod. egresos'!B10</f>
        <v>40672572</v>
      </c>
      <c r="F13" s="242">
        <f>+'Mod. egresos'!C10</f>
        <v>42139416</v>
      </c>
      <c r="G13" s="242">
        <f>+'Mod. egresos'!D10</f>
        <v>43846260</v>
      </c>
    </row>
    <row r="14" spans="1:15" ht="27" thickBot="1">
      <c r="B14" s="734"/>
      <c r="C14" s="283" t="s">
        <v>122</v>
      </c>
      <c r="D14" s="282" t="s">
        <v>138</v>
      </c>
      <c r="E14" s="242">
        <f>+'Mod. egresos'!B11</f>
        <v>4268280</v>
      </c>
      <c r="F14" s="242">
        <f>+'Mod. egresos'!C11</f>
        <v>6270720.0000000009</v>
      </c>
      <c r="G14" s="242">
        <f>+'Mod. egresos'!D11</f>
        <v>9098820</v>
      </c>
      <c r="K14" s="505" t="s">
        <v>9</v>
      </c>
      <c r="L14" s="506"/>
      <c r="M14" s="507"/>
    </row>
    <row r="15" spans="1:15" ht="16" thickBot="1">
      <c r="B15" s="735"/>
      <c r="C15" s="288" t="s">
        <v>123</v>
      </c>
      <c r="D15" s="289" t="s">
        <v>138</v>
      </c>
      <c r="E15" s="242">
        <f>+'Mod. egresos'!B12</f>
        <v>126808165.64</v>
      </c>
      <c r="F15" s="242">
        <f>+'Mod. egresos'!C12</f>
        <v>192749644.16499993</v>
      </c>
      <c r="G15" s="242">
        <f>+'Mod. egresos'!D12</f>
        <v>295467714.09999996</v>
      </c>
      <c r="K15" s="246">
        <v>2025</v>
      </c>
      <c r="L15" s="247">
        <v>2026</v>
      </c>
      <c r="M15" s="248">
        <v>2027</v>
      </c>
    </row>
    <row r="16" spans="1:15" ht="16" thickBot="1">
      <c r="B16" s="742" t="s">
        <v>140</v>
      </c>
      <c r="C16" s="743"/>
      <c r="D16" s="290" t="s">
        <v>138</v>
      </c>
      <c r="E16" s="291">
        <f>E12-E13-E14-E15</f>
        <v>5710982.3599999994</v>
      </c>
      <c r="F16" s="291">
        <f>F12-F13-F14-F15</f>
        <v>23880219.835000068</v>
      </c>
      <c r="G16" s="292">
        <f>G12-G13-G14-G15</f>
        <v>50077205.900000036</v>
      </c>
      <c r="K16" s="243">
        <f>Amortizaciones!$I$5</f>
        <v>0</v>
      </c>
      <c r="L16" s="244">
        <f>Amortizaciones!$J$5</f>
        <v>1885996.9333333333</v>
      </c>
      <c r="M16" s="245">
        <f>Amortizaciones!$K$5</f>
        <v>1414497.7</v>
      </c>
    </row>
    <row r="17" spans="2:14" ht="16" thickBot="1">
      <c r="B17" s="744" t="s">
        <v>141</v>
      </c>
      <c r="C17" s="745"/>
      <c r="D17" s="266" t="s">
        <v>138</v>
      </c>
      <c r="E17" s="249">
        <f>E12*0.03</f>
        <v>5323800</v>
      </c>
      <c r="F17" s="249">
        <f>F12*0.03</f>
        <v>7951200</v>
      </c>
      <c r="G17" s="284">
        <f>G12*0.03</f>
        <v>11954700</v>
      </c>
    </row>
    <row r="18" spans="2:14" ht="27.5" customHeight="1" thickBot="1">
      <c r="J18" s="505" t="s">
        <v>126</v>
      </c>
      <c r="K18" s="506"/>
      <c r="L18" s="506"/>
      <c r="M18" s="507"/>
    </row>
    <row r="19" spans="2:14" ht="16" thickBot="1">
      <c r="B19" s="746" t="s">
        <v>143</v>
      </c>
      <c r="C19" s="747"/>
      <c r="D19" s="289" t="s">
        <v>138</v>
      </c>
      <c r="E19" s="289">
        <v>0</v>
      </c>
      <c r="F19" s="265">
        <f>$L$23*0.35</f>
        <v>135513.8259999998</v>
      </c>
      <c r="G19" s="459">
        <f>$M$23*0.35</f>
        <v>4915058.0155833568</v>
      </c>
      <c r="H19" s="242">
        <f>$N$23*0.35</f>
        <v>12847802.87000001</v>
      </c>
      <c r="J19" s="246" t="s">
        <v>127</v>
      </c>
      <c r="K19" s="247">
        <v>2025</v>
      </c>
      <c r="L19" s="247">
        <v>2026</v>
      </c>
      <c r="M19" s="248">
        <v>2027</v>
      </c>
    </row>
    <row r="20" spans="2:14" ht="16" thickBot="1">
      <c r="B20" s="742" t="s">
        <v>144</v>
      </c>
      <c r="C20" s="743"/>
      <c r="D20" s="290" t="s">
        <v>138</v>
      </c>
      <c r="E20" s="291">
        <f>E16-E17-E19</f>
        <v>387182.3599999994</v>
      </c>
      <c r="F20" s="291">
        <f t="shared" ref="F20:G20" si="0">F16-F17-F19</f>
        <v>15793506.009000069</v>
      </c>
      <c r="G20" s="291">
        <f t="shared" si="0"/>
        <v>33207447.884416677</v>
      </c>
      <c r="J20" s="243">
        <f>'Mod. inversión'!$G$5</f>
        <v>5200000</v>
      </c>
      <c r="K20" s="244">
        <f>'Mod. inversión'!$H$5</f>
        <v>5862388</v>
      </c>
      <c r="L20" s="244">
        <f>'Mod. inversión'!$I$5</f>
        <v>4396791</v>
      </c>
      <c r="M20" s="245">
        <f>'Mod. inversión'!$J$5</f>
        <v>4396791</v>
      </c>
    </row>
    <row r="21" spans="2:14" ht="16" thickBot="1">
      <c r="B21" s="740" t="s">
        <v>145</v>
      </c>
      <c r="C21" s="741"/>
      <c r="D21" s="293">
        <f>-J20</f>
        <v>-5200000</v>
      </c>
      <c r="E21" s="294">
        <f>-K20</f>
        <v>-5862388</v>
      </c>
      <c r="F21" s="294">
        <f>-L20</f>
        <v>-4396791</v>
      </c>
      <c r="G21" s="295">
        <f>-M20</f>
        <v>-4396791</v>
      </c>
    </row>
    <row r="22" spans="2:14" ht="16" thickBot="1">
      <c r="B22" s="730" t="s">
        <v>146</v>
      </c>
      <c r="C22" s="731"/>
      <c r="D22" s="390">
        <f>D21</f>
        <v>-5200000</v>
      </c>
      <c r="E22" s="391">
        <f>E20+E21</f>
        <v>-5475205.6400000006</v>
      </c>
      <c r="F22" s="391">
        <f>F20+F21</f>
        <v>11396715.009000069</v>
      </c>
      <c r="G22" s="392">
        <f>G20+G21</f>
        <v>28810656.884416677</v>
      </c>
    </row>
    <row r="23" spans="2:14">
      <c r="I23" s="736" t="s">
        <v>142</v>
      </c>
      <c r="J23" s="737"/>
      <c r="K23" s="387"/>
      <c r="L23" s="388">
        <f>E16-E17-K16</f>
        <v>387182.3599999994</v>
      </c>
      <c r="M23" s="388">
        <f>F16-F17-L16</f>
        <v>14043022.901666734</v>
      </c>
      <c r="N23" s="389">
        <f>G16-G17-M16</f>
        <v>36708008.200000033</v>
      </c>
    </row>
    <row r="25" spans="2:14" ht="16" thickBot="1"/>
    <row r="26" spans="2:14">
      <c r="F26" s="298" t="s">
        <v>147</v>
      </c>
      <c r="G26" s="384">
        <v>0.7</v>
      </c>
      <c r="L26" s="393">
        <v>0.35</v>
      </c>
      <c r="M26" s="1">
        <f>+M23*L26</f>
        <v>4915058.0155833568</v>
      </c>
      <c r="N26" s="1">
        <f>+N23*L26</f>
        <v>12847802.87000001</v>
      </c>
    </row>
    <row r="27" spans="2:14">
      <c r="F27" s="299" t="s">
        <v>148</v>
      </c>
      <c r="G27" s="300">
        <f>NPV(G26,D22:G22)</f>
        <v>815858.05966365268</v>
      </c>
      <c r="H27" s="297">
        <f>+NPV(G26,D22:G22)</f>
        <v>815858.05966365268</v>
      </c>
    </row>
    <row r="28" spans="2:14" ht="16" thickBot="1">
      <c r="F28" s="301" t="s">
        <v>149</v>
      </c>
      <c r="G28" s="394">
        <f>IRR(D22:G22,G26)</f>
        <v>0.82112961633051329</v>
      </c>
      <c r="H28" s="393">
        <f>+IRR(D22:G22,G26)</f>
        <v>0.82112961633051329</v>
      </c>
    </row>
    <row r="29" spans="2:14">
      <c r="J29" s="393">
        <v>0.75</v>
      </c>
    </row>
    <row r="30" spans="2:14">
      <c r="J30" s="393">
        <v>1</v>
      </c>
    </row>
    <row r="31" spans="2:14" ht="0.5" customHeight="1">
      <c r="I31" s="302"/>
    </row>
    <row r="32" spans="2:14">
      <c r="G32" s="297">
        <f>NPV(G26,D22:G22)</f>
        <v>815858.05966365268</v>
      </c>
      <c r="I32" s="302"/>
    </row>
    <row r="33" spans="4:9">
      <c r="G33" s="393">
        <f>IRR(D22:G22,G26)</f>
        <v>0.82112961633051329</v>
      </c>
    </row>
    <row r="36" spans="4:9">
      <c r="D36" s="34"/>
      <c r="E36" s="34"/>
      <c r="F36" s="34"/>
      <c r="G36" s="34"/>
      <c r="I36" s="41"/>
    </row>
    <row r="37" spans="4:9">
      <c r="I37" s="41"/>
    </row>
    <row r="38" spans="4:9">
      <c r="H38" s="297"/>
    </row>
  </sheetData>
  <mergeCells count="15">
    <mergeCell ref="I23:J23"/>
    <mergeCell ref="B10:G10"/>
    <mergeCell ref="B11:C11"/>
    <mergeCell ref="B21:C21"/>
    <mergeCell ref="B20:C20"/>
    <mergeCell ref="B17:C17"/>
    <mergeCell ref="B19:C19"/>
    <mergeCell ref="B16:C16"/>
    <mergeCell ref="K3:M3"/>
    <mergeCell ref="K8:M8"/>
    <mergeCell ref="B22:C22"/>
    <mergeCell ref="J18:M18"/>
    <mergeCell ref="K14:M14"/>
    <mergeCell ref="B12:C12"/>
    <mergeCell ref="B13:B15"/>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6"/>
  <sheetViews>
    <sheetView zoomScale="80" zoomScaleNormal="80" workbookViewId="0">
      <pane xSplit="2" ySplit="5" topLeftCell="C6" activePane="bottomRight" state="frozen"/>
      <selection pane="topRight" activeCell="C1" sqref="C1"/>
      <selection pane="bottomLeft" activeCell="A6" sqref="A6"/>
      <selection pane="bottomRight" activeCell="D11" sqref="D11"/>
    </sheetView>
  </sheetViews>
  <sheetFormatPr baseColWidth="10" defaultColWidth="11.5" defaultRowHeight="15"/>
  <cols>
    <col min="1" max="1" width="11.5" style="1"/>
    <col min="2" max="2" width="13.5" style="1" customWidth="1"/>
    <col min="3" max="3" width="59.6640625" style="1" customWidth="1"/>
    <col min="4" max="4" width="49.83203125" style="1" customWidth="1"/>
    <col min="5" max="5" width="53.6640625" style="1" customWidth="1"/>
    <col min="6" max="7" width="11.5" style="1"/>
    <col min="8" max="8" width="15.5" style="1" customWidth="1"/>
    <col min="9" max="16384" width="11.5" style="1"/>
  </cols>
  <sheetData>
    <row r="1" spans="1:14" customFormat="1" ht="58.5" customHeight="1">
      <c r="A1" s="373"/>
      <c r="B1" s="373"/>
      <c r="C1" s="373"/>
      <c r="D1" s="380" t="s">
        <v>11</v>
      </c>
      <c r="E1" s="373"/>
      <c r="F1" s="373"/>
      <c r="G1" s="381"/>
      <c r="H1" s="381"/>
      <c r="I1" s="373"/>
      <c r="J1" s="373"/>
      <c r="K1" s="373"/>
      <c r="L1" s="373"/>
      <c r="M1" s="373"/>
      <c r="N1" s="373"/>
    </row>
    <row r="3" spans="1:14" ht="16" thickBot="1"/>
    <row r="4" spans="1:14" ht="27" thickBot="1">
      <c r="B4" s="528" t="s">
        <v>11</v>
      </c>
      <c r="C4" s="529"/>
      <c r="D4" s="529"/>
      <c r="E4" s="529"/>
      <c r="F4" s="529"/>
      <c r="G4" s="530"/>
    </row>
    <row r="5" spans="1:14" ht="17" thickBot="1">
      <c r="B5" s="343" t="s">
        <v>164</v>
      </c>
      <c r="C5" s="344" t="s">
        <v>152</v>
      </c>
      <c r="D5" s="344" t="s">
        <v>153</v>
      </c>
      <c r="E5" s="344" t="s">
        <v>154</v>
      </c>
      <c r="F5" s="345" t="s">
        <v>155</v>
      </c>
      <c r="G5" s="346" t="s">
        <v>156</v>
      </c>
      <c r="H5"/>
    </row>
    <row r="6" spans="1:14" ht="60" customHeight="1" thickBot="1">
      <c r="B6" s="347">
        <v>1</v>
      </c>
      <c r="C6" s="481" t="s">
        <v>326</v>
      </c>
      <c r="D6" s="482" t="s">
        <v>327</v>
      </c>
      <c r="E6" s="482" t="s">
        <v>363</v>
      </c>
      <c r="F6" s="483" t="s">
        <v>158</v>
      </c>
      <c r="G6" s="484" t="s">
        <v>157</v>
      </c>
      <c r="H6" s="342"/>
    </row>
    <row r="7" spans="1:14" ht="61.5" customHeight="1" thickBot="1">
      <c r="B7" s="349">
        <v>2</v>
      </c>
      <c r="C7" s="463" t="s">
        <v>328</v>
      </c>
      <c r="D7" s="464" t="s">
        <v>329</v>
      </c>
      <c r="E7" s="464" t="s">
        <v>330</v>
      </c>
      <c r="F7" s="465" t="s">
        <v>158</v>
      </c>
      <c r="G7" s="466" t="s">
        <v>157</v>
      </c>
      <c r="H7" s="342"/>
    </row>
    <row r="8" spans="1:14" ht="57.75" customHeight="1" thickBot="1">
      <c r="B8" s="351">
        <v>3</v>
      </c>
      <c r="C8" s="489" t="s">
        <v>331</v>
      </c>
      <c r="D8" s="482" t="s">
        <v>332</v>
      </c>
      <c r="E8" s="482" t="s">
        <v>362</v>
      </c>
      <c r="F8" s="483" t="s">
        <v>333</v>
      </c>
      <c r="G8" s="484" t="s">
        <v>160</v>
      </c>
      <c r="H8" s="342"/>
    </row>
    <row r="9" spans="1:14" ht="33" customHeight="1">
      <c r="B9" s="350">
        <v>4</v>
      </c>
      <c r="C9" s="468" t="s">
        <v>334</v>
      </c>
      <c r="D9" s="469" t="s">
        <v>335</v>
      </c>
      <c r="E9" s="469" t="s">
        <v>336</v>
      </c>
      <c r="F9" s="470" t="s">
        <v>158</v>
      </c>
      <c r="G9" s="471" t="s">
        <v>160</v>
      </c>
    </row>
    <row r="10" spans="1:14" ht="16">
      <c r="B10" s="348">
        <v>5</v>
      </c>
      <c r="C10" s="485" t="s">
        <v>337</v>
      </c>
      <c r="D10" s="486" t="s">
        <v>365</v>
      </c>
      <c r="E10" s="486" t="s">
        <v>364</v>
      </c>
      <c r="F10" s="487" t="s">
        <v>333</v>
      </c>
      <c r="G10" s="488" t="s">
        <v>160</v>
      </c>
    </row>
    <row r="11" spans="1:14" ht="16">
      <c r="B11" s="348">
        <v>6</v>
      </c>
      <c r="C11" s="472" t="s">
        <v>338</v>
      </c>
      <c r="D11" s="476" t="s">
        <v>339</v>
      </c>
      <c r="E11" s="476" t="s">
        <v>340</v>
      </c>
      <c r="F11" s="474" t="s">
        <v>158</v>
      </c>
      <c r="G11" s="475" t="s">
        <v>160</v>
      </c>
    </row>
    <row r="12" spans="1:14" ht="32">
      <c r="B12" s="348">
        <v>7</v>
      </c>
      <c r="C12" s="472" t="s">
        <v>341</v>
      </c>
      <c r="D12" s="476" t="s">
        <v>342</v>
      </c>
      <c r="E12" s="476" t="s">
        <v>343</v>
      </c>
      <c r="F12" s="474" t="s">
        <v>158</v>
      </c>
      <c r="G12" s="475" t="s">
        <v>162</v>
      </c>
    </row>
    <row r="13" spans="1:14" ht="32">
      <c r="B13" s="348">
        <v>8</v>
      </c>
      <c r="C13" s="472" t="s">
        <v>344</v>
      </c>
      <c r="D13" s="473" t="s">
        <v>345</v>
      </c>
      <c r="E13" s="473" t="s">
        <v>346</v>
      </c>
      <c r="F13" s="474" t="s">
        <v>158</v>
      </c>
      <c r="G13" s="475" t="s">
        <v>157</v>
      </c>
    </row>
    <row r="14" spans="1:14" ht="17" thickBot="1">
      <c r="B14" s="349">
        <v>9</v>
      </c>
      <c r="C14" s="477" t="s">
        <v>347</v>
      </c>
      <c r="D14" s="478" t="s">
        <v>348</v>
      </c>
      <c r="E14" s="478" t="s">
        <v>349</v>
      </c>
      <c r="F14" s="479" t="s">
        <v>161</v>
      </c>
      <c r="G14" s="480" t="s">
        <v>160</v>
      </c>
    </row>
    <row r="15" spans="1:14" ht="68.25" customHeight="1" thickBot="1">
      <c r="B15" s="351">
        <v>10</v>
      </c>
      <c r="C15" s="467" t="s">
        <v>350</v>
      </c>
      <c r="D15" s="460" t="s">
        <v>351</v>
      </c>
      <c r="E15" s="460" t="s">
        <v>352</v>
      </c>
      <c r="F15" s="461" t="s">
        <v>158</v>
      </c>
      <c r="G15" s="462" t="s">
        <v>162</v>
      </c>
      <c r="H15" s="342"/>
    </row>
    <row r="26" spans="5:5">
      <c r="E26" s="1" t="s">
        <v>358</v>
      </c>
    </row>
  </sheetData>
  <mergeCells count="1">
    <mergeCell ref="B4:G4"/>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38"/>
  <sheetViews>
    <sheetView topLeftCell="B1" zoomScale="85" zoomScaleNormal="85" workbookViewId="0">
      <pane ySplit="1" topLeftCell="A2" activePane="bottomLeft" state="frozen"/>
      <selection pane="bottomLeft" activeCell="G35" sqref="G35:H37"/>
    </sheetView>
  </sheetViews>
  <sheetFormatPr baseColWidth="10" defaultColWidth="11.5" defaultRowHeight="15"/>
  <cols>
    <col min="1" max="1" width="4" style="1" customWidth="1"/>
    <col min="2" max="2" width="5.5" style="1" customWidth="1"/>
    <col min="3" max="3" width="11.5" style="1"/>
    <col min="4" max="4" width="25.1640625" style="1" customWidth="1"/>
    <col min="5" max="5" width="18.33203125" style="1" customWidth="1"/>
    <col min="6" max="6" width="26.5" style="1" bestFit="1" customWidth="1"/>
    <col min="7" max="7" width="20" style="1" customWidth="1"/>
    <col min="8" max="8" width="21.5" style="1" customWidth="1"/>
    <col min="9" max="9" width="15.5" style="1" customWidth="1"/>
    <col min="10" max="10" width="2.33203125" style="1" customWidth="1"/>
    <col min="11" max="11" width="58.83203125" style="1" customWidth="1"/>
    <col min="12" max="16384" width="11.5" style="1"/>
  </cols>
  <sheetData>
    <row r="1" spans="1:14" customFormat="1" ht="58.5" customHeight="1">
      <c r="A1" s="373"/>
      <c r="B1" s="373"/>
      <c r="C1" s="373"/>
      <c r="D1" s="373"/>
      <c r="E1" s="373"/>
      <c r="F1" s="373"/>
      <c r="G1" s="748" t="s">
        <v>167</v>
      </c>
      <c r="H1" s="749"/>
      <c r="I1" s="749"/>
      <c r="J1" s="373"/>
      <c r="K1" s="373"/>
      <c r="L1" s="373"/>
      <c r="M1" s="373"/>
      <c r="N1" s="373"/>
    </row>
    <row r="2" spans="1:14" ht="20.25" customHeight="1" thickBot="1">
      <c r="G2" s="330"/>
      <c r="H2" s="331"/>
      <c r="I2" s="331"/>
    </row>
    <row r="3" spans="1:14" ht="16" thickBot="1">
      <c r="B3" s="332"/>
      <c r="C3" s="333"/>
      <c r="D3" s="333"/>
      <c r="E3" s="333"/>
      <c r="F3" s="333"/>
      <c r="G3" s="333"/>
      <c r="H3" s="333"/>
      <c r="I3" s="333"/>
      <c r="J3" s="333"/>
      <c r="K3" s="333"/>
      <c r="L3" s="334"/>
    </row>
    <row r="4" spans="1:14" ht="16" thickBot="1">
      <c r="B4" s="335"/>
      <c r="C4" s="759" t="s">
        <v>166</v>
      </c>
      <c r="D4" s="760"/>
      <c r="E4" s="760"/>
      <c r="F4" s="760"/>
      <c r="G4" s="760"/>
      <c r="H4" s="760"/>
      <c r="I4" s="760"/>
      <c r="J4" s="760"/>
      <c r="K4" s="761"/>
      <c r="L4" s="336"/>
    </row>
    <row r="5" spans="1:14" ht="16" thickBot="1">
      <c r="B5" s="335"/>
      <c r="L5" s="336"/>
    </row>
    <row r="6" spans="1:14" ht="17" thickBot="1">
      <c r="B6" s="335"/>
      <c r="F6" s="313" t="s">
        <v>32</v>
      </c>
      <c r="G6" s="307"/>
      <c r="H6" s="308"/>
      <c r="K6" s="161" t="s">
        <v>177</v>
      </c>
      <c r="L6" s="336"/>
    </row>
    <row r="7" spans="1:14">
      <c r="B7" s="335"/>
      <c r="F7" s="312">
        <v>2025</v>
      </c>
      <c r="G7" s="312">
        <v>2026</v>
      </c>
      <c r="H7" s="312">
        <v>2027</v>
      </c>
      <c r="K7" s="756" t="str">
        <f>'Matriz riesgo'!C6</f>
        <v>Reducción de ingresos por suscripciones</v>
      </c>
      <c r="L7" s="336"/>
    </row>
    <row r="8" spans="1:14">
      <c r="B8" s="335"/>
      <c r="F8" s="309">
        <f>'Presupuesto financiero'!K5</f>
        <v>0.04</v>
      </c>
      <c r="G8" s="309">
        <f>'Presupuesto financiero'!L5</f>
        <v>0.06</v>
      </c>
      <c r="H8" s="309">
        <f>'Presupuesto financiero'!M5</f>
        <v>0.09</v>
      </c>
      <c r="K8" s="757"/>
      <c r="L8" s="336"/>
    </row>
    <row r="9" spans="1:14" ht="16" thickBot="1">
      <c r="B9" s="335"/>
      <c r="E9" s="318" t="s">
        <v>172</v>
      </c>
      <c r="F9" s="327">
        <f>Hipótesis!$D$24</f>
        <v>177120000</v>
      </c>
      <c r="G9" s="327">
        <f>Hipótesis!$D$25</f>
        <v>265680000</v>
      </c>
      <c r="H9" s="327">
        <f>Hipótesis!$D$26</f>
        <v>398520000</v>
      </c>
      <c r="K9" s="758"/>
      <c r="L9" s="336"/>
    </row>
    <row r="10" spans="1:14" ht="16" thickBot="1">
      <c r="B10" s="335"/>
      <c r="E10" s="318" t="s">
        <v>137</v>
      </c>
      <c r="F10" s="32">
        <f>'Presupuesto financiero'!K10</f>
        <v>40672572</v>
      </c>
      <c r="G10" s="32">
        <f>'Presupuesto financiero'!L10</f>
        <v>42139416</v>
      </c>
      <c r="H10" s="32">
        <f>'Presupuesto financiero'!M10</f>
        <v>43846260</v>
      </c>
      <c r="K10" s="161" t="s">
        <v>153</v>
      </c>
      <c r="L10" s="336"/>
    </row>
    <row r="11" spans="1:14">
      <c r="B11" s="335"/>
      <c r="E11" s="318" t="s">
        <v>122</v>
      </c>
      <c r="F11" s="32">
        <f>'Presupuesto financiero'!K11</f>
        <v>4268280</v>
      </c>
      <c r="G11" s="32">
        <f>'Presupuesto financiero'!L11</f>
        <v>6270720.0000000009</v>
      </c>
      <c r="H11" s="32">
        <f>'Presupuesto financiero'!M11</f>
        <v>9098820</v>
      </c>
      <c r="K11" s="756" t="str">
        <f>'Matriz riesgo'!D6</f>
        <v>La crisis inflacionaria reduce la capacidad de los usuarios de mantener sus suscripciones</v>
      </c>
      <c r="L11" s="336"/>
    </row>
    <row r="12" spans="1:14">
      <c r="B12" s="335"/>
      <c r="E12" s="318" t="s">
        <v>171</v>
      </c>
      <c r="F12" s="32">
        <f>'Presupuesto financiero'!K12</f>
        <v>126808165.64</v>
      </c>
      <c r="G12" s="32">
        <f>'Presupuesto financiero'!L12</f>
        <v>192749644.16499993</v>
      </c>
      <c r="H12" s="32">
        <f>'Presupuesto financiero'!M12</f>
        <v>295467714.09999996</v>
      </c>
      <c r="K12" s="757"/>
      <c r="L12" s="336"/>
    </row>
    <row r="13" spans="1:14" ht="16" thickBot="1">
      <c r="B13" s="335"/>
      <c r="K13" s="758"/>
      <c r="L13" s="336"/>
    </row>
    <row r="14" spans="1:14" ht="16.5" customHeight="1" thickBot="1">
      <c r="B14" s="335"/>
      <c r="C14" s="762" t="s">
        <v>176</v>
      </c>
      <c r="D14" s="763"/>
      <c r="F14" s="326" t="s">
        <v>132</v>
      </c>
      <c r="G14" s="307"/>
      <c r="H14" s="308"/>
      <c r="K14" s="161" t="s">
        <v>154</v>
      </c>
      <c r="L14" s="336"/>
    </row>
    <row r="15" spans="1:14" ht="15.75" customHeight="1">
      <c r="B15" s="335"/>
      <c r="C15" s="750">
        <v>2027</v>
      </c>
      <c r="D15" s="751"/>
      <c r="F15" s="189">
        <v>2025</v>
      </c>
      <c r="G15" s="189">
        <v>2026</v>
      </c>
      <c r="H15" s="189">
        <v>2027</v>
      </c>
      <c r="K15" s="764" t="str">
        <f>'Matriz riesgo'!E6</f>
        <v>Disminución del 4% en ingresos por suscripciones</v>
      </c>
      <c r="L15" s="336"/>
    </row>
    <row r="16" spans="1:14" ht="16" thickBot="1">
      <c r="B16" s="335"/>
      <c r="C16" s="752">
        <v>0.96</v>
      </c>
      <c r="D16" s="753"/>
      <c r="E16" s="31"/>
      <c r="F16" s="32">
        <f>'Presupuesto financiero'!K16</f>
        <v>0</v>
      </c>
      <c r="G16" s="32">
        <f>'Presupuesto financiero'!L16</f>
        <v>1885996.9333333333</v>
      </c>
      <c r="H16" s="32">
        <f>'Presupuesto financiero'!M16</f>
        <v>1414497.7</v>
      </c>
      <c r="K16" s="765"/>
      <c r="L16" s="336"/>
    </row>
    <row r="17" spans="2:12">
      <c r="B17" s="335"/>
      <c r="E17" s="31"/>
      <c r="F17" s="34"/>
      <c r="G17" s="34"/>
      <c r="H17" s="34"/>
      <c r="L17" s="336"/>
    </row>
    <row r="18" spans="2:12">
      <c r="B18" s="335"/>
      <c r="E18" s="326" t="s">
        <v>126</v>
      </c>
      <c r="F18" s="307"/>
      <c r="G18" s="307"/>
      <c r="H18" s="308"/>
      <c r="L18" s="336"/>
    </row>
    <row r="19" spans="2:12">
      <c r="B19" s="335"/>
      <c r="E19" s="312" t="s">
        <v>127</v>
      </c>
      <c r="F19" s="312">
        <v>2023</v>
      </c>
      <c r="G19" s="312">
        <v>2024</v>
      </c>
      <c r="H19" s="312">
        <v>2025</v>
      </c>
      <c r="L19" s="336"/>
    </row>
    <row r="20" spans="2:12">
      <c r="B20" s="335"/>
      <c r="E20" s="32">
        <f>'Presupuesto financiero'!J20</f>
        <v>5200000</v>
      </c>
      <c r="F20" s="32">
        <f>'Presupuesto financiero'!K20</f>
        <v>5862388</v>
      </c>
      <c r="G20" s="32">
        <f>'Presupuesto financiero'!L20</f>
        <v>4396791</v>
      </c>
      <c r="H20" s="32">
        <f>'Presupuesto financiero'!M20</f>
        <v>4396791</v>
      </c>
      <c r="L20" s="336"/>
    </row>
    <row r="21" spans="2:12">
      <c r="B21" s="335"/>
      <c r="L21" s="336"/>
    </row>
    <row r="22" spans="2:12">
      <c r="B22" s="335"/>
      <c r="E22" s="315" t="s">
        <v>151</v>
      </c>
      <c r="F22" s="315">
        <v>2025</v>
      </c>
      <c r="G22" s="315">
        <v>2026</v>
      </c>
      <c r="H22" s="315">
        <v>2027</v>
      </c>
      <c r="L22" s="336"/>
    </row>
    <row r="23" spans="2:12">
      <c r="B23" s="335"/>
      <c r="C23" s="316" t="s">
        <v>37</v>
      </c>
      <c r="D23" s="317"/>
      <c r="E23" s="321" t="s">
        <v>138</v>
      </c>
      <c r="F23" s="322">
        <f>'Mod. ingresos'!C22</f>
        <v>177460000</v>
      </c>
      <c r="G23" s="322">
        <f>'Mod. ingresos'!D22</f>
        <v>265040000</v>
      </c>
      <c r="H23" s="337">
        <f>'Mod. ingresos'!E22*C16</f>
        <v>382550400</v>
      </c>
      <c r="L23" s="336"/>
    </row>
    <row r="24" spans="2:12">
      <c r="B24" s="335"/>
      <c r="C24" s="766" t="s">
        <v>139</v>
      </c>
      <c r="D24" s="318" t="s">
        <v>168</v>
      </c>
      <c r="E24" s="321" t="s">
        <v>138</v>
      </c>
      <c r="F24" s="322">
        <f t="shared" ref="F24:G26" si="0">F10</f>
        <v>40672572</v>
      </c>
      <c r="G24" s="322">
        <f t="shared" si="0"/>
        <v>42139416</v>
      </c>
      <c r="H24" s="337">
        <f>H10*0.99</f>
        <v>43407797.399999999</v>
      </c>
      <c r="L24" s="336"/>
    </row>
    <row r="25" spans="2:12">
      <c r="B25" s="335"/>
      <c r="C25" s="767"/>
      <c r="D25" s="318" t="s">
        <v>169</v>
      </c>
      <c r="E25" s="321" t="s">
        <v>138</v>
      </c>
      <c r="F25" s="322">
        <f t="shared" si="0"/>
        <v>4268280</v>
      </c>
      <c r="G25" s="322">
        <f t="shared" si="0"/>
        <v>6270720.0000000009</v>
      </c>
      <c r="H25" s="352">
        <f>H11*C16</f>
        <v>8734867.1999999993</v>
      </c>
      <c r="L25" s="336"/>
    </row>
    <row r="26" spans="2:12">
      <c r="B26" s="335"/>
      <c r="C26" s="768"/>
      <c r="D26" s="318" t="s">
        <v>170</v>
      </c>
      <c r="E26" s="321" t="s">
        <v>138</v>
      </c>
      <c r="F26" s="322">
        <f t="shared" si="0"/>
        <v>126808165.64</v>
      </c>
      <c r="G26" s="322">
        <f t="shared" si="0"/>
        <v>192749644.16499993</v>
      </c>
      <c r="H26" s="490">
        <f>H12</f>
        <v>295467714.09999996</v>
      </c>
      <c r="L26" s="336"/>
    </row>
    <row r="27" spans="2:12">
      <c r="B27" s="335"/>
      <c r="C27" s="305" t="s">
        <v>140</v>
      </c>
      <c r="D27" s="306"/>
      <c r="E27" s="323" t="s">
        <v>138</v>
      </c>
      <c r="F27" s="324">
        <f>F23-F24-F25-F26</f>
        <v>5710982.3599999994</v>
      </c>
      <c r="G27" s="324">
        <f>G23-G24-G25-G26</f>
        <v>23880219.835000068</v>
      </c>
      <c r="H27" s="324">
        <f>H23-H24-H25-H26</f>
        <v>34940021.300000072</v>
      </c>
      <c r="L27" s="336"/>
    </row>
    <row r="28" spans="2:12">
      <c r="B28" s="335"/>
      <c r="C28" s="319" t="s">
        <v>141</v>
      </c>
      <c r="D28" s="320"/>
      <c r="E28" s="134" t="s">
        <v>138</v>
      </c>
      <c r="F28" s="322">
        <f>F23*0.03</f>
        <v>5323800</v>
      </c>
      <c r="G28" s="322">
        <f>G23*0.03</f>
        <v>7951200</v>
      </c>
      <c r="H28" s="322">
        <f>H23*0.03</f>
        <v>11476512</v>
      </c>
      <c r="L28" s="336"/>
    </row>
    <row r="29" spans="2:12">
      <c r="B29" s="335"/>
      <c r="C29" s="754" t="s">
        <v>142</v>
      </c>
      <c r="D29" s="755"/>
      <c r="E29" s="134"/>
      <c r="F29" s="322">
        <f>F27-F28-F16</f>
        <v>387182.3599999994</v>
      </c>
      <c r="G29" s="322">
        <f t="shared" ref="G29:H29" si="1">G27-G28-G16</f>
        <v>14043022.901666734</v>
      </c>
      <c r="H29" s="322">
        <f t="shared" si="1"/>
        <v>22049011.600000072</v>
      </c>
      <c r="L29" s="336"/>
    </row>
    <row r="30" spans="2:12">
      <c r="B30" s="335"/>
      <c r="C30" s="319" t="s">
        <v>143</v>
      </c>
      <c r="D30" s="320"/>
      <c r="E30" s="134" t="s">
        <v>138</v>
      </c>
      <c r="F30" s="322">
        <v>0</v>
      </c>
      <c r="G30" s="322">
        <f>'Presupuesto financiero'!F19</f>
        <v>135513.8259999998</v>
      </c>
      <c r="H30" s="322">
        <f>0.35*G29</f>
        <v>4915058.0155833568</v>
      </c>
      <c r="L30" s="336"/>
    </row>
    <row r="31" spans="2:12">
      <c r="B31" s="335"/>
      <c r="C31" s="305" t="s">
        <v>144</v>
      </c>
      <c r="D31" s="306"/>
      <c r="E31" s="323" t="s">
        <v>138</v>
      </c>
      <c r="F31" s="324">
        <f>F27-F28-F30</f>
        <v>387182.3599999994</v>
      </c>
      <c r="G31" s="324">
        <f>G27-G28-G30</f>
        <v>15793506.009000069</v>
      </c>
      <c r="H31" s="324">
        <f>H27-H28-H30</f>
        <v>18548451.284416713</v>
      </c>
      <c r="L31" s="336"/>
    </row>
    <row r="32" spans="2:12">
      <c r="B32" s="335"/>
      <c r="C32" s="319" t="s">
        <v>145</v>
      </c>
      <c r="D32" s="320"/>
      <c r="E32" s="322">
        <f>-E20</f>
        <v>-5200000</v>
      </c>
      <c r="F32" s="322">
        <f>-F20</f>
        <v>-5862388</v>
      </c>
      <c r="G32" s="322">
        <f>-G20</f>
        <v>-4396791</v>
      </c>
      <c r="H32" s="490">
        <f>-H20</f>
        <v>-4396791</v>
      </c>
      <c r="L32" s="336"/>
    </row>
    <row r="33" spans="2:12">
      <c r="B33" s="335"/>
      <c r="C33" s="305" t="s">
        <v>146</v>
      </c>
      <c r="D33" s="306"/>
      <c r="E33" s="324">
        <f>E32</f>
        <v>-5200000</v>
      </c>
      <c r="F33" s="324">
        <f>F31+F32</f>
        <v>-5475205.6400000006</v>
      </c>
      <c r="G33" s="324">
        <f>G31+G32</f>
        <v>11396715.009000069</v>
      </c>
      <c r="H33" s="324">
        <f>H31+H32</f>
        <v>14151660.284416713</v>
      </c>
      <c r="L33" s="336"/>
    </row>
    <row r="34" spans="2:12">
      <c r="B34" s="335"/>
      <c r="L34" s="336"/>
    </row>
    <row r="35" spans="2:12">
      <c r="B35" s="335"/>
      <c r="G35" s="338" t="s">
        <v>147</v>
      </c>
      <c r="H35" s="339">
        <v>0.7</v>
      </c>
      <c r="L35" s="336"/>
    </row>
    <row r="36" spans="2:12">
      <c r="B36" s="335"/>
      <c r="G36" s="338" t="s">
        <v>148</v>
      </c>
      <c r="H36" s="340">
        <f>NPV(H35,E33:H33)</f>
        <v>-939268.98622899351</v>
      </c>
      <c r="L36" s="336"/>
    </row>
    <row r="37" spans="2:12">
      <c r="B37" s="335"/>
      <c r="G37" s="338" t="s">
        <v>149</v>
      </c>
      <c r="H37" s="341">
        <f>IRR(E33:H33,H35)</f>
        <v>0.5335142865363427</v>
      </c>
      <c r="L37" s="336"/>
    </row>
    <row r="38" spans="2:12" ht="16" thickBot="1">
      <c r="B38" s="257"/>
      <c r="C38" s="258"/>
      <c r="D38" s="258"/>
      <c r="E38" s="258"/>
      <c r="F38" s="258"/>
      <c r="G38" s="258"/>
      <c r="H38" s="258"/>
      <c r="I38" s="258"/>
      <c r="J38" s="258"/>
      <c r="K38" s="258"/>
      <c r="L38" s="259"/>
    </row>
  </sheetData>
  <mergeCells count="10">
    <mergeCell ref="G1:I1"/>
    <mergeCell ref="C15:D15"/>
    <mergeCell ref="C16:D16"/>
    <mergeCell ref="C29:D29"/>
    <mergeCell ref="K7:K9"/>
    <mergeCell ref="K11:K13"/>
    <mergeCell ref="C4:K4"/>
    <mergeCell ref="C14:D14"/>
    <mergeCell ref="K15:K16"/>
    <mergeCell ref="C24:C2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0"/>
  <sheetViews>
    <sheetView zoomScale="85" zoomScaleNormal="85" workbookViewId="0">
      <pane ySplit="1" topLeftCell="A2" activePane="bottomLeft" state="frozen"/>
      <selection pane="bottomLeft" activeCell="H38" sqref="G36:H38"/>
    </sheetView>
  </sheetViews>
  <sheetFormatPr baseColWidth="10" defaultColWidth="11.5" defaultRowHeight="15"/>
  <cols>
    <col min="1" max="1" width="4.5" style="1" customWidth="1"/>
    <col min="2" max="2" width="6.5" style="1" customWidth="1"/>
    <col min="3" max="3" width="12" style="1" customWidth="1"/>
    <col min="4" max="4" width="22.83203125" style="1" customWidth="1"/>
    <col min="5" max="5" width="23.6640625" style="1" customWidth="1"/>
    <col min="6" max="6" width="19.33203125" style="1" customWidth="1"/>
    <col min="7" max="7" width="19" style="1" customWidth="1"/>
    <col min="8" max="8" width="21.33203125" style="1" customWidth="1"/>
    <col min="9" max="10" width="11.5" style="1"/>
    <col min="11" max="11" width="49.1640625" style="1" customWidth="1"/>
    <col min="12" max="12" width="22.5" style="1" customWidth="1"/>
    <col min="13" max="16384" width="11.5" style="1"/>
  </cols>
  <sheetData>
    <row r="1" spans="1:14" customFormat="1" ht="58.5" customHeight="1">
      <c r="A1" s="373"/>
      <c r="B1" s="373"/>
      <c r="C1" s="373"/>
      <c r="D1" s="373"/>
      <c r="E1" s="373"/>
      <c r="F1" s="748" t="s">
        <v>159</v>
      </c>
      <c r="G1" s="749"/>
      <c r="H1" s="749"/>
      <c r="I1" s="373"/>
      <c r="J1" s="373"/>
      <c r="K1" s="373"/>
      <c r="L1" s="373"/>
      <c r="M1" s="373"/>
      <c r="N1" s="373"/>
    </row>
    <row r="3" spans="1:14" ht="16" thickBot="1"/>
    <row r="4" spans="1:14" ht="16" thickBot="1">
      <c r="B4" s="332"/>
      <c r="C4" s="333"/>
      <c r="D4" s="333"/>
      <c r="E4" s="333"/>
      <c r="F4" s="333"/>
      <c r="G4" s="333"/>
      <c r="H4" s="333"/>
      <c r="I4" s="333"/>
      <c r="J4" s="333"/>
      <c r="K4" s="333"/>
      <c r="L4" s="334"/>
    </row>
    <row r="5" spans="1:14" ht="16" thickBot="1">
      <c r="B5" s="335"/>
      <c r="C5" s="759" t="s">
        <v>173</v>
      </c>
      <c r="D5" s="760"/>
      <c r="E5" s="760"/>
      <c r="F5" s="760"/>
      <c r="G5" s="760"/>
      <c r="H5" s="760"/>
      <c r="I5" s="760"/>
      <c r="J5" s="760"/>
      <c r="K5" s="761"/>
      <c r="L5" s="336"/>
    </row>
    <row r="6" spans="1:14" ht="16" thickBot="1">
      <c r="B6" s="335"/>
      <c r="L6" s="336"/>
    </row>
    <row r="7" spans="1:14" ht="17.25" customHeight="1" thickBot="1">
      <c r="B7" s="335"/>
      <c r="F7" s="770" t="s">
        <v>32</v>
      </c>
      <c r="G7" s="771"/>
      <c r="H7" s="772"/>
      <c r="K7" s="161" t="s">
        <v>175</v>
      </c>
      <c r="L7" s="336"/>
    </row>
    <row r="8" spans="1:14">
      <c r="B8" s="335"/>
      <c r="F8" s="312">
        <v>2025</v>
      </c>
      <c r="G8" s="312">
        <v>2026</v>
      </c>
      <c r="H8" s="312">
        <v>2027</v>
      </c>
      <c r="K8" s="769" t="str">
        <f>'Matriz riesgo'!C8</f>
        <v>Competencia de plataformas de noticias gratuitas</v>
      </c>
      <c r="L8" s="336"/>
    </row>
    <row r="9" spans="1:14">
      <c r="B9" s="335"/>
      <c r="F9" s="309">
        <f>'Presupuesto financiero'!K5</f>
        <v>0.04</v>
      </c>
      <c r="G9" s="309">
        <f>'Presupuesto financiero'!L5</f>
        <v>0.06</v>
      </c>
      <c r="H9" s="309">
        <f>'Presupuesto financiero'!M5</f>
        <v>0.09</v>
      </c>
      <c r="K9" s="757"/>
      <c r="L9" s="336"/>
    </row>
    <row r="10" spans="1:14" ht="16" thickBot="1">
      <c r="B10" s="335"/>
      <c r="E10" s="318" t="s">
        <v>172</v>
      </c>
      <c r="F10" s="327">
        <f>'Presupuesto financiero'!K6</f>
        <v>177120000</v>
      </c>
      <c r="G10" s="327">
        <f>'Presupuesto financiero'!L6</f>
        <v>265680000</v>
      </c>
      <c r="H10" s="327">
        <f>'Presupuesto financiero'!M6</f>
        <v>398520000</v>
      </c>
      <c r="K10" s="758"/>
      <c r="L10" s="336"/>
    </row>
    <row r="11" spans="1:14" ht="16" thickBot="1">
      <c r="B11" s="335"/>
      <c r="E11" s="318" t="s">
        <v>137</v>
      </c>
      <c r="F11" s="32">
        <f>'Presupuesto financiero'!K10</f>
        <v>40672572</v>
      </c>
      <c r="G11" s="32">
        <f>'Presupuesto financiero'!L10</f>
        <v>42139416</v>
      </c>
      <c r="H11" s="32">
        <f>'Presupuesto financiero'!M10</f>
        <v>43846260</v>
      </c>
      <c r="K11" s="161" t="s">
        <v>153</v>
      </c>
      <c r="L11" s="336"/>
    </row>
    <row r="12" spans="1:14" ht="15" customHeight="1">
      <c r="B12" s="335"/>
      <c r="E12" s="318" t="s">
        <v>122</v>
      </c>
      <c r="F12" s="32">
        <f>'Presupuesto financiero'!K11</f>
        <v>4268280</v>
      </c>
      <c r="G12" s="32">
        <f>'Presupuesto financiero'!L11</f>
        <v>6270720.0000000009</v>
      </c>
      <c r="H12" s="32">
        <f>'Presupuesto financiero'!M11</f>
        <v>9098820</v>
      </c>
      <c r="K12" s="769" t="str">
        <f>'Matriz riesgo'!D8</f>
        <v>Nuevas plataformas digitales con contenido gratuito y sin suscripción</v>
      </c>
      <c r="L12" s="336"/>
    </row>
    <row r="13" spans="1:14">
      <c r="B13" s="335"/>
      <c r="E13" s="318" t="s">
        <v>171</v>
      </c>
      <c r="F13" s="32">
        <f>'Presupuesto financiero'!K12</f>
        <v>126808165.64</v>
      </c>
      <c r="G13" s="32">
        <f>'Presupuesto financiero'!L12</f>
        <v>192749644.16499993</v>
      </c>
      <c r="H13" s="32">
        <f>'Presupuesto financiero'!M12</f>
        <v>295467714.09999996</v>
      </c>
      <c r="K13" s="757"/>
      <c r="L13" s="336"/>
    </row>
    <row r="14" spans="1:14" ht="16" thickBot="1">
      <c r="B14" s="335"/>
      <c r="K14" s="758"/>
      <c r="L14" s="336"/>
    </row>
    <row r="15" spans="1:14" ht="16" thickBot="1">
      <c r="B15" s="335"/>
      <c r="C15" s="762" t="s">
        <v>176</v>
      </c>
      <c r="D15" s="763"/>
      <c r="F15" s="326" t="s">
        <v>132</v>
      </c>
      <c r="G15" s="307"/>
      <c r="H15" s="308"/>
      <c r="K15" s="161" t="s">
        <v>154</v>
      </c>
      <c r="L15" s="336"/>
    </row>
    <row r="16" spans="1:14" ht="18" customHeight="1">
      <c r="B16" s="335"/>
      <c r="C16" s="750">
        <v>2026</v>
      </c>
      <c r="D16" s="751"/>
      <c r="F16" s="312">
        <v>2025</v>
      </c>
      <c r="G16" s="312">
        <v>2026</v>
      </c>
      <c r="H16" s="312">
        <v>2027</v>
      </c>
      <c r="K16" s="756" t="str">
        <f>'Matriz riesgo'!E8</f>
        <v>Reducción de suscriptores pagados en un 5%</v>
      </c>
      <c r="L16" s="336"/>
    </row>
    <row r="17" spans="2:12">
      <c r="B17" s="335"/>
      <c r="C17" s="752">
        <v>0.95</v>
      </c>
      <c r="D17" s="753"/>
      <c r="E17" s="31"/>
      <c r="F17" s="32">
        <f>'Presupuesto financiero'!K16</f>
        <v>0</v>
      </c>
      <c r="G17" s="32">
        <f>'Presupuesto financiero'!L16</f>
        <v>1885996.9333333333</v>
      </c>
      <c r="H17" s="32">
        <f>'Presupuesto financiero'!M16</f>
        <v>1414497.7</v>
      </c>
      <c r="K17" s="757"/>
      <c r="L17" s="336"/>
    </row>
    <row r="18" spans="2:12" ht="16" thickBot="1">
      <c r="B18" s="335"/>
      <c r="E18" s="31"/>
      <c r="F18" s="34"/>
      <c r="G18" s="34"/>
      <c r="H18" s="34"/>
      <c r="K18" s="773"/>
      <c r="L18" s="336"/>
    </row>
    <row r="19" spans="2:12">
      <c r="B19" s="335"/>
      <c r="E19" s="326" t="s">
        <v>126</v>
      </c>
      <c r="F19" s="307"/>
      <c r="G19" s="307"/>
      <c r="H19" s="308"/>
      <c r="L19" s="336"/>
    </row>
    <row r="20" spans="2:12">
      <c r="B20" s="335"/>
      <c r="E20" s="312" t="s">
        <v>127</v>
      </c>
      <c r="F20" s="312">
        <v>2025</v>
      </c>
      <c r="G20" s="312">
        <v>2026</v>
      </c>
      <c r="H20" s="312">
        <v>2027</v>
      </c>
      <c r="L20" s="336"/>
    </row>
    <row r="21" spans="2:12">
      <c r="B21" s="335"/>
      <c r="E21" s="32">
        <f>'Presupuesto financiero'!J20</f>
        <v>5200000</v>
      </c>
      <c r="F21" s="32">
        <f>'Presupuesto financiero'!K20</f>
        <v>5862388</v>
      </c>
      <c r="G21" s="32">
        <f>'Presupuesto financiero'!L20</f>
        <v>4396791</v>
      </c>
      <c r="H21" s="32">
        <f>'Presupuesto financiero'!M20</f>
        <v>4396791</v>
      </c>
      <c r="L21" s="336"/>
    </row>
    <row r="22" spans="2:12">
      <c r="B22" s="335"/>
      <c r="L22" s="336"/>
    </row>
    <row r="23" spans="2:12">
      <c r="B23" s="335"/>
      <c r="E23" s="315" t="s">
        <v>151</v>
      </c>
      <c r="F23" s="315">
        <v>2025</v>
      </c>
      <c r="G23" s="315">
        <v>2026</v>
      </c>
      <c r="H23" s="315">
        <v>2027</v>
      </c>
      <c r="L23" s="336"/>
    </row>
    <row r="24" spans="2:12">
      <c r="B24" s="335"/>
      <c r="C24" s="316" t="s">
        <v>37</v>
      </c>
      <c r="D24" s="317"/>
      <c r="E24" s="321" t="s">
        <v>138</v>
      </c>
      <c r="F24" s="322">
        <f>'Mod. ingresos'!$C$22</f>
        <v>177460000</v>
      </c>
      <c r="G24" s="337">
        <f>'Mod. ingresos'!$D$22*C17</f>
        <v>251788000</v>
      </c>
      <c r="H24" s="322">
        <f>'Mod. ingresos'!$E$22</f>
        <v>398490000</v>
      </c>
      <c r="L24" s="336"/>
    </row>
    <row r="25" spans="2:12">
      <c r="B25" s="335"/>
      <c r="C25" s="766" t="s">
        <v>139</v>
      </c>
      <c r="D25" s="318" t="s">
        <v>168</v>
      </c>
      <c r="E25" s="321" t="s">
        <v>138</v>
      </c>
      <c r="F25" s="322">
        <f t="shared" ref="F25:H25" si="0">F11</f>
        <v>40672572</v>
      </c>
      <c r="G25" s="337">
        <f>G11*0.99</f>
        <v>41718021.839999996</v>
      </c>
      <c r="H25" s="322">
        <f t="shared" si="0"/>
        <v>43846260</v>
      </c>
      <c r="L25" s="336"/>
    </row>
    <row r="26" spans="2:12">
      <c r="B26" s="335"/>
      <c r="C26" s="767"/>
      <c r="D26" s="318" t="s">
        <v>169</v>
      </c>
      <c r="E26" s="321" t="s">
        <v>138</v>
      </c>
      <c r="F26" s="322">
        <f>F12</f>
        <v>4268280</v>
      </c>
      <c r="G26" s="337">
        <f>G12*C17</f>
        <v>5957184.0000000009</v>
      </c>
      <c r="H26" s="322">
        <f>H12</f>
        <v>9098820</v>
      </c>
      <c r="L26" s="336"/>
    </row>
    <row r="27" spans="2:12">
      <c r="B27" s="335"/>
      <c r="C27" s="768"/>
      <c r="D27" s="318" t="s">
        <v>170</v>
      </c>
      <c r="E27" s="321" t="s">
        <v>138</v>
      </c>
      <c r="F27" s="322">
        <f>F13</f>
        <v>126808165.64</v>
      </c>
      <c r="G27" s="322">
        <f>G13</f>
        <v>192749644.16499993</v>
      </c>
      <c r="H27" s="322">
        <f>H13</f>
        <v>295467714.09999996</v>
      </c>
      <c r="L27" s="336"/>
    </row>
    <row r="28" spans="2:12">
      <c r="B28" s="335"/>
      <c r="C28" s="305" t="s">
        <v>140</v>
      </c>
      <c r="D28" s="306"/>
      <c r="E28" s="323" t="s">
        <v>138</v>
      </c>
      <c r="F28" s="324">
        <f>F24-F25-F26-F27</f>
        <v>5710982.3599999994</v>
      </c>
      <c r="G28" s="324">
        <f>G24-G25-G26-G27</f>
        <v>11363149.995000064</v>
      </c>
      <c r="H28" s="324">
        <f>H24-H25-H26-H27</f>
        <v>50077205.900000036</v>
      </c>
      <c r="L28" s="336"/>
    </row>
    <row r="29" spans="2:12">
      <c r="B29" s="335"/>
      <c r="C29" s="319" t="s">
        <v>141</v>
      </c>
      <c r="D29" s="320"/>
      <c r="E29" s="134" t="s">
        <v>138</v>
      </c>
      <c r="F29" s="322">
        <f>F24*0.03</f>
        <v>5323800</v>
      </c>
      <c r="G29" s="322">
        <f>G24*0.03</f>
        <v>7553640</v>
      </c>
      <c r="H29" s="322">
        <f>H24*0.03</f>
        <v>11954700</v>
      </c>
      <c r="L29" s="336"/>
    </row>
    <row r="30" spans="2:12">
      <c r="B30" s="335"/>
      <c r="C30" s="754" t="s">
        <v>142</v>
      </c>
      <c r="D30" s="755"/>
      <c r="E30" s="134"/>
      <c r="F30" s="322">
        <f>F28-F29-F17</f>
        <v>387182.3599999994</v>
      </c>
      <c r="G30" s="322">
        <f t="shared" ref="G30:H30" si="1">G28-G29-G17</f>
        <v>1923513.061666731</v>
      </c>
      <c r="H30" s="322">
        <f t="shared" si="1"/>
        <v>36708008.200000033</v>
      </c>
      <c r="L30" s="336"/>
    </row>
    <row r="31" spans="2:12">
      <c r="B31" s="335"/>
      <c r="C31" s="319" t="s">
        <v>143</v>
      </c>
      <c r="D31" s="320"/>
      <c r="E31" s="134" t="s">
        <v>138</v>
      </c>
      <c r="F31" s="322">
        <v>0</v>
      </c>
      <c r="G31" s="322">
        <f>0.35*F30</f>
        <v>135513.8259999998</v>
      </c>
      <c r="H31" s="322">
        <f>0.35*G30</f>
        <v>673229.57158335578</v>
      </c>
      <c r="L31" s="336"/>
    </row>
    <row r="32" spans="2:12">
      <c r="B32" s="335"/>
      <c r="C32" s="305" t="s">
        <v>144</v>
      </c>
      <c r="D32" s="306"/>
      <c r="E32" s="323" t="s">
        <v>138</v>
      </c>
      <c r="F32" s="324">
        <f>F28-F29-F31</f>
        <v>387182.3599999994</v>
      </c>
      <c r="G32" s="324">
        <f>G28-G29-G31</f>
        <v>3673996.1690000645</v>
      </c>
      <c r="H32" s="324">
        <f>H28-H29-H31</f>
        <v>37449276.328416683</v>
      </c>
      <c r="L32" s="336"/>
    </row>
    <row r="33" spans="2:12">
      <c r="B33" s="335"/>
      <c r="C33" s="319" t="s">
        <v>145</v>
      </c>
      <c r="D33" s="320"/>
      <c r="E33" s="322">
        <f>-E21</f>
        <v>-5200000</v>
      </c>
      <c r="F33" s="322">
        <f>-F21</f>
        <v>-5862388</v>
      </c>
      <c r="G33" s="322">
        <f>-G21</f>
        <v>-4396791</v>
      </c>
      <c r="H33" s="322">
        <f>-H21</f>
        <v>-4396791</v>
      </c>
      <c r="L33" s="336"/>
    </row>
    <row r="34" spans="2:12">
      <c r="B34" s="335"/>
      <c r="C34" s="305" t="s">
        <v>146</v>
      </c>
      <c r="D34" s="306"/>
      <c r="E34" s="324">
        <f>E33</f>
        <v>-5200000</v>
      </c>
      <c r="F34" s="324">
        <f>F32+F33</f>
        <v>-5475205.6400000006</v>
      </c>
      <c r="G34" s="324">
        <f>G32+G33</f>
        <v>-722794.83099993551</v>
      </c>
      <c r="H34" s="324">
        <f>H32+H33</f>
        <v>33052485.328416683</v>
      </c>
      <c r="L34" s="336"/>
    </row>
    <row r="35" spans="2:12">
      <c r="B35" s="335"/>
      <c r="L35" s="336"/>
    </row>
    <row r="36" spans="2:12">
      <c r="B36" s="335"/>
      <c r="G36" s="338" t="s">
        <v>147</v>
      </c>
      <c r="H36" s="339">
        <v>0.7</v>
      </c>
      <c r="L36" s="336"/>
    </row>
    <row r="37" spans="2:12">
      <c r="B37" s="335"/>
      <c r="G37" s="338" t="s">
        <v>148</v>
      </c>
      <c r="H37" s="340">
        <f>NPV(H36,E34:H34)</f>
        <v>-1143090.9811763761</v>
      </c>
      <c r="L37" s="336"/>
    </row>
    <row r="38" spans="2:12">
      <c r="B38" s="335"/>
      <c r="G38" s="338" t="s">
        <v>149</v>
      </c>
      <c r="H38" s="341">
        <f>IRR(E34:H34,H36)</f>
        <v>0.53931475383956862</v>
      </c>
      <c r="L38" s="336"/>
    </row>
    <row r="39" spans="2:12">
      <c r="B39" s="335"/>
      <c r="L39" s="336"/>
    </row>
    <row r="40" spans="2:12" ht="16" thickBot="1">
      <c r="B40" s="257"/>
      <c r="C40" s="258"/>
      <c r="D40" s="258"/>
      <c r="E40" s="258"/>
      <c r="F40" s="258"/>
      <c r="G40" s="258"/>
      <c r="H40" s="258"/>
      <c r="I40" s="258"/>
      <c r="J40" s="258"/>
      <c r="K40" s="258"/>
      <c r="L40" s="259"/>
    </row>
  </sheetData>
  <mergeCells count="11">
    <mergeCell ref="F1:H1"/>
    <mergeCell ref="C25:C27"/>
    <mergeCell ref="C16:D16"/>
    <mergeCell ref="C17:D17"/>
    <mergeCell ref="C30:D30"/>
    <mergeCell ref="C5:K5"/>
    <mergeCell ref="K8:K10"/>
    <mergeCell ref="K12:K14"/>
    <mergeCell ref="F7:H7"/>
    <mergeCell ref="K16:K18"/>
    <mergeCell ref="C15:D15"/>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8"/>
  <sheetViews>
    <sheetView zoomScale="90" zoomScaleNormal="90" workbookViewId="0">
      <pane ySplit="1" topLeftCell="A2" activePane="bottomLeft" state="frozen"/>
      <selection pane="bottomLeft" activeCell="G35" sqref="G35:H37"/>
    </sheetView>
  </sheetViews>
  <sheetFormatPr baseColWidth="10" defaultColWidth="11.5" defaultRowHeight="15"/>
  <cols>
    <col min="1" max="1" width="4.6640625" style="1" customWidth="1"/>
    <col min="2" max="2" width="8.33203125" style="1" customWidth="1"/>
    <col min="3" max="3" width="11.6640625" style="1" customWidth="1"/>
    <col min="4" max="4" width="23.5" style="1" customWidth="1"/>
    <col min="5" max="5" width="19.83203125" style="1" customWidth="1"/>
    <col min="6" max="6" width="24.6640625" style="1" customWidth="1"/>
    <col min="7" max="7" width="15.33203125" style="1" bestFit="1" customWidth="1"/>
    <col min="8" max="8" width="17" style="1" customWidth="1"/>
    <col min="9" max="9" width="8.33203125" style="1" customWidth="1"/>
    <col min="10" max="10" width="6.6640625" style="1" customWidth="1"/>
    <col min="11" max="11" width="54.33203125" style="1" customWidth="1"/>
    <col min="12" max="16384" width="11.5" style="1"/>
  </cols>
  <sheetData>
    <row r="1" spans="1:14" customFormat="1" ht="58.5" customHeight="1">
      <c r="A1" s="373"/>
      <c r="B1" s="373"/>
      <c r="C1" s="373"/>
      <c r="D1" s="373"/>
      <c r="E1" s="373"/>
      <c r="F1" s="748" t="s">
        <v>163</v>
      </c>
      <c r="G1" s="749"/>
      <c r="H1" s="749"/>
      <c r="I1" s="373"/>
      <c r="J1" s="373"/>
      <c r="K1" s="373"/>
      <c r="L1" s="373"/>
      <c r="M1" s="373"/>
      <c r="N1" s="373"/>
    </row>
    <row r="2" spans="1:14" ht="16" thickBot="1"/>
    <row r="3" spans="1:14" ht="16" thickBot="1">
      <c r="B3" s="332"/>
      <c r="C3" s="333"/>
      <c r="D3" s="333"/>
      <c r="E3" s="333"/>
      <c r="F3" s="333"/>
      <c r="G3" s="333"/>
      <c r="H3" s="333"/>
      <c r="I3" s="333"/>
      <c r="J3" s="333"/>
      <c r="K3" s="333"/>
      <c r="L3" s="334"/>
    </row>
    <row r="4" spans="1:14" ht="16" thickBot="1">
      <c r="B4" s="335"/>
      <c r="C4" s="592" t="s">
        <v>174</v>
      </c>
      <c r="D4" s="774"/>
      <c r="E4" s="774"/>
      <c r="F4" s="774"/>
      <c r="G4" s="774"/>
      <c r="H4" s="774"/>
      <c r="I4" s="774"/>
      <c r="J4" s="774"/>
      <c r="K4" s="593"/>
      <c r="L4" s="336"/>
    </row>
    <row r="5" spans="1:14" ht="16" thickBot="1">
      <c r="B5" s="335"/>
      <c r="L5" s="336"/>
    </row>
    <row r="6" spans="1:14" ht="16" thickBot="1">
      <c r="B6" s="335"/>
      <c r="F6" s="770" t="s">
        <v>32</v>
      </c>
      <c r="G6" s="771"/>
      <c r="H6" s="772"/>
      <c r="K6" s="161" t="s">
        <v>353</v>
      </c>
      <c r="L6" s="336"/>
    </row>
    <row r="7" spans="1:14">
      <c r="B7" s="335"/>
      <c r="F7" s="312">
        <v>2025</v>
      </c>
      <c r="G7" s="312">
        <v>2026</v>
      </c>
      <c r="H7" s="312">
        <v>2027</v>
      </c>
      <c r="K7" s="769" t="str">
        <f>'Matriz riesgo'!C10</f>
        <v>Incremento de costos de tecnología y servidores</v>
      </c>
      <c r="L7" s="336"/>
    </row>
    <row r="8" spans="1:14">
      <c r="B8" s="335"/>
      <c r="F8" s="309">
        <f>'Presupuesto financiero'!K5</f>
        <v>0.04</v>
      </c>
      <c r="G8" s="309">
        <f>'Presupuesto financiero'!L5</f>
        <v>0.06</v>
      </c>
      <c r="H8" s="309">
        <f>'Presupuesto financiero'!M5</f>
        <v>0.09</v>
      </c>
      <c r="K8" s="757"/>
      <c r="L8" s="336"/>
    </row>
    <row r="9" spans="1:14" ht="16" thickBot="1">
      <c r="B9" s="335"/>
      <c r="E9" s="318" t="s">
        <v>172</v>
      </c>
      <c r="F9" s="327">
        <f>'Presupuesto financiero'!K6</f>
        <v>177120000</v>
      </c>
      <c r="G9" s="327">
        <f>'Presupuesto financiero'!L6</f>
        <v>265680000</v>
      </c>
      <c r="H9" s="327">
        <f>'Presupuesto financiero'!M6</f>
        <v>398520000</v>
      </c>
      <c r="K9" s="758"/>
      <c r="L9" s="336"/>
    </row>
    <row r="10" spans="1:14" ht="16" thickBot="1">
      <c r="B10" s="335"/>
      <c r="E10" s="318" t="s">
        <v>137</v>
      </c>
      <c r="F10" s="32">
        <f>'Presupuesto financiero'!K10</f>
        <v>40672572</v>
      </c>
      <c r="G10" s="32">
        <f>'Presupuesto financiero'!L10</f>
        <v>42139416</v>
      </c>
      <c r="H10" s="32">
        <f>'Presupuesto financiero'!M10</f>
        <v>43846260</v>
      </c>
      <c r="K10" s="161" t="s">
        <v>153</v>
      </c>
      <c r="L10" s="336"/>
    </row>
    <row r="11" spans="1:14">
      <c r="B11" s="335"/>
      <c r="E11" s="318" t="s">
        <v>122</v>
      </c>
      <c r="F11" s="32">
        <f>'Presupuesto financiero'!K11</f>
        <v>4268280</v>
      </c>
      <c r="G11" s="32">
        <f>'Presupuesto financiero'!L11</f>
        <v>6270720.0000000009</v>
      </c>
      <c r="H11" s="32">
        <f>'Presupuesto financiero'!M11</f>
        <v>9098820</v>
      </c>
      <c r="K11" s="769" t="str">
        <f>'Matriz riesgo'!D10</f>
        <v>Suba del dólar aumentan costos de servicios de hosting</v>
      </c>
      <c r="L11" s="336"/>
    </row>
    <row r="12" spans="1:14">
      <c r="B12" s="335"/>
      <c r="E12" s="318" t="s">
        <v>171</v>
      </c>
      <c r="F12" s="32">
        <f>'Presupuesto financiero'!K12</f>
        <v>126808165.64</v>
      </c>
      <c r="G12" s="32">
        <f>'Presupuesto financiero'!L12</f>
        <v>192749644.16499993</v>
      </c>
      <c r="H12" s="32">
        <f>'Presupuesto financiero'!M12</f>
        <v>295467714.09999996</v>
      </c>
      <c r="K12" s="757"/>
      <c r="L12" s="336"/>
    </row>
    <row r="13" spans="1:14" ht="16" thickBot="1">
      <c r="B13" s="335"/>
      <c r="K13" s="758"/>
      <c r="L13" s="336"/>
    </row>
    <row r="14" spans="1:14" ht="16" thickBot="1">
      <c r="B14" s="775" t="s">
        <v>176</v>
      </c>
      <c r="C14" s="775"/>
      <c r="D14" s="775"/>
      <c r="F14" s="326" t="s">
        <v>132</v>
      </c>
      <c r="G14" s="307"/>
      <c r="H14" s="308"/>
      <c r="K14" s="161" t="s">
        <v>154</v>
      </c>
      <c r="L14" s="336"/>
    </row>
    <row r="15" spans="1:14" ht="20.25" customHeight="1">
      <c r="B15" s="491">
        <v>2025</v>
      </c>
      <c r="C15" s="189">
        <v>2026</v>
      </c>
      <c r="D15" s="189">
        <v>2027</v>
      </c>
      <c r="F15" s="312">
        <v>2025</v>
      </c>
      <c r="G15" s="312">
        <v>2026</v>
      </c>
      <c r="H15" s="312">
        <v>2027</v>
      </c>
      <c r="K15" s="756" t="str">
        <f>'Matriz riesgo'!E10</f>
        <v>Incremento en costos fijos del 10%</v>
      </c>
      <c r="L15" s="336"/>
    </row>
    <row r="16" spans="1:14">
      <c r="B16" s="492">
        <v>1.1000000000000001</v>
      </c>
      <c r="C16" s="492">
        <v>1.1000000000000001</v>
      </c>
      <c r="D16" s="492">
        <v>1.1000000000000001</v>
      </c>
      <c r="E16" s="31"/>
      <c r="F16" s="32">
        <f>'Presupuesto financiero'!K16</f>
        <v>0</v>
      </c>
      <c r="G16" s="32">
        <f>'Presupuesto financiero'!L16</f>
        <v>1885996.9333333333</v>
      </c>
      <c r="H16" s="32">
        <f>'Presupuesto financiero'!M16</f>
        <v>1414497.7</v>
      </c>
      <c r="K16" s="757"/>
      <c r="L16" s="336"/>
    </row>
    <row r="17" spans="2:12" ht="16" thickBot="1">
      <c r="B17" s="335"/>
      <c r="E17" s="31"/>
      <c r="F17" s="34"/>
      <c r="G17" s="34"/>
      <c r="H17" s="34"/>
      <c r="K17" s="773"/>
      <c r="L17" s="336"/>
    </row>
    <row r="18" spans="2:12">
      <c r="B18" s="335"/>
      <c r="E18" s="326" t="s">
        <v>126</v>
      </c>
      <c r="F18" s="307"/>
      <c r="G18" s="307"/>
      <c r="H18" s="308"/>
      <c r="L18" s="336"/>
    </row>
    <row r="19" spans="2:12">
      <c r="B19" s="335"/>
      <c r="E19" s="312" t="s">
        <v>127</v>
      </c>
      <c r="F19" s="312">
        <v>2025</v>
      </c>
      <c r="G19" s="312">
        <v>2026</v>
      </c>
      <c r="H19" s="312">
        <v>2027</v>
      </c>
      <c r="L19" s="336"/>
    </row>
    <row r="20" spans="2:12">
      <c r="B20" s="335"/>
      <c r="E20" s="32">
        <f>'Presupuesto financiero'!J20</f>
        <v>5200000</v>
      </c>
      <c r="F20" s="32">
        <f>'Presupuesto financiero'!K20</f>
        <v>5862388</v>
      </c>
      <c r="G20" s="32">
        <f>'Presupuesto financiero'!L20</f>
        <v>4396791</v>
      </c>
      <c r="H20" s="32">
        <f>'Presupuesto financiero'!M20</f>
        <v>4396791</v>
      </c>
      <c r="L20" s="336"/>
    </row>
    <row r="21" spans="2:12">
      <c r="B21" s="335"/>
      <c r="L21" s="336"/>
    </row>
    <row r="22" spans="2:12">
      <c r="B22" s="335"/>
      <c r="E22" s="315" t="s">
        <v>151</v>
      </c>
      <c r="F22" s="315">
        <v>2025</v>
      </c>
      <c r="G22" s="315">
        <v>2026</v>
      </c>
      <c r="H22" s="315">
        <v>2027</v>
      </c>
      <c r="L22" s="336"/>
    </row>
    <row r="23" spans="2:12">
      <c r="B23" s="335"/>
      <c r="C23" s="316" t="s">
        <v>37</v>
      </c>
      <c r="D23" s="317"/>
      <c r="E23" s="321" t="s">
        <v>138</v>
      </c>
      <c r="F23" s="322">
        <f>'Mod. ingresos'!$C$22</f>
        <v>177460000</v>
      </c>
      <c r="G23" s="322">
        <f>'Mod. ingresos'!$D$22</f>
        <v>265040000</v>
      </c>
      <c r="H23" s="322">
        <f>'Mod. ingresos'!$E$22</f>
        <v>398490000</v>
      </c>
      <c r="L23" s="336"/>
    </row>
    <row r="24" spans="2:12">
      <c r="B24" s="335"/>
      <c r="C24" s="766" t="s">
        <v>139</v>
      </c>
      <c r="D24" s="318" t="s">
        <v>168</v>
      </c>
      <c r="E24" s="321" t="s">
        <v>138</v>
      </c>
      <c r="F24" s="337">
        <f>F10*B16</f>
        <v>44739829.200000003</v>
      </c>
      <c r="G24" s="337">
        <f t="shared" ref="G24:H24" si="0">G10*C16</f>
        <v>46353357.600000001</v>
      </c>
      <c r="H24" s="337">
        <f t="shared" si="0"/>
        <v>48230886.000000007</v>
      </c>
      <c r="L24" s="336"/>
    </row>
    <row r="25" spans="2:12">
      <c r="B25" s="335"/>
      <c r="C25" s="767"/>
      <c r="D25" s="318" t="s">
        <v>169</v>
      </c>
      <c r="E25" s="321" t="s">
        <v>138</v>
      </c>
      <c r="F25" s="490">
        <f t="shared" ref="F25:H26" si="1">F11</f>
        <v>4268280</v>
      </c>
      <c r="G25" s="490">
        <f t="shared" si="1"/>
        <v>6270720.0000000009</v>
      </c>
      <c r="H25" s="490">
        <f t="shared" si="1"/>
        <v>9098820</v>
      </c>
      <c r="L25" s="336"/>
    </row>
    <row r="26" spans="2:12">
      <c r="B26" s="335"/>
      <c r="C26" s="768"/>
      <c r="D26" s="318" t="s">
        <v>170</v>
      </c>
      <c r="E26" s="321" t="s">
        <v>138</v>
      </c>
      <c r="F26" s="322">
        <f t="shared" si="1"/>
        <v>126808165.64</v>
      </c>
      <c r="G26" s="322">
        <f t="shared" si="1"/>
        <v>192749644.16499993</v>
      </c>
      <c r="H26" s="322">
        <f t="shared" si="1"/>
        <v>295467714.09999996</v>
      </c>
      <c r="L26" s="336"/>
    </row>
    <row r="27" spans="2:12">
      <c r="B27" s="335"/>
      <c r="C27" s="319" t="s">
        <v>140</v>
      </c>
      <c r="D27" s="320"/>
      <c r="E27" s="323" t="s">
        <v>138</v>
      </c>
      <c r="F27" s="324">
        <f>F23-F24-F25-F26</f>
        <v>1643725.1599999964</v>
      </c>
      <c r="G27" s="324">
        <f>G23-G24-G25-G26</f>
        <v>19666278.235000074</v>
      </c>
      <c r="H27" s="324">
        <f>H23-H24-H25-H26</f>
        <v>45692579.900000036</v>
      </c>
      <c r="L27" s="336"/>
    </row>
    <row r="28" spans="2:12">
      <c r="B28" s="335"/>
      <c r="C28" s="319" t="s">
        <v>141</v>
      </c>
      <c r="D28" s="320"/>
      <c r="E28" s="134" t="s">
        <v>138</v>
      </c>
      <c r="F28" s="322">
        <f>F23*0.03</f>
        <v>5323800</v>
      </c>
      <c r="G28" s="322">
        <f>G23*0.03</f>
        <v>7951200</v>
      </c>
      <c r="H28" s="322">
        <f>H23*0.03</f>
        <v>11954700</v>
      </c>
      <c r="L28" s="336"/>
    </row>
    <row r="29" spans="2:12">
      <c r="B29" s="335"/>
      <c r="C29" s="754" t="s">
        <v>142</v>
      </c>
      <c r="D29" s="755"/>
      <c r="E29" s="134"/>
      <c r="F29" s="322">
        <f>F27-F28</f>
        <v>-3680074.8400000036</v>
      </c>
      <c r="G29" s="322">
        <f>G27-G28-G16</f>
        <v>9829081.3016667403</v>
      </c>
      <c r="H29" s="322">
        <f>H27-H28-H16</f>
        <v>32323382.200000037</v>
      </c>
      <c r="L29" s="336"/>
    </row>
    <row r="30" spans="2:12">
      <c r="B30" s="335"/>
      <c r="C30" s="319" t="s">
        <v>143</v>
      </c>
      <c r="D30" s="320"/>
      <c r="E30" s="134" t="s">
        <v>138</v>
      </c>
      <c r="F30" s="322">
        <v>0</v>
      </c>
      <c r="G30" s="322">
        <f>0.35*F29</f>
        <v>-1288026.1940000011</v>
      </c>
      <c r="H30" s="322">
        <f>0.35*G29</f>
        <v>3440178.4555833591</v>
      </c>
      <c r="L30" s="336"/>
    </row>
    <row r="31" spans="2:12">
      <c r="B31" s="335"/>
      <c r="C31" s="319" t="s">
        <v>144</v>
      </c>
      <c r="D31" s="320"/>
      <c r="E31" s="323" t="s">
        <v>138</v>
      </c>
      <c r="F31" s="324">
        <f>F27-F28-F30</f>
        <v>-3680074.8400000036</v>
      </c>
      <c r="G31" s="324">
        <f>G27-G28-G30</f>
        <v>13003104.429000076</v>
      </c>
      <c r="H31" s="324">
        <f>H27-H28-H30</f>
        <v>30297701.444416676</v>
      </c>
      <c r="L31" s="336"/>
    </row>
    <row r="32" spans="2:12">
      <c r="B32" s="335"/>
      <c r="C32" s="319" t="s">
        <v>145</v>
      </c>
      <c r="D32" s="320"/>
      <c r="E32" s="322">
        <f>-E20</f>
        <v>-5200000</v>
      </c>
      <c r="F32" s="322">
        <f>-F20</f>
        <v>-5862388</v>
      </c>
      <c r="G32" s="322">
        <f>-G20</f>
        <v>-4396791</v>
      </c>
      <c r="H32" s="322">
        <f>-H20</f>
        <v>-4396791</v>
      </c>
      <c r="L32" s="336"/>
    </row>
    <row r="33" spans="2:12">
      <c r="B33" s="335"/>
      <c r="C33" s="319" t="s">
        <v>146</v>
      </c>
      <c r="D33" s="320"/>
      <c r="E33" s="324">
        <f>E32</f>
        <v>-5200000</v>
      </c>
      <c r="F33" s="324">
        <f>F31+F32</f>
        <v>-9542462.8400000036</v>
      </c>
      <c r="G33" s="324">
        <f>G31+G32</f>
        <v>8606313.4290000759</v>
      </c>
      <c r="H33" s="324">
        <f>H31+H32</f>
        <v>25900910.444416676</v>
      </c>
      <c r="L33" s="336"/>
    </row>
    <row r="34" spans="2:12">
      <c r="B34" s="335"/>
      <c r="L34" s="336"/>
    </row>
    <row r="35" spans="2:12">
      <c r="B35" s="335"/>
      <c r="G35" s="314" t="s">
        <v>147</v>
      </c>
      <c r="H35" s="39">
        <v>0.7</v>
      </c>
      <c r="L35" s="336"/>
    </row>
    <row r="36" spans="2:12">
      <c r="B36" s="335"/>
      <c r="G36" s="314" t="s">
        <v>148</v>
      </c>
      <c r="H36" s="310">
        <f>NPV(H35,E33:H33)</f>
        <v>-1507845.2525572255</v>
      </c>
      <c r="L36" s="336"/>
    </row>
    <row r="37" spans="2:12">
      <c r="B37" s="335"/>
      <c r="G37" s="314" t="s">
        <v>149</v>
      </c>
      <c r="H37" s="311">
        <f>IRR(E33:H33,H35)</f>
        <v>0.49617856541686889</v>
      </c>
      <c r="L37" s="336"/>
    </row>
    <row r="38" spans="2:12" ht="16" thickBot="1">
      <c r="B38" s="257"/>
      <c r="C38" s="258"/>
      <c r="D38" s="258"/>
      <c r="E38" s="258"/>
      <c r="F38" s="258"/>
      <c r="G38" s="258"/>
      <c r="H38" s="258"/>
      <c r="I38" s="258"/>
      <c r="J38" s="258"/>
      <c r="K38" s="258"/>
      <c r="L38" s="259"/>
    </row>
  </sheetData>
  <mergeCells count="9">
    <mergeCell ref="C29:D29"/>
    <mergeCell ref="F6:H6"/>
    <mergeCell ref="F1:H1"/>
    <mergeCell ref="C24:C26"/>
    <mergeCell ref="C4:K4"/>
    <mergeCell ref="K7:K9"/>
    <mergeCell ref="K11:K13"/>
    <mergeCell ref="K15:K17"/>
    <mergeCell ref="B14:D14"/>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2"/>
  <sheetViews>
    <sheetView topLeftCell="B1" zoomScale="90" zoomScaleNormal="90" workbookViewId="0">
      <pane ySplit="1" topLeftCell="A3" activePane="bottomLeft" state="frozen"/>
      <selection pane="bottomLeft" activeCell="K37" sqref="J34:K37"/>
    </sheetView>
  </sheetViews>
  <sheetFormatPr baseColWidth="10" defaultColWidth="11.5" defaultRowHeight="15"/>
  <cols>
    <col min="1" max="1" width="11.5" style="1"/>
    <col min="2" max="2" width="3" style="1" customWidth="1"/>
    <col min="3" max="3" width="60.6640625" style="1" customWidth="1"/>
    <col min="4" max="4" width="5" style="1" customWidth="1"/>
    <col min="5" max="5" width="3.83203125" style="1" customWidth="1"/>
    <col min="6" max="6" width="11.5" style="1"/>
    <col min="7" max="7" width="20.5" style="1" customWidth="1"/>
    <col min="8" max="8" width="24.33203125" style="1" bestFit="1" customWidth="1"/>
    <col min="9" max="9" width="16.6640625" style="1" bestFit="1" customWidth="1"/>
    <col min="10" max="11" width="20.33203125" style="1" bestFit="1" customWidth="1"/>
    <col min="12" max="12" width="6.33203125" style="1" customWidth="1"/>
    <col min="13" max="13" width="42.5" style="1" bestFit="1" customWidth="1"/>
    <col min="14" max="14" width="28.5" style="1" customWidth="1"/>
    <col min="15" max="16384" width="11.5" style="1"/>
  </cols>
  <sheetData>
    <row r="1" spans="1:15" customFormat="1" ht="58.5" customHeight="1">
      <c r="A1" s="371"/>
      <c r="B1" s="371"/>
      <c r="C1" s="371"/>
      <c r="D1" s="371"/>
      <c r="E1" s="371"/>
      <c r="F1" s="376" t="s">
        <v>12</v>
      </c>
      <c r="G1" s="377"/>
      <c r="H1" s="377"/>
      <c r="I1" s="371"/>
      <c r="J1" s="371"/>
      <c r="K1" s="371"/>
      <c r="L1" s="371"/>
      <c r="M1" s="371"/>
      <c r="N1" s="371"/>
      <c r="O1" s="371"/>
    </row>
    <row r="2" spans="1:15" ht="16" thickBot="1"/>
    <row r="3" spans="1:15" ht="22" thickBot="1">
      <c r="C3" s="779" t="s">
        <v>361</v>
      </c>
      <c r="D3" s="780"/>
      <c r="E3" s="780"/>
      <c r="F3" s="780"/>
      <c r="G3" s="780"/>
      <c r="H3" s="780"/>
      <c r="I3" s="780"/>
      <c r="J3" s="780"/>
      <c r="K3" s="780"/>
      <c r="L3" s="780"/>
      <c r="M3" s="780"/>
      <c r="N3" s="781"/>
    </row>
    <row r="4" spans="1:15" ht="16" thickBot="1"/>
    <row r="5" spans="1:15" ht="15.75" customHeight="1" thickBot="1">
      <c r="C5" s="161" t="s">
        <v>175</v>
      </c>
      <c r="I5" s="770" t="s">
        <v>32</v>
      </c>
      <c r="J5" s="771"/>
      <c r="K5" s="772"/>
    </row>
    <row r="6" spans="1:15">
      <c r="C6" s="769" t="str">
        <f>'Matriz riesgo'!C8</f>
        <v>Competencia de plataformas de noticias gratuitas</v>
      </c>
      <c r="I6" s="312">
        <v>2025</v>
      </c>
      <c r="J6" s="312">
        <v>2026</v>
      </c>
      <c r="K6" s="312">
        <v>2027</v>
      </c>
    </row>
    <row r="7" spans="1:15">
      <c r="C7" s="757"/>
      <c r="I7" s="309">
        <f>'Escenario 3'!F8</f>
        <v>0.04</v>
      </c>
      <c r="J7" s="309">
        <f>'Escenario 3'!G8</f>
        <v>0.06</v>
      </c>
      <c r="K7" s="309">
        <f>'Escenario 3'!H8</f>
        <v>0.09</v>
      </c>
    </row>
    <row r="8" spans="1:15" ht="16" thickBot="1">
      <c r="C8" s="758"/>
      <c r="H8" s="318" t="s">
        <v>172</v>
      </c>
      <c r="I8" s="327">
        <f>'Escenario 3'!F9</f>
        <v>177120000</v>
      </c>
      <c r="J8" s="327">
        <f>'Escenario 3'!G9</f>
        <v>265680000</v>
      </c>
      <c r="K8" s="327">
        <f>'Escenario 3'!H9</f>
        <v>398520000</v>
      </c>
    </row>
    <row r="9" spans="1:15" ht="16" thickBot="1">
      <c r="C9" s="161" t="s">
        <v>153</v>
      </c>
      <c r="H9" s="318" t="s">
        <v>137</v>
      </c>
      <c r="I9" s="32">
        <f>'Escenario 3'!F10</f>
        <v>40672572</v>
      </c>
      <c r="J9" s="32">
        <f>'Escenario 3'!G10</f>
        <v>42139416</v>
      </c>
      <c r="K9" s="32">
        <f>'Escenario 3'!H10</f>
        <v>43846260</v>
      </c>
    </row>
    <row r="10" spans="1:15" ht="15" customHeight="1">
      <c r="C10" s="769" t="str">
        <f>'Matriz riesgo'!D8</f>
        <v>Nuevas plataformas digitales con contenido gratuito y sin suscripción</v>
      </c>
      <c r="H10" s="318" t="s">
        <v>122</v>
      </c>
      <c r="I10" s="32">
        <f>'Escenario 3'!F11</f>
        <v>4268280</v>
      </c>
      <c r="J10" s="32">
        <f>'Escenario 3'!G11</f>
        <v>6270720.0000000009</v>
      </c>
      <c r="K10" s="32">
        <f>'Escenario 3'!H11</f>
        <v>9098820</v>
      </c>
    </row>
    <row r="11" spans="1:15">
      <c r="C11" s="757"/>
      <c r="H11" s="318" t="s">
        <v>171</v>
      </c>
      <c r="I11" s="32">
        <f>'Escenario 3'!F12</f>
        <v>126808165.64</v>
      </c>
      <c r="J11" s="32">
        <f>'Escenario 3'!G12</f>
        <v>192749644.16499993</v>
      </c>
      <c r="K11" s="32">
        <f>'Escenario 3'!H12</f>
        <v>295467714.09999996</v>
      </c>
    </row>
    <row r="12" spans="1:15" ht="16" thickBot="1">
      <c r="C12" s="758"/>
    </row>
    <row r="13" spans="1:15" ht="16" thickBot="1">
      <c r="C13" s="161" t="s">
        <v>154</v>
      </c>
      <c r="I13" s="326" t="s">
        <v>132</v>
      </c>
      <c r="J13" s="307"/>
      <c r="K13" s="308"/>
    </row>
    <row r="14" spans="1:15" ht="19.5" customHeight="1">
      <c r="C14" s="769" t="str">
        <f>'Matriz riesgo'!E8</f>
        <v>Reducción de suscriptores pagados en un 5%</v>
      </c>
      <c r="I14" s="312">
        <v>2025</v>
      </c>
      <c r="J14" s="312">
        <v>2026</v>
      </c>
      <c r="K14" s="312">
        <v>2027</v>
      </c>
    </row>
    <row r="15" spans="1:15">
      <c r="C15" s="757"/>
      <c r="H15" s="31"/>
      <c r="I15" s="32">
        <f>'Escenario 3'!F16</f>
        <v>0</v>
      </c>
      <c r="J15" s="32">
        <f>'Escenario 3'!G16</f>
        <v>1885996.9333333333</v>
      </c>
      <c r="K15" s="32">
        <f>'Escenario 3'!H16</f>
        <v>1414497.7</v>
      </c>
    </row>
    <row r="16" spans="1:15" ht="16" thickBot="1">
      <c r="C16" s="758"/>
      <c r="H16" s="31"/>
      <c r="I16" s="34"/>
      <c r="J16" s="34"/>
      <c r="K16" s="34"/>
    </row>
    <row r="17" spans="3:14" ht="16" thickBot="1">
      <c r="C17" s="363" t="s">
        <v>178</v>
      </c>
      <c r="H17" s="326" t="s">
        <v>126</v>
      </c>
      <c r="I17" s="307"/>
      <c r="J17" s="307"/>
      <c r="K17" s="308"/>
    </row>
    <row r="18" spans="3:14" ht="15" customHeight="1">
      <c r="C18" s="784" t="s">
        <v>369</v>
      </c>
      <c r="H18" s="312" t="s">
        <v>127</v>
      </c>
      <c r="I18" s="312">
        <v>2025</v>
      </c>
      <c r="J18" s="312">
        <v>2026</v>
      </c>
      <c r="K18" s="312">
        <v>2027</v>
      </c>
    </row>
    <row r="19" spans="3:14" ht="30" customHeight="1">
      <c r="C19" s="785"/>
      <c r="H19" s="32">
        <f>'Escenario 3'!E20</f>
        <v>5200000</v>
      </c>
      <c r="I19" s="32">
        <f>'Escenario 3'!F20</f>
        <v>5862388</v>
      </c>
      <c r="J19" s="32">
        <f>'Escenario 3'!G20</f>
        <v>4396791</v>
      </c>
      <c r="K19" s="32">
        <f>'Escenario 3'!H20</f>
        <v>4396791</v>
      </c>
    </row>
    <row r="20" spans="3:14">
      <c r="C20" s="785"/>
    </row>
    <row r="21" spans="3:14">
      <c r="C21" s="785"/>
      <c r="H21" s="315" t="s">
        <v>151</v>
      </c>
      <c r="I21" s="315">
        <v>2025</v>
      </c>
      <c r="J21" s="315">
        <v>2026</v>
      </c>
      <c r="K21" s="315">
        <v>2027</v>
      </c>
      <c r="M21" s="495" t="s">
        <v>354</v>
      </c>
      <c r="N21" s="493"/>
    </row>
    <row r="22" spans="3:14">
      <c r="C22" s="785"/>
      <c r="F22" s="316" t="s">
        <v>37</v>
      </c>
      <c r="G22" s="317"/>
      <c r="H22" s="321" t="s">
        <v>138</v>
      </c>
      <c r="I22" s="500">
        <f>'Mod. ingresos'!C22</f>
        <v>177460000</v>
      </c>
      <c r="J22" s="501">
        <f>'Mod. ingresos'!D22*M23</f>
        <v>251788000</v>
      </c>
      <c r="K22" s="500">
        <f>'Mod. ingresos'!E22</f>
        <v>398490000</v>
      </c>
      <c r="M22" s="189">
        <v>2026</v>
      </c>
      <c r="N22" s="494"/>
    </row>
    <row r="23" spans="3:14">
      <c r="C23" s="785"/>
      <c r="F23" s="766" t="s">
        <v>139</v>
      </c>
      <c r="G23" s="318" t="s">
        <v>168</v>
      </c>
      <c r="H23" s="321" t="s">
        <v>138</v>
      </c>
      <c r="I23" s="322">
        <f t="shared" ref="I23:I24" si="0">I9</f>
        <v>40672572</v>
      </c>
      <c r="J23" s="337">
        <f>J9*0.99-N31</f>
        <v>39918021.839999996</v>
      </c>
      <c r="K23" s="490">
        <f>K9</f>
        <v>43846260</v>
      </c>
      <c r="M23" s="353" cm="1">
        <f t="array" ref="M23:N23">'Escenario 2'!C17:D17</f>
        <v>0.95</v>
      </c>
      <c r="N23" s="496">
        <v>0</v>
      </c>
    </row>
    <row r="24" spans="3:14">
      <c r="C24" s="785"/>
      <c r="F24" s="767"/>
      <c r="G24" s="318" t="s">
        <v>169</v>
      </c>
      <c r="H24" s="321" t="s">
        <v>138</v>
      </c>
      <c r="I24" s="322">
        <f t="shared" si="0"/>
        <v>4268280</v>
      </c>
      <c r="J24" s="337">
        <f>J10*M23</f>
        <v>5957184.0000000009</v>
      </c>
      <c r="K24" s="490">
        <f>K10</f>
        <v>9098820</v>
      </c>
    </row>
    <row r="25" spans="3:14">
      <c r="C25" s="785"/>
      <c r="F25" s="768"/>
      <c r="G25" s="318" t="s">
        <v>170</v>
      </c>
      <c r="H25" s="321" t="s">
        <v>138</v>
      </c>
      <c r="I25" s="322">
        <f>I11</f>
        <v>126808165.64</v>
      </c>
      <c r="J25" s="502">
        <f>J11-N30</f>
        <v>186620212.26333326</v>
      </c>
      <c r="K25" s="490">
        <f>K11</f>
        <v>295467714.09999996</v>
      </c>
    </row>
    <row r="26" spans="3:14">
      <c r="C26" s="785"/>
      <c r="F26" s="319" t="s">
        <v>140</v>
      </c>
      <c r="G26" s="320"/>
      <c r="H26" s="323" t="s">
        <v>138</v>
      </c>
      <c r="I26" s="324">
        <f>I22-I23-I24-I25</f>
        <v>5710982.3599999994</v>
      </c>
      <c r="J26" s="324">
        <f>J22-J23-J24-J25</f>
        <v>19292581.896666735</v>
      </c>
      <c r="K26" s="324">
        <f>K22-K23-K24-K25</f>
        <v>50077205.900000036</v>
      </c>
    </row>
    <row r="27" spans="3:14">
      <c r="C27" s="785"/>
      <c r="F27" s="319" t="s">
        <v>141</v>
      </c>
      <c r="G27" s="320"/>
      <c r="H27" s="134" t="s">
        <v>138</v>
      </c>
      <c r="I27" s="322">
        <f>I22*0.03</f>
        <v>5323800</v>
      </c>
      <c r="J27" s="322">
        <f>J22*0.03</f>
        <v>7553640</v>
      </c>
      <c r="K27" s="322">
        <f>K22*0.03</f>
        <v>11954700</v>
      </c>
    </row>
    <row r="28" spans="3:14">
      <c r="C28" s="785"/>
      <c r="F28" s="754" t="s">
        <v>142</v>
      </c>
      <c r="G28" s="755"/>
      <c r="H28" s="134"/>
      <c r="I28" s="322">
        <f>I26-I27</f>
        <v>387182.3599999994</v>
      </c>
      <c r="J28" s="322">
        <f>J26-J27-J15</f>
        <v>9852944.9633334018</v>
      </c>
      <c r="K28" s="322">
        <f>K26-K27-K15</f>
        <v>36708008.200000033</v>
      </c>
      <c r="M28" s="762" t="s">
        <v>180</v>
      </c>
      <c r="N28" s="763"/>
    </row>
    <row r="29" spans="3:14">
      <c r="C29" s="785"/>
      <c r="F29" s="319" t="s">
        <v>143</v>
      </c>
      <c r="G29" s="320"/>
      <c r="H29" s="134" t="s">
        <v>138</v>
      </c>
      <c r="I29" s="322">
        <v>0</v>
      </c>
      <c r="J29" s="322">
        <f>0.35*I28</f>
        <v>135513.8259999998</v>
      </c>
      <c r="K29" s="322">
        <f>0.35*J28</f>
        <v>3448530.7371666906</v>
      </c>
      <c r="M29" s="360" t="s">
        <v>366</v>
      </c>
      <c r="N29" s="364">
        <v>0</v>
      </c>
    </row>
    <row r="30" spans="3:14">
      <c r="C30" s="785"/>
      <c r="F30" s="319" t="s">
        <v>144</v>
      </c>
      <c r="G30" s="320"/>
      <c r="H30" s="323" t="s">
        <v>138</v>
      </c>
      <c r="I30" s="324">
        <f>I26-I27-I29</f>
        <v>387182.3599999994</v>
      </c>
      <c r="J30" s="324">
        <f>J26-J27-J29</f>
        <v>11603428.070666736</v>
      </c>
      <c r="K30" s="324">
        <f>K26-K27-K29</f>
        <v>34673975.162833348</v>
      </c>
      <c r="M30" s="361" t="s">
        <v>367</v>
      </c>
      <c r="N30" s="365">
        <v>6129431.9016666664</v>
      </c>
    </row>
    <row r="31" spans="3:14">
      <c r="C31" s="785"/>
      <c r="F31" s="319" t="s">
        <v>145</v>
      </c>
      <c r="G31" s="320"/>
      <c r="H31" s="322">
        <f>-H19</f>
        <v>-5200000</v>
      </c>
      <c r="I31" s="322">
        <f>-I19</f>
        <v>-5862388</v>
      </c>
      <c r="J31" s="502">
        <f>-J19+N29</f>
        <v>-4396791</v>
      </c>
      <c r="K31" s="502">
        <f>-K19-N29</f>
        <v>-4396791</v>
      </c>
      <c r="M31" s="361" t="s">
        <v>368</v>
      </c>
      <c r="N31" s="366">
        <f>3600000/2</f>
        <v>1800000</v>
      </c>
    </row>
    <row r="32" spans="3:14">
      <c r="C32" s="785"/>
      <c r="F32" s="319" t="s">
        <v>146</v>
      </c>
      <c r="G32" s="320"/>
      <c r="H32" s="324">
        <f>H31</f>
        <v>-5200000</v>
      </c>
      <c r="I32" s="324">
        <f>I30+I31</f>
        <v>-5475205.6400000006</v>
      </c>
      <c r="J32" s="324">
        <f>J30+J31</f>
        <v>7206637.070666736</v>
      </c>
      <c r="K32" s="324">
        <f>K30+K31</f>
        <v>30277184.162833348</v>
      </c>
    </row>
    <row r="33" spans="3:14" ht="16" thickBot="1">
      <c r="C33" s="785"/>
      <c r="N33" s="362"/>
    </row>
    <row r="34" spans="3:14" ht="16" thickBot="1">
      <c r="C34" s="785"/>
      <c r="G34" s="782" t="s">
        <v>159</v>
      </c>
      <c r="H34" s="783"/>
      <c r="J34" s="782" t="s">
        <v>179</v>
      </c>
      <c r="K34" s="783"/>
    </row>
    <row r="35" spans="3:14">
      <c r="C35" s="785"/>
      <c r="G35" s="354" t="s">
        <v>147</v>
      </c>
      <c r="H35" s="355">
        <v>0.7</v>
      </c>
      <c r="J35" s="354" t="s">
        <v>147</v>
      </c>
      <c r="K35" s="355">
        <v>0.7</v>
      </c>
    </row>
    <row r="36" spans="3:14">
      <c r="C36" s="785"/>
      <c r="G36" s="356" t="s">
        <v>148</v>
      </c>
      <c r="H36" s="357">
        <f>'Escenario 2'!H37</f>
        <v>-1143090.9811763761</v>
      </c>
      <c r="J36" s="356" t="s">
        <v>148</v>
      </c>
      <c r="K36" s="340">
        <f>NPV(K35,H32:K32)</f>
        <v>138590.63988299877</v>
      </c>
    </row>
    <row r="37" spans="3:14" ht="16" thickBot="1">
      <c r="C37" s="785"/>
      <c r="G37" s="358" t="s">
        <v>149</v>
      </c>
      <c r="H37" s="359">
        <f>'Escenario 2'!H38</f>
        <v>0.53931475383956862</v>
      </c>
      <c r="J37" s="358" t="s">
        <v>149</v>
      </c>
      <c r="K37" s="359">
        <f>IRR(H32:K32,K35)</f>
        <v>0.72025649120267587</v>
      </c>
    </row>
    <row r="38" spans="3:14">
      <c r="C38" s="785"/>
    </row>
    <row r="39" spans="3:14" ht="16" thickBot="1">
      <c r="C39" s="786"/>
    </row>
    <row r="40" spans="3:14" ht="15" customHeight="1">
      <c r="G40" s="787" t="s">
        <v>86</v>
      </c>
      <c r="H40" s="788"/>
      <c r="I40" s="788"/>
      <c r="J40" s="788"/>
      <c r="K40" s="789"/>
    </row>
    <row r="41" spans="3:14" ht="3" customHeight="1" thickBot="1">
      <c r="G41" s="790"/>
      <c r="H41" s="791"/>
      <c r="I41" s="791"/>
      <c r="J41" s="791"/>
      <c r="K41" s="792"/>
    </row>
    <row r="42" spans="3:14" ht="69.75" customHeight="1" thickBot="1">
      <c r="G42" s="776" t="s">
        <v>356</v>
      </c>
      <c r="H42" s="777"/>
      <c r="I42" s="777"/>
      <c r="J42" s="777"/>
      <c r="K42" s="778"/>
    </row>
  </sheetData>
  <mergeCells count="13">
    <mergeCell ref="G42:K42"/>
    <mergeCell ref="C3:N3"/>
    <mergeCell ref="G34:H34"/>
    <mergeCell ref="J34:K34"/>
    <mergeCell ref="M28:N28"/>
    <mergeCell ref="C18:C39"/>
    <mergeCell ref="G40:K41"/>
    <mergeCell ref="C6:C8"/>
    <mergeCell ref="C10:C12"/>
    <mergeCell ref="I5:K5"/>
    <mergeCell ref="F23:F25"/>
    <mergeCell ref="F28:G28"/>
    <mergeCell ref="C14:C16"/>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workbookViewId="0">
      <selection activeCell="D6" sqref="D6"/>
    </sheetView>
  </sheetViews>
  <sheetFormatPr baseColWidth="10" defaultRowHeight="15"/>
  <cols>
    <col min="1" max="1" width="22" bestFit="1" customWidth="1"/>
    <col min="2" max="2" width="49.33203125" customWidth="1"/>
    <col min="3" max="3" width="23" bestFit="1" customWidth="1"/>
    <col min="4" max="4" width="29.5" customWidth="1"/>
    <col min="5" max="5" width="15.5" bestFit="1" customWidth="1"/>
  </cols>
  <sheetData>
    <row r="1" spans="1:10" ht="33.75" customHeight="1">
      <c r="C1" s="17" t="s">
        <v>17</v>
      </c>
      <c r="D1" s="9"/>
      <c r="E1" s="6"/>
    </row>
    <row r="2" spans="1:10">
      <c r="B2" s="15" t="s">
        <v>16</v>
      </c>
      <c r="C2" s="21">
        <v>3072029</v>
      </c>
      <c r="D2" s="8"/>
      <c r="E2" s="7"/>
      <c r="H2" s="10">
        <v>2019</v>
      </c>
      <c r="I2" s="11">
        <v>3072029</v>
      </c>
      <c r="J2" s="12"/>
    </row>
    <row r="3" spans="1:10">
      <c r="B3" s="20" t="s">
        <v>18</v>
      </c>
      <c r="C3" s="16">
        <v>44938712</v>
      </c>
      <c r="D3" s="8"/>
      <c r="E3" s="7"/>
      <c r="H3" s="13">
        <v>2019</v>
      </c>
      <c r="I3" s="14">
        <v>17370144</v>
      </c>
      <c r="J3" s="12"/>
    </row>
    <row r="4" spans="1:10">
      <c r="B4" s="15" t="s">
        <v>24</v>
      </c>
      <c r="C4" s="16">
        <f>C3*32/100</f>
        <v>14380387.84</v>
      </c>
      <c r="E4" s="7"/>
      <c r="H4" s="10">
        <v>2019</v>
      </c>
      <c r="I4" s="11">
        <v>44938712</v>
      </c>
      <c r="J4" s="12">
        <f>I4*32/100</f>
        <v>14380387.84</v>
      </c>
    </row>
    <row r="5" spans="1:10">
      <c r="B5" s="18" t="s">
        <v>19</v>
      </c>
      <c r="C5" s="19">
        <f>C4+C2</f>
        <v>17452416.84</v>
      </c>
    </row>
    <row r="6" spans="1:10">
      <c r="B6" s="6"/>
    </row>
    <row r="7" spans="1:10">
      <c r="A7" t="s">
        <v>21</v>
      </c>
      <c r="B7" s="6" t="s">
        <v>20</v>
      </c>
    </row>
    <row r="8" spans="1:10">
      <c r="A8" t="s">
        <v>23</v>
      </c>
      <c r="B8" s="6" t="s">
        <v>22</v>
      </c>
    </row>
    <row r="11" spans="1:10" ht="16" thickBot="1">
      <c r="B11" s="1"/>
      <c r="C11" s="1"/>
      <c r="D11" s="1"/>
      <c r="E11" s="1"/>
      <c r="F11" s="1"/>
      <c r="G11" s="1"/>
      <c r="H11" s="1"/>
      <c r="I11" s="1"/>
      <c r="J11" s="1"/>
    </row>
    <row r="12" spans="1:10" ht="27" thickBot="1">
      <c r="B12" s="505" t="s">
        <v>15</v>
      </c>
      <c r="C12" s="506"/>
      <c r="D12" s="506"/>
      <c r="E12" s="506"/>
      <c r="F12" s="506"/>
      <c r="G12" s="506"/>
      <c r="H12" s="506"/>
      <c r="I12" s="506"/>
      <c r="J12" s="507"/>
    </row>
    <row r="13" spans="1:10" ht="19">
      <c r="B13" s="793" t="s">
        <v>31</v>
      </c>
      <c r="C13" s="794"/>
      <c r="D13" s="794"/>
      <c r="E13" s="794"/>
      <c r="F13" s="794"/>
      <c r="G13" s="794"/>
      <c r="H13" s="794"/>
      <c r="I13" s="794"/>
      <c r="J13" s="795"/>
    </row>
    <row r="14" spans="1:10">
      <c r="B14" s="1"/>
      <c r="C14" s="1"/>
      <c r="D14" s="1"/>
      <c r="E14" s="1"/>
      <c r="F14" s="1"/>
      <c r="G14" s="1"/>
      <c r="H14" s="1"/>
      <c r="I14" s="1"/>
      <c r="J14" s="1"/>
    </row>
    <row r="15" spans="1:10">
      <c r="C15" s="23" t="s">
        <v>26</v>
      </c>
      <c r="D15" s="1"/>
      <c r="E15" s="1"/>
      <c r="F15" s="1"/>
      <c r="G15" s="1"/>
      <c r="H15" s="1"/>
      <c r="I15" s="1"/>
      <c r="J15" s="1"/>
    </row>
    <row r="16" spans="1:10" ht="16">
      <c r="B16" s="35" t="s">
        <v>16</v>
      </c>
      <c r="C16" s="24">
        <v>3072029</v>
      </c>
      <c r="D16" s="1"/>
      <c r="E16" s="1"/>
      <c r="F16" s="1"/>
      <c r="G16" s="1"/>
      <c r="H16" s="1"/>
      <c r="I16" s="1"/>
      <c r="J16" s="1"/>
    </row>
    <row r="17" spans="2:10" ht="16">
      <c r="B17" s="36" t="s">
        <v>18</v>
      </c>
      <c r="C17" s="25">
        <v>44938712</v>
      </c>
      <c r="D17" s="1"/>
      <c r="E17" s="1"/>
      <c r="F17" s="1"/>
      <c r="G17" s="1"/>
      <c r="H17" s="1"/>
      <c r="I17" s="1"/>
      <c r="J17" s="1"/>
    </row>
    <row r="18" spans="2:10" ht="16">
      <c r="B18" s="35" t="s">
        <v>24</v>
      </c>
      <c r="C18" s="25">
        <f>ROUND(C17*32/100,0)</f>
        <v>14380388</v>
      </c>
      <c r="D18" s="1"/>
      <c r="E18" s="1"/>
      <c r="F18" s="1"/>
      <c r="G18" s="1"/>
      <c r="H18" s="1"/>
      <c r="I18" s="1"/>
      <c r="J18" s="1"/>
    </row>
    <row r="19" spans="2:10" ht="16">
      <c r="B19" s="37" t="s">
        <v>27</v>
      </c>
      <c r="C19" s="26">
        <f>C18+C16</f>
        <v>17452417</v>
      </c>
      <c r="D19" s="1" t="s">
        <v>25</v>
      </c>
      <c r="E19" s="1"/>
      <c r="F19" s="1"/>
      <c r="G19" s="1"/>
      <c r="H19" s="1"/>
      <c r="I19" s="1"/>
      <c r="J19" s="1"/>
    </row>
  </sheetData>
  <mergeCells count="2">
    <mergeCell ref="B12:J12"/>
    <mergeCell ref="B13:J13"/>
  </mergeCells>
  <hyperlinks>
    <hyperlink ref="B7" r:id="rId1" xr:uid="{00000000-0004-0000-1200-000000000000}"/>
    <hyperlink ref="B8" r:id="rId2" xr:uid="{00000000-0004-0000-1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Portada</vt:lpstr>
      <vt:lpstr>Indice</vt:lpstr>
      <vt:lpstr>Hipótesis</vt:lpstr>
      <vt:lpstr>Proy. ventas</vt:lpstr>
      <vt:lpstr>Anexo capacidad operativa</vt:lpstr>
      <vt:lpstr>Mod. ingresos</vt:lpstr>
      <vt:lpstr>Costos fijos</vt:lpstr>
      <vt:lpstr>Costos variables</vt:lpstr>
      <vt:lpstr>Costos RRHH</vt:lpstr>
      <vt:lpstr>Mod. egresos</vt:lpstr>
      <vt:lpstr>Mod. inversión</vt:lpstr>
      <vt:lpstr>Amortizaciones</vt:lpstr>
      <vt:lpstr>Presupuesto financiero</vt:lpstr>
      <vt:lpstr>Matriz riesgo</vt:lpstr>
      <vt:lpstr>Escenario 1</vt:lpstr>
      <vt:lpstr>Escenario 2</vt:lpstr>
      <vt:lpstr>Escenario 3</vt:lpstr>
      <vt:lpstr>Plan de contingencia</vt:lpstr>
      <vt:lpstr>Hoja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Damian Rodriguez Arata</cp:lastModifiedBy>
  <dcterms:created xsi:type="dcterms:W3CDTF">2019-08-27T12:23:32Z</dcterms:created>
  <dcterms:modified xsi:type="dcterms:W3CDTF">2024-11-13T23:47:04Z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