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_rels/drawing7.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media/image1.png" ContentType="image/png"/>
  <Override PartName="/xl/media/image2.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umen general" sheetId="1" state="visible" r:id="rId2"/>
    <sheet name="Hoja2" sheetId="2" state="hidden" r:id="rId3"/>
    <sheet name="Requisitos" sheetId="3" state="visible" r:id="rId4"/>
    <sheet name="Madurez" sheetId="4" state="visible" r:id="rId5"/>
    <sheet name="Respuestas Unificadas" sheetId="5" state="visible" r:id="rId6"/>
    <sheet name="Corrección" sheetId="6" state="hidden" r:id="rId7"/>
    <sheet name="Estado deseado" sheetId="7" state="hidden" r:id="rId8"/>
    <sheet name="Evaluación deseada" sheetId="8" state="hidden" r:id="rId9"/>
    <sheet name="Ordenación" sheetId="9" state="hidden" r:id="rId10"/>
    <sheet name="Hoja3" sheetId="10" state="hidden" r:id="rId11"/>
  </sheets>
  <definedNames>
    <definedName function="false" hidden="true" localSheetId="6" name="_xlnm._FilterDatabase" vbProcedure="false">'Estado deseado'!$A$3:$C$166</definedName>
    <definedName function="false" hidden="true" localSheetId="3" name="_xlnm._FilterDatabase" vbProcedure="false">Madurez!$A$2:$E$116</definedName>
    <definedName function="false" hidden="true" localSheetId="2" name="_xlnm._FilterDatabase" vbProcedure="false">Requisitos!$A$4:$E$72</definedName>
    <definedName function="false" hidden="true" localSheetId="4" name="_xlnm._FilterDatabase" vbProcedure="false">'Respuestas Unificadas'!$A$2:$D$183</definedName>
    <definedName function="false" hidden="false" name="AD.1" vbProcedure="false">Requisitos!$C$54</definedName>
    <definedName function="false" hidden="false" name="AD_1" vbProcedure="false">#REF!</definedName>
    <definedName function="false" hidden="false" name="AD_1_VAL" vbProcedure="false">#REF!</definedName>
    <definedName function="false" hidden="false" name="CA.1" vbProcedure="false">Requisitos!$C$24</definedName>
    <definedName function="false" hidden="false" name="CA.2" vbProcedure="false">Requisitos!$C$25</definedName>
    <definedName function="false" hidden="false" name="CA.3" vbProcedure="false">Requisitos!$C$26</definedName>
    <definedName function="false" hidden="false" name="CA.4" vbProcedure="false">Requisitos!$C$27</definedName>
    <definedName function="false" hidden="false" name="CA_1" vbProcedure="false">#REF!</definedName>
    <definedName function="false" hidden="false" name="CA_1_VAL" vbProcedure="false">#REF!</definedName>
    <definedName function="false" hidden="false" name="CA_2" vbProcedure="false">#REF!</definedName>
    <definedName function="false" hidden="false" name="CA_2_VAL" vbProcedure="false">#REF!</definedName>
    <definedName function="false" hidden="false" name="CA_3" vbProcedure="false">#REF!</definedName>
    <definedName function="false" hidden="false" name="CA_3_VAL" vbProcedure="false">#REF!</definedName>
    <definedName function="false" hidden="false" name="CA_4" vbProcedure="false">#REF!</definedName>
    <definedName function="false" hidden="false" name="CA_4_VAL" vbProcedure="false">#REF!</definedName>
    <definedName function="false" hidden="false" name="CN.1" vbProcedure="false">Requisitos!$C$69</definedName>
    <definedName function="false" hidden="false" name="CN.2" vbProcedure="false">Requisitos!$C$70</definedName>
    <definedName function="false" hidden="false" name="CN.3" vbProcedure="false">Requisitos!$C$71</definedName>
    <definedName function="false" hidden="false" name="CN.4" vbProcedure="false">Requisitos!$C$72</definedName>
    <definedName function="false" hidden="false" name="CN_1" vbProcedure="false">#REF!</definedName>
    <definedName function="false" hidden="false" name="CN_1_VAL" vbProcedure="false">#REF!</definedName>
    <definedName function="false" hidden="false" name="CN_2" vbProcedure="false">#REF!</definedName>
    <definedName function="false" hidden="false" name="CN_2_VAL" vbProcedure="false">#REF!</definedName>
    <definedName function="false" hidden="false" name="CN_3" vbProcedure="false">#REF!</definedName>
    <definedName function="false" hidden="false" name="CN_3_VAL" vbProcedure="false">#REF!</definedName>
    <definedName function="false" hidden="false" name="CN_4" vbProcedure="false">#REF!</definedName>
    <definedName function="false" hidden="false" name="CN_4_VAL" vbProcedure="false">#REF!</definedName>
    <definedName function="false" hidden="false" name="CO.1" vbProcedure="false">Requisitos!$C$63</definedName>
    <definedName function="false" hidden="false" name="CO.2" vbProcedure="false">Requisitos!$C$64</definedName>
    <definedName function="false" hidden="false" name="CO.3" vbProcedure="false">Requisitos!$C$65</definedName>
    <definedName function="false" hidden="false" name="CO.4" vbProcedure="false">Requisitos!$C$66</definedName>
    <definedName function="false" hidden="false" name="CO.5" vbProcedure="false">Requisitos!$C$67</definedName>
    <definedName function="false" hidden="false" name="CO.6" vbProcedure="false">Requisitos!$C$68</definedName>
    <definedName function="false" hidden="false" name="COM_AD_1" vbProcedure="false">#REF!</definedName>
    <definedName function="false" hidden="false" name="COM_CA_1" vbProcedure="false">#REF!</definedName>
    <definedName function="false" hidden="false" name="COM_CA_2" vbProcedure="false">#REF!</definedName>
    <definedName function="false" hidden="false" name="COM_CA_3" vbProcedure="false">#REF!</definedName>
    <definedName function="false" hidden="false" name="COM_CA_4" vbProcedure="false">#REF!</definedName>
    <definedName function="false" hidden="false" name="COM_CN_1" vbProcedure="false">#REF!</definedName>
    <definedName function="false" hidden="false" name="COM_CN_2" vbProcedure="false">#REF!</definedName>
    <definedName function="false" hidden="false" name="COM_CN_3" vbProcedure="false">#REF!</definedName>
    <definedName function="false" hidden="false" name="COM_CN_4" vbProcedure="false">#REF!</definedName>
    <definedName function="false" hidden="false" name="COM_CO_1" vbProcedure="false">#REF!</definedName>
    <definedName function="false" hidden="false" name="COM_CO_2" vbProcedure="false">#REF!</definedName>
    <definedName function="false" hidden="false" name="COM_CO_3" vbProcedure="false">#REF!</definedName>
    <definedName function="false" hidden="false" name="COM_CO_4" vbProcedure="false">#REF!</definedName>
    <definedName function="false" hidden="false" name="COM_CO_5" vbProcedure="false">#REF!</definedName>
    <definedName function="false" hidden="false" name="COM_CO_6" vbProcedure="false">#REF!</definedName>
    <definedName function="false" hidden="false" name="COM_GA_1" vbProcedure="false">#REF!</definedName>
    <definedName function="false" hidden="false" name="COM_GA_2" vbProcedure="false">#REF!</definedName>
    <definedName function="false" hidden="false" name="COM_GA_3" vbProcedure="false">#REF!</definedName>
    <definedName function="false" hidden="false" name="COM_GA_4" vbProcedure="false">#REF!</definedName>
    <definedName function="false" hidden="false" name="COM_GA_5" vbProcedure="false">#REF!</definedName>
    <definedName function="false" hidden="false" name="COM_GH_1" vbProcedure="false">#REF!</definedName>
    <definedName function="false" hidden="false" name="COM_GH_2" vbProcedure="false">#REF!</definedName>
    <definedName function="false" hidden="false" name="COM_GI_1" vbProcedure="false">#REF!</definedName>
    <definedName function="false" hidden="false" name="COM_GI_2" vbProcedure="false">#REF!</definedName>
    <definedName function="false" hidden="false" name="COM_GI_3" vbProcedure="false">#REF!</definedName>
    <definedName function="false" hidden="false" name="COM_GI_4" vbProcedure="false">#REF!</definedName>
    <definedName function="false" hidden="false" name="COM_GI_5" vbProcedure="false">#REF!</definedName>
    <definedName function="false" hidden="false" name="COM_GI_6" vbProcedure="false">#REF!</definedName>
    <definedName function="false" hidden="false" name="COM_GR_1" vbProcedure="false">#REF!</definedName>
    <definedName function="false" hidden="false" name="COM_GR_2" vbProcedure="false">#REF!</definedName>
    <definedName function="false" hidden="false" name="COM_GR_3" vbProcedure="false">#REF!</definedName>
    <definedName function="false" hidden="false" name="COM_OR_1" vbProcedure="false">#REF!</definedName>
    <definedName function="false" hidden="false" name="COM_OR_2" vbProcedure="false">#REF!</definedName>
    <definedName function="false" hidden="false" name="COM_OR_3" vbProcedure="false">#REF!</definedName>
    <definedName function="false" hidden="false" name="COM_OR_4" vbProcedure="false">#REF!</definedName>
    <definedName function="false" hidden="false" name="COM_OR_5" vbProcedure="false">#REF!</definedName>
    <definedName function="false" hidden="false" name="COM_OR_6" vbProcedure="false">#REF!</definedName>
    <definedName function="false" hidden="false" name="COM_PL_1" vbProcedure="false">#REF!</definedName>
    <definedName function="false" hidden="false" name="COM_PL_2" vbProcedure="false">#REF!</definedName>
    <definedName function="false" hidden="false" name="COM_PS_1" vbProcedure="false">#REF!</definedName>
    <definedName function="false" hidden="false" name="COM_RP_1" vbProcedure="false">#REF!</definedName>
    <definedName function="false" hidden="false" name="COM_RP_2" vbProcedure="false">#REF!</definedName>
    <definedName function="false" hidden="false" name="COM_SC_1" vbProcedure="false">#REF!</definedName>
    <definedName function="false" hidden="false" name="COM_SC_10" vbProcedure="false">#REF!</definedName>
    <definedName function="false" hidden="false" name="COM_SC_11" vbProcedure="false">#REF!</definedName>
    <definedName function="false" hidden="false" name="COM_SC_12" vbProcedure="false">#REF!</definedName>
    <definedName function="false" hidden="false" name="COM_SC_13" vbProcedure="false">#REF!</definedName>
    <definedName function="false" hidden="false" name="COM_SC_14" vbProcedure="false">#REF!</definedName>
    <definedName function="false" hidden="false" name="COM_SC_15" vbProcedure="false">#REF!</definedName>
    <definedName function="false" hidden="false" name="COM_SC_2" vbProcedure="false">#REF!</definedName>
    <definedName function="false" hidden="false" name="COM_SC_3" vbProcedure="false">#REF!</definedName>
    <definedName function="false" hidden="false" name="COM_SC_4" vbProcedure="false">#REF!</definedName>
    <definedName function="false" hidden="false" name="COM_SC_5" vbProcedure="false">#REF!</definedName>
    <definedName function="false" hidden="false" name="COM_SC_6" vbProcedure="false">#REF!</definedName>
    <definedName function="false" hidden="false" name="COM_SC_7" vbProcedure="false">#REF!</definedName>
    <definedName function="false" hidden="false" name="COM_SC_8" vbProcedure="false">#REF!</definedName>
    <definedName function="false" hidden="false" name="COM_SC_9" vbProcedure="false">#REF!</definedName>
    <definedName function="false" hidden="false" name="COM_SF_1" vbProcedure="false">#REF!</definedName>
    <definedName function="false" hidden="false" name="COM_SF_2" vbProcedure="false">#REF!</definedName>
    <definedName function="false" hidden="false" name="COM_SF_3" vbProcedure="false">#REF!</definedName>
    <definedName function="false" hidden="false" name="COM_SO_1" vbProcedure="false">#REF!</definedName>
    <definedName function="false" hidden="false" name="COM_SO_2" vbProcedure="false">#REF!</definedName>
    <definedName function="false" hidden="false" name="COM_SO_3" vbProcedure="false">#REF!</definedName>
    <definedName function="false" hidden="false" name="COM_SO_4" vbProcedure="false">#REF!</definedName>
    <definedName function="false" hidden="false" name="COM_SO_5" vbProcedure="false">#REF!</definedName>
    <definedName function="false" hidden="false" name="COM_SO_6" vbProcedure="false">#REF!</definedName>
    <definedName function="false" hidden="false" name="COM_SO_7" vbProcedure="false">#REF!</definedName>
    <definedName function="false" hidden="false" name="COM_SO_8" vbProcedure="false">#REF!</definedName>
    <definedName function="false" hidden="false" name="CO_1" vbProcedure="false">#REF!</definedName>
    <definedName function="false" hidden="false" name="CO_1_VAL" vbProcedure="false">#REF!</definedName>
    <definedName function="false" hidden="false" name="CO_2" vbProcedure="false">#REF!</definedName>
    <definedName function="false" hidden="false" name="CO_2_VAL" vbProcedure="false">#REF!</definedName>
    <definedName function="false" hidden="false" name="CO_3" vbProcedure="false">#REF!</definedName>
    <definedName function="false" hidden="false" name="CO_3_VAL" vbProcedure="false">#REF!</definedName>
    <definedName function="false" hidden="false" name="CO_4" vbProcedure="false">#REF!</definedName>
    <definedName function="false" hidden="false" name="CO_4_VAL" vbProcedure="false">#REF!</definedName>
    <definedName function="false" hidden="false" name="CO_5" vbProcedure="false">#REF!</definedName>
    <definedName function="false" hidden="false" name="CO_5_VAL" vbProcedure="false">#REF!</definedName>
    <definedName function="false" hidden="false" name="CO_6" vbProcedure="false">#REF!</definedName>
    <definedName function="false" hidden="false" name="CO_6_VAL" vbProcedure="false">#REF!</definedName>
    <definedName function="false" hidden="false" name="CRITERIO" vbProcedure="false">'Resumen general'!$L$17</definedName>
    <definedName function="false" hidden="false" name="Cumplimiento" vbProcedure="false">madurez!#ref!</definedName>
    <definedName function="false" hidden="false" name="CUMP_DE" vbProcedure="false">madurez!#ref!</definedName>
    <definedName function="false" hidden="false" name="CUMP_DE_AE" vbProcedure="false">Madurez!$E$75</definedName>
    <definedName function="false" hidden="false" name="CUMP_DE_MC" vbProcedure="false">Madurez!$E$80</definedName>
    <definedName function="false" hidden="false" name="CUMP_DE_PD" vbProcedure="false">Madurez!$E$88</definedName>
    <definedName function="false" hidden="false" name="CUMP_ID" vbProcedure="false">madurez!#ref!</definedName>
    <definedName function="false" hidden="false" name="CUMP_ID_AN" vbProcedure="false">Madurez!$E$11</definedName>
    <definedName function="false" hidden="false" name="CUMP_ID_CS" vbProcedure="false">Madurez!$E$29</definedName>
    <definedName function="false" hidden="false" name="CUMP_ID_ER" vbProcedure="false">Madurez!$E$20</definedName>
    <definedName function="false" hidden="false" name="CUMP_ID_GA" vbProcedure="false">Madurez!$E$5</definedName>
    <definedName function="false" hidden="false" name="CUMP_ID_GO" vbProcedure="false">Madurez!$E$16</definedName>
    <definedName function="false" hidden="false" name="CUMP_ID_GR" vbProcedure="false">Madurez!$E$26</definedName>
    <definedName function="false" hidden="false" name="CUMP_PR" vbProcedure="false">madurez!#ref!</definedName>
    <definedName function="false" hidden="false" name="CUMP_PR_CA" vbProcedure="false">Madurez!$E$35</definedName>
    <definedName function="false" hidden="false" name="CUMP_PR_CF" vbProcedure="false">Madurez!$E$42</definedName>
    <definedName function="false" hidden="false" name="CUMP_PR_MA" vbProcedure="false">Madurez!$E$67</definedName>
    <definedName function="false" hidden="false" name="CUMP_PR_PI" vbProcedure="false">Madurez!$E$55</definedName>
    <definedName function="false" hidden="false" name="CUMP_PR_SD" vbProcedure="false">Madurez!$E$47</definedName>
    <definedName function="false" hidden="false" name="CUMP_PR_TP" vbProcedure="false">Madurez!$E$69</definedName>
    <definedName function="false" hidden="false" name="CUMP_RC" vbProcedure="false">madurez!#ref!</definedName>
    <definedName function="false" hidden="false" name="CUMP_RC_CO" vbProcedure="false">Madurez!$E$114</definedName>
    <definedName function="false" hidden="false" name="CUMP_RC_ME" vbProcedure="false">Madurez!$E$112</definedName>
    <definedName function="false" hidden="false" name="CUMP_RC_PR" vbProcedure="false">Madurez!$E$111</definedName>
    <definedName function="false" hidden="false" name="CUMP_RE" vbProcedure="false">madurez!#ref!</definedName>
    <definedName function="false" hidden="false" name="CUMP_RE_AN" vbProcedure="false">Madurez!$E$100</definedName>
    <definedName function="false" hidden="false" name="CUMP_RE_CO" vbProcedure="false">Madurez!$E$95</definedName>
    <definedName function="false" hidden="false" name="CUMP_RE_ME" vbProcedure="false">Madurez!$E$108</definedName>
    <definedName function="false" hidden="false" name="CUMP_RE_MI" vbProcedure="false">Madurez!$E$105</definedName>
    <definedName function="false" hidden="false" name="CUMP_RE_PR" vbProcedure="false">Madurez!$E$94</definedName>
    <definedName function="false" hidden="false" name="CUMP_TOTAL" vbProcedure="false">madurez!#ref!</definedName>
    <definedName function="false" hidden="false" name="DE_AE_1" vbProcedure="false">'Respuestas Unificadas'!$G$120</definedName>
    <definedName function="false" hidden="false" name="DE_AE_2" vbProcedure="false">'Respuestas Unificadas'!$G$121</definedName>
    <definedName function="false" hidden="false" name="DE_AE_3" vbProcedure="false">'Respuestas Unificadas'!$G$124</definedName>
    <definedName function="false" hidden="false" name="DE_AE_4" vbProcedure="false">'Respuestas Unificadas'!$G$125</definedName>
    <definedName function="false" hidden="false" name="DE_AE_5" vbProcedure="false">'Respuestas Unificadas'!$G$128</definedName>
    <definedName function="false" hidden="false" name="DE_MC_1" vbProcedure="false">'Respuestas Unificadas'!$G$131</definedName>
    <definedName function="false" hidden="false" name="DE_MC_2" vbProcedure="false">'Respuestas Unificadas'!$G$132</definedName>
    <definedName function="false" hidden="false" name="DE_MC_3" vbProcedure="false">'Respuestas Unificadas'!$G$134</definedName>
    <definedName function="false" hidden="false" name="DE_MC_4" vbProcedure="false">'Respuestas Unificadas'!$G$135</definedName>
    <definedName function="false" hidden="false" name="DE_MC_5" vbProcedure="false">'Respuestas Unificadas'!$G$136</definedName>
    <definedName function="false" hidden="false" name="DE_MC_6" vbProcedure="false">'Respuestas Unificadas'!$G$137</definedName>
    <definedName function="false" hidden="false" name="DE_MC_7" vbProcedure="false">'Respuestas Unificadas'!$G$139</definedName>
    <definedName function="false" hidden="false" name="DE_MC_8" vbProcedure="false">'Respuestas Unificadas'!$G$140</definedName>
    <definedName function="false" hidden="false" name="DE_PD_1" vbProcedure="false">'Respuestas Unificadas'!$G$141</definedName>
    <definedName function="false" hidden="false" name="DE_PD_2" vbProcedure="false">'Respuestas Unificadas'!$G$142</definedName>
    <definedName function="false" hidden="false" name="DE_PD_3" vbProcedure="false">'Respuestas Unificadas'!$G$143</definedName>
    <definedName function="false" hidden="false" name="DE_PD_4" vbProcedure="false">'Respuestas Unificadas'!$G$144</definedName>
    <definedName function="false" hidden="false" name="DE_PD_5" vbProcedure="false">'Respuestas Unificadas'!$G$149</definedName>
    <definedName function="false" hidden="false" name="EVIDENCIAS" vbProcedure="false">#REF!</definedName>
    <definedName function="false" hidden="false" name="FACTOR_AUDITOR" vbProcedure="false">#REF!</definedName>
    <definedName function="false" hidden="false" name="GA.1" vbProcedure="false">Requisitos!$C$19</definedName>
    <definedName function="false" hidden="false" name="GA.2" vbProcedure="false">Requisitos!$C$20</definedName>
    <definedName function="false" hidden="false" name="GA.3" vbProcedure="false">Requisitos!$C$21</definedName>
    <definedName function="false" hidden="false" name="GA.4" vbProcedure="false">Requisitos!$C$22</definedName>
    <definedName function="false" hidden="false" name="GA.5" vbProcedure="false">Requisitos!$C$23</definedName>
    <definedName function="false" hidden="false" name="GA_1" vbProcedure="false">#REF!</definedName>
    <definedName function="false" hidden="false" name="GA_1_VAL" vbProcedure="false">#REF!</definedName>
    <definedName function="false" hidden="false" name="GA_2" vbProcedure="false">#REF!</definedName>
    <definedName function="false" hidden="false" name="GA_2_VAL" vbProcedure="false">#REF!</definedName>
    <definedName function="false" hidden="false" name="GA_3" vbProcedure="false">#REF!</definedName>
    <definedName function="false" hidden="false" name="GA_3_VAL" vbProcedure="false">#REF!</definedName>
    <definedName function="false" hidden="false" name="GA_4" vbProcedure="false">#REF!</definedName>
    <definedName function="false" hidden="false" name="GA_4_VAL" vbProcedure="false">#REF!</definedName>
    <definedName function="false" hidden="false" name="GA_5" vbProcedure="false">#REF!</definedName>
    <definedName function="false" hidden="false" name="GA_5_VAL" vbProcedure="false">#REF!</definedName>
    <definedName function="false" hidden="false" name="GH.1" vbProcedure="false">Requisitos!$C$17</definedName>
    <definedName function="false" hidden="false" name="GH.2" vbProcedure="false">Requisitos!$C$18</definedName>
    <definedName function="false" hidden="false" name="GH_1" vbProcedure="false">#REF!</definedName>
    <definedName function="false" hidden="false" name="GH_1_VAL" vbProcedure="false">#REF!</definedName>
    <definedName function="false" hidden="false" name="GH_2" vbProcedure="false">#REF!</definedName>
    <definedName function="false" hidden="false" name="GH_2_VAL" vbProcedure="false">#REF!</definedName>
    <definedName function="false" hidden="false" name="GI.1" vbProcedure="false">Requisitos!$C$57</definedName>
    <definedName function="false" hidden="false" name="GI.2" vbProcedure="false">Requisitos!$C$58</definedName>
    <definedName function="false" hidden="false" name="GI.3" vbProcedure="false">Requisitos!$C$59</definedName>
    <definedName function="false" hidden="false" name="GI.4" vbProcedure="false">Requisitos!$C$60</definedName>
    <definedName function="false" hidden="false" name="GI.5" vbProcedure="false">Requisitos!$C$61</definedName>
    <definedName function="false" hidden="false" name="GI.6" vbProcedure="false">Requisitos!$C$62</definedName>
    <definedName function="false" hidden="false" name="GI_1" vbProcedure="false">#REF!</definedName>
    <definedName function="false" hidden="false" name="GI_1_VAL" vbProcedure="false">#REF!</definedName>
    <definedName function="false" hidden="false" name="GI_2" vbProcedure="false">#REF!</definedName>
    <definedName function="false" hidden="false" name="GI_2_VAL" vbProcedure="false">#REF!</definedName>
    <definedName function="false" hidden="false" name="GI_3" vbProcedure="false">#REF!</definedName>
    <definedName function="false" hidden="false" name="GI_3_VAL" vbProcedure="false">#REF!</definedName>
    <definedName function="false" hidden="false" name="GI_4" vbProcedure="false">#REF!</definedName>
    <definedName function="false" hidden="false" name="GI_4_VAL" vbProcedure="false">#REF!</definedName>
    <definedName function="false" hidden="false" name="GI_5" vbProcedure="false">#REF!</definedName>
    <definedName function="false" hidden="false" name="GI_5_VAL" vbProcedure="false">#REF!</definedName>
    <definedName function="false" hidden="false" name="GI_6" vbProcedure="false">#REF!</definedName>
    <definedName function="false" hidden="false" name="GI_6_VAL" vbProcedure="false">#REF!</definedName>
    <definedName function="false" hidden="false" name="GR.1" vbProcedure="false">Requisitos!$C$5</definedName>
    <definedName function="false" hidden="false" name="GR.2" vbProcedure="false">Requisitos!$C$6</definedName>
    <definedName function="false" hidden="false" name="GR.3" vbProcedure="false">Requisitos!$C$7</definedName>
    <definedName function="false" hidden="false" name="GR_1" vbProcedure="false">#REF!</definedName>
    <definedName function="false" hidden="false" name="GR_1_VAL" vbProcedure="false">#REF!</definedName>
    <definedName function="false" hidden="false" name="GR_2" vbProcedure="false">#REF!</definedName>
    <definedName function="false" hidden="false" name="GR_2_VAL" vbProcedure="false">#REF!</definedName>
    <definedName function="false" hidden="false" name="GR_3" vbProcedure="false">#REF!</definedName>
    <definedName function="false" hidden="false" name="GR_3_VAL" vbProcedure="false">#REF!</definedName>
    <definedName function="false" hidden="false" name="ID_AN_1" vbProcedure="false">'Respuestas Unificadas'!$G$14</definedName>
    <definedName function="false" hidden="false" name="ID_AN_2" vbProcedure="false">'Respuestas Unificadas'!$G$15</definedName>
    <definedName function="false" hidden="false" name="ID_AN_3" vbProcedure="false">'Respuestas Unificadas'!$G$16</definedName>
    <definedName function="false" hidden="false" name="ID_AN_4" vbProcedure="false">'Respuestas Unificadas'!$G$17</definedName>
    <definedName function="false" hidden="false" name="ID_AN_5" vbProcedure="false">'Respuestas Unificadas'!$G$20</definedName>
    <definedName function="false" hidden="false" name="ID_CS_1" vbProcedure="false">'Respuestas Unificadas'!$G$49</definedName>
    <definedName function="false" hidden="false" name="ID_CS_2" vbProcedure="false">'Respuestas Unificadas'!$G$50</definedName>
    <definedName function="false" hidden="false" name="ID_CS_3" vbProcedure="false">'Respuestas Unificadas'!$G$51</definedName>
    <definedName function="false" hidden="false" name="ID_CS_4" vbProcedure="false">'Respuestas Unificadas'!$G$52</definedName>
    <definedName function="false" hidden="false" name="ID_CS_5" vbProcedure="false">'Respuestas Unificadas'!$G$53</definedName>
    <definedName function="false" hidden="false" name="ID_ER_1" vbProcedure="false">'Respuestas Unificadas'!$G$37</definedName>
    <definedName function="false" hidden="false" name="ID_ER_2" vbProcedure="false">'Respuestas Unificadas'!$G$39</definedName>
    <definedName function="false" hidden="false" name="ID_ER_3" vbProcedure="false">'Respuestas Unificadas'!$G$40</definedName>
    <definedName function="false" hidden="false" name="ID_ER_4" vbProcedure="false">'Respuestas Unificadas'!$G$41</definedName>
    <definedName function="false" hidden="false" name="ID_ER_5" vbProcedure="false">'Respuestas Unificadas'!$G$43</definedName>
    <definedName function="false" hidden="false" name="ID_ER_6" vbProcedure="false">'Respuestas Unificadas'!$G$44</definedName>
    <definedName function="false" hidden="false" name="ID_GA_1" vbProcedure="false">'Respuestas Unificadas'!$G$3</definedName>
    <definedName function="false" hidden="false" name="ID_GA_2" vbProcedure="false">'Respuestas Unificadas'!$G$6</definedName>
    <definedName function="false" hidden="false" name="ID_GA_3" vbProcedure="false">'Respuestas Unificadas'!$G$9</definedName>
    <definedName function="false" hidden="false" name="ID_GA_4" vbProcedure="false">'Respuestas Unificadas'!$G$10</definedName>
    <definedName function="false" hidden="false" name="ID_GA_5" vbProcedure="false">'Respuestas Unificadas'!$G$11</definedName>
    <definedName function="false" hidden="false" name="ID_GA_6" vbProcedure="false">'Respuestas Unificadas'!$G$12</definedName>
    <definedName function="false" hidden="false" name="ID_GO_1" vbProcedure="false">'Respuestas Unificadas'!$G$25</definedName>
    <definedName function="false" hidden="false" name="ID_GO_2" vbProcedure="false">'Respuestas Unificadas'!$G$26</definedName>
    <definedName function="false" hidden="false" name="ID_GO_3" vbProcedure="false">'Respuestas Unificadas'!$G$28</definedName>
    <definedName function="false" hidden="false" name="ID_GO_4" vbProcedure="false">'Respuestas Unificadas'!$G$35</definedName>
    <definedName function="false" hidden="false" name="ID_GR_1" vbProcedure="false">'Respuestas Unificadas'!$G$45</definedName>
    <definedName function="false" hidden="false" name="ID_GR_2" vbProcedure="false">'Respuestas Unificadas'!$G$46</definedName>
    <definedName function="false" hidden="false" name="ID_GR_3" vbProcedure="false">'Respuestas Unificadas'!$G$47</definedName>
    <definedName function="false" hidden="false" name="LIMITE1" vbProcedure="false">'resumen general'!#ref!</definedName>
    <definedName function="false" hidden="false" name="LIMITE2" vbProcedure="false">'resumen general'!#ref!</definedName>
    <definedName function="false" hidden="false" name="LIMITE3" vbProcedure="false">'resumen general'!#ref!</definedName>
    <definedName function="false" hidden="false" name="LIMITE_CUMPLIMIENTO" vbProcedure="false">madurez!#ref!</definedName>
    <definedName function="false" hidden="false" name="Madurez" vbProcedure="false">madurez!#ref!</definedName>
    <definedName function="false" hidden="false" name="M_ID_AN_1" vbProcedure="false">madurez!#ref!</definedName>
    <definedName function="false" hidden="false" name="M_ID_AN_2" vbProcedure="false">madurez!#ref!</definedName>
    <definedName function="false" hidden="false" name="M_ID_AN_3" vbProcedure="false">madurez!#ref!</definedName>
    <definedName function="false" hidden="false" name="M_ID_AN_4" vbProcedure="false">madurez!#ref!</definedName>
    <definedName function="false" hidden="false" name="M_ID_AN_5" vbProcedure="false">madurez!#ref!</definedName>
    <definedName function="false" hidden="false" name="M_ID_CS_1" vbProcedure="false">madurez!#ref!</definedName>
    <definedName function="false" hidden="false" name="M_ID_CS_2" vbProcedure="false">madurez!#ref!</definedName>
    <definedName function="false" hidden="false" name="M_ID_CS_3" vbProcedure="false">madurez!#ref!</definedName>
    <definedName function="false" hidden="false" name="M_ID_CS_4" vbProcedure="false">madurez!#ref!</definedName>
    <definedName function="false" hidden="false" name="M_ID_CS_5" vbProcedure="false">madurez!#ref!</definedName>
    <definedName function="false" hidden="false" name="M_ID_ER_1" vbProcedure="false">madurez!#ref!</definedName>
    <definedName function="false" hidden="false" name="M_ID_ER_2" vbProcedure="false">madurez!#ref!</definedName>
    <definedName function="false" hidden="false" name="M_ID_ER_3" vbProcedure="false">madurez!#ref!</definedName>
    <definedName function="false" hidden="false" name="M_ID_ER_4" vbProcedure="false">madurez!#ref!</definedName>
    <definedName function="false" hidden="false" name="M_ID_ER_5" vbProcedure="false">madurez!#ref!</definedName>
    <definedName function="false" hidden="false" name="M_ID_ER_6" vbProcedure="false">madurez!#ref!</definedName>
    <definedName function="false" hidden="false" name="M_ID_GA_1" vbProcedure="false">madurez!#ref!</definedName>
    <definedName function="false" hidden="false" name="M_ID_GA_2" vbProcedure="false">madurez!#ref!</definedName>
    <definedName function="false" hidden="false" name="M_ID_GA_3" vbProcedure="false">madurez!#ref!</definedName>
    <definedName function="false" hidden="false" name="M_ID_GA_4" vbProcedure="false">madurez!#ref!</definedName>
    <definedName function="false" hidden="false" name="M_ID_GA_5" vbProcedure="false">madurez!#ref!</definedName>
    <definedName function="false" hidden="false" name="M_ID_GA_6" vbProcedure="false">madurez!#ref!</definedName>
    <definedName function="false" hidden="false" name="M_ID_GO_1" vbProcedure="false">madurez!#ref!</definedName>
    <definedName function="false" hidden="false" name="M_ID_GO_2" vbProcedure="false">madurez!#ref!</definedName>
    <definedName function="false" hidden="false" name="M_ID_GO_3" vbProcedure="false">madurez!#ref!</definedName>
    <definedName function="false" hidden="false" name="M_ID_GO_4" vbProcedure="false">madurez!#ref!</definedName>
    <definedName function="false" hidden="false" name="M_ID_GR_1" vbProcedure="false">madurez!#ref!</definedName>
    <definedName function="false" hidden="false" name="M_ID_GR_2" vbProcedure="false">madurez!#ref!</definedName>
    <definedName function="false" hidden="false" name="M_ID_GR_3" vbProcedure="false">madurez!#ref!</definedName>
    <definedName function="false" hidden="false" name="M_PR_CA_1" vbProcedure="false">madurez!#ref!</definedName>
    <definedName function="false" hidden="false" name="M_PR_CA_2" vbProcedure="false">madurez!#ref!</definedName>
    <definedName function="false" hidden="false" name="M_PR_CA_3" vbProcedure="false">madurez!#ref!</definedName>
    <definedName function="false" hidden="false" name="M_PR_CA_4" vbProcedure="false">madurez!#ref!</definedName>
    <definedName function="false" hidden="false" name="M_PR_CA_5" vbProcedure="false">madurez!#ref!</definedName>
    <definedName function="false" hidden="false" name="M_PR_CA_6" vbProcedure="false">madurez!#ref!</definedName>
    <definedName function="false" hidden="false" name="M_PR_CA_7" vbProcedure="false">madurez!#ref!</definedName>
    <definedName function="false" hidden="false" name="M_PR_CF_1" vbProcedure="false">madurez!#ref!</definedName>
    <definedName function="false" hidden="false" name="M_PR_CF_2" vbProcedure="false">madurez!#ref!</definedName>
    <definedName function="false" hidden="false" name="M_PR_CF_3" vbProcedure="false">madurez!#ref!</definedName>
    <definedName function="false" hidden="false" name="M_PR_CF_4" vbProcedure="false">madurez!#ref!</definedName>
    <definedName function="false" hidden="false" name="M_PR_CF_5" vbProcedure="false">madurez!#ref!</definedName>
    <definedName function="false" hidden="false" name="M_PR_SD_1" vbProcedure="false">madurez!#ref!</definedName>
    <definedName function="false" hidden="false" name="M_PR_SD_2" vbProcedure="false">madurez!#ref!</definedName>
    <definedName function="false" hidden="false" name="M_PR_SD_3" vbProcedure="false">madurez!#ref!</definedName>
    <definedName function="false" hidden="false" name="M_PR_SD_4" vbProcedure="false">madurez!#ref!</definedName>
    <definedName function="false" hidden="false" name="M_PR_SD_5" vbProcedure="false">madurez!#ref!</definedName>
    <definedName function="false" hidden="false" name="M_PR_SD_6" vbProcedure="false">madurez!#ref!</definedName>
    <definedName function="false" hidden="false" name="M_PR_SD_7" vbProcedure="false">madurez!#ref!</definedName>
    <definedName function="false" hidden="false" name="M_PR_SD_8" vbProcedure="false">madurez!#ref!</definedName>
    <definedName function="false" hidden="false" name="OR.1" vbProcedure="false">Requisitos!$C$11</definedName>
    <definedName function="false" hidden="false" name="OR.2" vbProcedure="false">Requisitos!$C$12</definedName>
    <definedName function="false" hidden="false" name="OR.3" vbProcedure="false">Requisitos!$C$13</definedName>
    <definedName function="false" hidden="false" name="OR.4" vbProcedure="false">Requisitos!$C$14</definedName>
    <definedName function="false" hidden="false" name="OR.5" vbProcedure="false">Requisitos!$C$15</definedName>
    <definedName function="false" hidden="false" name="OR.6" vbProcedure="false">Requisitos!$C$16</definedName>
    <definedName function="false" hidden="false" name="OR_1" vbProcedure="false">#REF!</definedName>
    <definedName function="false" hidden="false" name="OR_1_VAL" vbProcedure="false">#REF!</definedName>
    <definedName function="false" hidden="false" name="OR_2" vbProcedure="false">#REF!</definedName>
    <definedName function="false" hidden="false" name="OR_2_VAL" vbProcedure="false">#REF!</definedName>
    <definedName function="false" hidden="false" name="OR_3" vbProcedure="false">#REF!</definedName>
    <definedName function="false" hidden="false" name="OR_3_VAL" vbProcedure="false">#REF!</definedName>
    <definedName function="false" hidden="false" name="OR_4" vbProcedure="false">#REF!</definedName>
    <definedName function="false" hidden="false" name="OR_4_VAL" vbProcedure="false">#REF!</definedName>
    <definedName function="false" hidden="false" name="OR_5" vbProcedure="false">#REF!</definedName>
    <definedName function="false" hidden="false" name="OR_5_VAL" vbProcedure="false">#REF!</definedName>
    <definedName function="false" hidden="false" name="OR_6" vbProcedure="false">#REF!</definedName>
    <definedName function="false" hidden="false" name="OR_6_VAL" vbProcedure="false">#REF!</definedName>
    <definedName function="false" hidden="false" name="OTRO" vbProcedure="false">madurez!#ref!</definedName>
    <definedName function="false" hidden="false" name="PERFIL" vbProcedure="false">'Resumen general'!$G$17</definedName>
    <definedName function="false" hidden="false" name="PL.1" vbProcedure="false">Requisitos!$C$8</definedName>
    <definedName function="false" hidden="false" name="PL.2" vbProcedure="false">Requisitos!$C$9</definedName>
    <definedName function="false" hidden="false" name="PL_1" vbProcedure="false">#REF!</definedName>
    <definedName function="false" hidden="false" name="PL_1_VAL" vbProcedure="false">#REF!</definedName>
    <definedName function="false" hidden="false" name="PL_2" vbProcedure="false">#REF!</definedName>
    <definedName function="false" hidden="false" name="PL_2_VAL" vbProcedure="false">#REF!</definedName>
    <definedName function="false" hidden="false" name="PR_CA_1" vbProcedure="false">'Respuestas Unificadas'!$G$54</definedName>
    <definedName function="false" hidden="false" name="PR_CA_2" vbProcedure="false">'Respuestas Unificadas'!$G$56</definedName>
    <definedName function="false" hidden="false" name="PR_CA_3" vbProcedure="false">'Respuestas Unificadas'!$G$57</definedName>
    <definedName function="false" hidden="false" name="PR_CA_4" vbProcedure="false">'Respuestas Unificadas'!$G$59</definedName>
    <definedName function="false" hidden="false" name="PR_CA_5" vbProcedure="false">'Respuestas Unificadas'!$G$60</definedName>
    <definedName function="false" hidden="false" name="PR_CA_6" vbProcedure="false">'Respuestas Unificadas'!$G$61</definedName>
    <definedName function="false" hidden="false" name="PR_CA_7" vbProcedure="false">'Respuestas Unificadas'!$G$62</definedName>
    <definedName function="false" hidden="false" name="PR_CF_1" vbProcedure="false">'Respuestas Unificadas'!$G$64</definedName>
    <definedName function="false" hidden="false" name="PR_CF_2" vbProcedure="false">'Respuestas Unificadas'!$G$65</definedName>
    <definedName function="false" hidden="false" name="PR_CF_3" vbProcedure="false">'Respuestas Unificadas'!$G$66</definedName>
    <definedName function="false" hidden="false" name="PR_CF_4" vbProcedure="false">'Respuestas Unificadas'!$G$67</definedName>
    <definedName function="false" hidden="false" name="PR_CF_5" vbProcedure="false">'Respuestas Unificadas'!$G$68</definedName>
    <definedName function="false" hidden="false" name="PR_MA_1" vbProcedure="false">'Respuestas Unificadas'!$G$106</definedName>
    <definedName function="false" hidden="false" name="PR_MA_2" vbProcedure="false">'Respuestas Unificadas'!$G$108</definedName>
    <definedName function="false" hidden="false" name="PR_PI_1" vbProcedure="false">'Respuestas Unificadas'!$G$85</definedName>
    <definedName function="false" hidden="false" name="PR_PI_10" vbProcedure="false">'Respuestas Unificadas'!$G$100</definedName>
    <definedName function="false" hidden="false" name="PR_PI_11" vbProcedure="false">'Respuestas Unificadas'!$G$102</definedName>
    <definedName function="false" hidden="false" name="PR_PI_12" vbProcedure="false">'Respuestas Unificadas'!$G$104</definedName>
    <definedName function="false" hidden="false" name="PR_PI_2" vbProcedure="false">'Respuestas Unificadas'!$G$86</definedName>
    <definedName function="false" hidden="false" name="PR_PI_3" vbProcedure="false">'Respuestas Unificadas'!$G$88</definedName>
    <definedName function="false" hidden="false" name="PR_PI_4" vbProcedure="false">'Respuestas Unificadas'!$G$90</definedName>
    <definedName function="false" hidden="false" name="PR_PI_5" vbProcedure="false">'Respuestas Unificadas'!$G$91</definedName>
    <definedName function="false" hidden="false" name="PR_PI_6" vbProcedure="false">'Respuestas Unificadas'!$G$93</definedName>
    <definedName function="false" hidden="false" name="PR_PI_7" vbProcedure="false">'Respuestas Unificadas'!$G$94</definedName>
    <definedName function="false" hidden="false" name="PR_PI_8" vbProcedure="false">'Respuestas Unificadas'!$G$95</definedName>
    <definedName function="false" hidden="false" name="PR_PI_9" vbProcedure="false">'Respuestas Unificadas'!$G$96</definedName>
    <definedName function="false" hidden="false" name="PR_SD_1" vbProcedure="false">'Respuestas Unificadas'!$G$69</definedName>
    <definedName function="false" hidden="false" name="PR_SD_2" vbProcedure="false">'Respuestas Unificadas'!$G$72</definedName>
    <definedName function="false" hidden="false" name="PR_SD_3" vbProcedure="false">'Respuestas Unificadas'!$G$75</definedName>
    <definedName function="false" hidden="false" name="PR_SD_4" vbProcedure="false">'Respuestas Unificadas'!$G$76</definedName>
    <definedName function="false" hidden="false" name="PR_SD_5" vbProcedure="false">'Respuestas Unificadas'!$G$77</definedName>
    <definedName function="false" hidden="false" name="PR_SD_6" vbProcedure="false">'Respuestas Unificadas'!$G$80</definedName>
    <definedName function="false" hidden="false" name="PR_SD_7" vbProcedure="false">'Respuestas Unificadas'!$G$82</definedName>
    <definedName function="false" hidden="false" name="PR_SD_8" vbProcedure="false">'Respuestas Unificadas'!$G$83</definedName>
    <definedName function="false" hidden="false" name="PR_TP_1" vbProcedure="false">'Respuestas Unificadas'!$G$110</definedName>
    <definedName function="false" hidden="false" name="PR_TP_2" vbProcedure="false">'Respuestas Unificadas'!$G$111</definedName>
    <definedName function="false" hidden="false" name="PR_TP_3" vbProcedure="false">'Respuestas Unificadas'!$G$112</definedName>
    <definedName function="false" hidden="false" name="PR_TP_4" vbProcedure="false">'Respuestas Unificadas'!$G$113</definedName>
    <definedName function="false" hidden="false" name="PR_TP_5" vbProcedure="false">'Respuestas Unificadas'!$G$119</definedName>
    <definedName function="false" hidden="false" name="PS.1" vbProcedure="false">Requisitos!$C$10</definedName>
    <definedName function="false" hidden="false" name="PS_1" vbProcedure="false">#REF!</definedName>
    <definedName function="false" hidden="false" name="PS_1_VAL" vbProcedure="false">#REF!</definedName>
    <definedName function="false" hidden="false" name="RC_CO_1" vbProcedure="false">'Respuestas Unificadas'!$G$181</definedName>
    <definedName function="false" hidden="false" name="RC_CO_2" vbProcedure="false">'Respuestas Unificadas'!$G$182</definedName>
    <definedName function="false" hidden="false" name="RC_CO_3" vbProcedure="false">'Respuestas Unificadas'!$G$183</definedName>
    <definedName function="false" hidden="false" name="RC_ME_1" vbProcedure="false">'Respuestas Unificadas'!$G$179</definedName>
    <definedName function="false" hidden="false" name="RC_ME_2" vbProcedure="false">'Respuestas Unificadas'!$G$180</definedName>
    <definedName function="false" hidden="false" name="RC_PR_1" vbProcedure="false">'Respuestas Unificadas'!$G$176</definedName>
    <definedName function="false" hidden="false" name="REQUISITOS" vbProcedure="false">Hoja2!$A$1:$B$68</definedName>
    <definedName function="false" hidden="false" name="RE_AN_1" vbProcedure="false">'Respuestas Unificadas'!$G$163</definedName>
    <definedName function="false" hidden="false" name="RE_AN_2" vbProcedure="false">'Respuestas Unificadas'!$G$166</definedName>
    <definedName function="false" hidden="false" name="RE_AN_3" vbProcedure="false">'Respuestas Unificadas'!$G$168</definedName>
    <definedName function="false" hidden="false" name="RE_AN_4" vbProcedure="false">'Respuestas Unificadas'!$G$169</definedName>
    <definedName function="false" hidden="false" name="RE_AN_5" vbProcedure="false">'Respuestas Unificadas'!$G$170</definedName>
    <definedName function="false" hidden="false" name="RE_CO_1" vbProcedure="false">'Respuestas Unificadas'!$G$151</definedName>
    <definedName function="false" hidden="false" name="RE_CO_2" vbProcedure="false">'Respuestas Unificadas'!$G$155</definedName>
    <definedName function="false" hidden="false" name="RE_CO_3" vbProcedure="false">'Respuestas Unificadas'!$G$158</definedName>
    <definedName function="false" hidden="false" name="RE_CO_4" vbProcedure="false">'Respuestas Unificadas'!$G$159</definedName>
    <definedName function="false" hidden="false" name="RE_CO_5" vbProcedure="false">'Respuestas Unificadas'!$G$162</definedName>
    <definedName function="false" hidden="false" name="RE_ME_1" vbProcedure="false">'Respuestas Unificadas'!$G$174</definedName>
    <definedName function="false" hidden="false" name="RE_ME_2" vbProcedure="false">'Respuestas Unificadas'!$G$175</definedName>
    <definedName function="false" hidden="false" name="RE_MI_1" vbProcedure="false">'Respuestas Unificadas'!$G$171</definedName>
    <definedName function="false" hidden="false" name="RE_MI_2" vbProcedure="false">'Respuestas Unificadas'!$G$172</definedName>
    <definedName function="false" hidden="false" name="RE_MI_3" vbProcedure="false">'Respuestas Unificadas'!$G$173</definedName>
    <definedName function="false" hidden="false" name="RE_PR_1" vbProcedure="false">'Respuestas Unificadas'!$G$150</definedName>
    <definedName function="false" hidden="false" name="RP.1" vbProcedure="false">Requisitos!$C$55</definedName>
    <definedName function="false" hidden="false" name="RP.2" vbProcedure="false">Requisitos!$C$56</definedName>
    <definedName function="false" hidden="false" name="RP_1" vbProcedure="false">#REF!</definedName>
    <definedName function="false" hidden="false" name="RP_1_VAL" vbProcedure="false">#REF!</definedName>
    <definedName function="false" hidden="false" name="RP_2" vbProcedure="false">#REF!</definedName>
    <definedName function="false" hidden="false" name="RP_2_VAL" vbProcedure="false">#REF!</definedName>
    <definedName function="false" hidden="false" name="SC.1" vbProcedure="false">Requisitos!$C$39</definedName>
    <definedName function="false" hidden="false" name="SC.10" vbProcedure="false">Requisitos!$C$48</definedName>
    <definedName function="false" hidden="false" name="SC.11" vbProcedure="false">Requisitos!$C$49</definedName>
    <definedName function="false" hidden="false" name="SC.12" vbProcedure="false">Requisitos!$C$50</definedName>
    <definedName function="false" hidden="false" name="SC.13" vbProcedure="false">Requisitos!$C$51</definedName>
    <definedName function="false" hidden="false" name="SC.14" vbProcedure="false">Requisitos!$C$52</definedName>
    <definedName function="false" hidden="false" name="SC.15" vbProcedure="false">Requisitos!$C$53</definedName>
    <definedName function="false" hidden="false" name="SC.2" vbProcedure="false">Requisitos!$C$40</definedName>
    <definedName function="false" hidden="false" name="SC.3" vbProcedure="false">Requisitos!$C$41</definedName>
    <definedName function="false" hidden="false" name="SC.4" vbProcedure="false">Requisitos!$C$42</definedName>
    <definedName function="false" hidden="false" name="SC.5" vbProcedure="false">Requisitos!$C$43</definedName>
    <definedName function="false" hidden="false" name="SC.6" vbProcedure="false">Requisitos!$C$44</definedName>
    <definedName function="false" hidden="false" name="SC.7" vbProcedure="false">Requisitos!$C$45</definedName>
    <definedName function="false" hidden="false" name="SC.8" vbProcedure="false">Requisitos!$C$46</definedName>
    <definedName function="false" hidden="false" name="SC.9" vbProcedure="false">Requisitos!$C$47</definedName>
    <definedName function="false" hidden="false" name="SC_1" vbProcedure="false">#REF!</definedName>
    <definedName function="false" hidden="false" name="SC_10" vbProcedure="false">#REF!</definedName>
    <definedName function="false" hidden="false" name="SC_10_VAL" vbProcedure="false">#REF!</definedName>
    <definedName function="false" hidden="false" name="SC_11" vbProcedure="false">#REF!</definedName>
    <definedName function="false" hidden="false" name="SC_11_VAL" vbProcedure="false">#REF!</definedName>
    <definedName function="false" hidden="false" name="SC_12" vbProcedure="false">#REF!</definedName>
    <definedName function="false" hidden="false" name="SC_12_VAL" vbProcedure="false">#REF!</definedName>
    <definedName function="false" hidden="false" name="SC_13" vbProcedure="false">#REF!</definedName>
    <definedName function="false" hidden="false" name="SC_13_VAL" vbProcedure="false">#REF!</definedName>
    <definedName function="false" hidden="false" name="SC_14" vbProcedure="false">#REF!</definedName>
    <definedName function="false" hidden="false" name="SC_14_VAL" vbProcedure="false">#REF!</definedName>
    <definedName function="false" hidden="false" name="SC_15" vbProcedure="false">#REF!</definedName>
    <definedName function="false" hidden="false" name="SC_15_VAL" vbProcedure="false">#REF!</definedName>
    <definedName function="false" hidden="false" name="SC_1_VAL" vbProcedure="false">#REF!</definedName>
    <definedName function="false" hidden="false" name="SC_2" vbProcedure="false">#REF!</definedName>
    <definedName function="false" hidden="false" name="SC_2_VAL" vbProcedure="false">#REF!</definedName>
    <definedName function="false" hidden="false" name="SC_3" vbProcedure="false">#REF!</definedName>
    <definedName function="false" hidden="false" name="SC_3_VAL" vbProcedure="false">#REF!</definedName>
    <definedName function="false" hidden="false" name="SC_4" vbProcedure="false">#REF!</definedName>
    <definedName function="false" hidden="false" name="SC_4_VAL" vbProcedure="false">#REF!</definedName>
    <definedName function="false" hidden="false" name="SC_5" vbProcedure="false">#REF!</definedName>
    <definedName function="false" hidden="false" name="SC_5_VAL" vbProcedure="false">#REF!</definedName>
    <definedName function="false" hidden="false" name="SC_6" vbProcedure="false">#REF!</definedName>
    <definedName function="false" hidden="false" name="SC_6_VAL" vbProcedure="false">#REF!</definedName>
    <definedName function="false" hidden="false" name="SC_7" vbProcedure="false">#REF!</definedName>
    <definedName function="false" hidden="false" name="SC_7_VAL" vbProcedure="false">#REF!</definedName>
    <definedName function="false" hidden="false" name="SC_8" vbProcedure="false">#REF!</definedName>
    <definedName function="false" hidden="false" name="SC_8_VAL" vbProcedure="false">#REF!</definedName>
    <definedName function="false" hidden="false" name="SC_9" vbProcedure="false">#REF!</definedName>
    <definedName function="false" hidden="false" name="SC_9_VAL" vbProcedure="false">#REF!</definedName>
    <definedName function="false" hidden="false" name="SF.1" vbProcedure="false">Requisitos!$C$28</definedName>
    <definedName function="false" hidden="false" name="SF.2" vbProcedure="false">Requisitos!$C$29</definedName>
    <definedName function="false" hidden="false" name="SF.3" vbProcedure="false">Requisitos!$C$30</definedName>
    <definedName function="false" hidden="false" name="SF_1" vbProcedure="false">#REF!</definedName>
    <definedName function="false" hidden="false" name="SF_1_VAL" vbProcedure="false">#REF!</definedName>
    <definedName function="false" hidden="false" name="SF_2" vbProcedure="false">#REF!</definedName>
    <definedName function="false" hidden="false" name="SF_2_VAL" vbProcedure="false">#REF!</definedName>
    <definedName function="false" hidden="false" name="SF_3" vbProcedure="false">#REF!</definedName>
    <definedName function="false" hidden="false" name="SF_3_VAL" vbProcedure="false">#REF!</definedName>
    <definedName function="false" hidden="false" name="SO.1" vbProcedure="false">Requisitos!$C$31</definedName>
    <definedName function="false" hidden="false" name="SO.2" vbProcedure="false">Requisitos!$C$32</definedName>
    <definedName function="false" hidden="false" name="SO.3" vbProcedure="false">Requisitos!$C$33</definedName>
    <definedName function="false" hidden="false" name="SO.4" vbProcedure="false">Requisitos!$C$34</definedName>
    <definedName function="false" hidden="false" name="SO.5" vbProcedure="false">Requisitos!$C$35</definedName>
    <definedName function="false" hidden="false" name="SO.6" vbProcedure="false">Requisitos!$C$36</definedName>
    <definedName function="false" hidden="false" name="SO.7" vbProcedure="false">Requisitos!$C$37</definedName>
    <definedName function="false" hidden="false" name="SO.8" vbProcedure="false">Requisitos!$C$38</definedName>
    <definedName function="false" hidden="false" name="SO_1" vbProcedure="false">#REF!</definedName>
    <definedName function="false" hidden="false" name="SO_1_VAL" vbProcedure="false">#REF!</definedName>
    <definedName function="false" hidden="false" name="SO_2" vbProcedure="false">#REF!</definedName>
    <definedName function="false" hidden="false" name="SO_2_VAL" vbProcedure="false">#REF!</definedName>
    <definedName function="false" hidden="false" name="SO_3" vbProcedure="false">#REF!</definedName>
    <definedName function="false" hidden="false" name="SO_3_VAL" vbProcedure="false">#REF!</definedName>
    <definedName function="false" hidden="false" name="SO_4" vbProcedure="false">#REF!</definedName>
    <definedName function="false" hidden="false" name="SO_4_VAL" vbProcedure="false">#REF!</definedName>
    <definedName function="false" hidden="false" name="SO_5" vbProcedure="false">#REF!</definedName>
    <definedName function="false" hidden="false" name="SO_5_VAL" vbProcedure="false">#REF!</definedName>
    <definedName function="false" hidden="false" name="SO_6" vbProcedure="false">#REF!</definedName>
    <definedName function="false" hidden="false" name="SO_6_VAL" vbProcedure="false">#REF!</definedName>
    <definedName function="false" hidden="false" name="SO_7" vbProcedure="false">#REF!</definedName>
    <definedName function="false" hidden="false" name="SO_7_VAL" vbProcedure="false">#REF!</definedName>
    <definedName function="false" hidden="false" name="SO_8" vbProcedure="false">#REF!</definedName>
    <definedName function="false" hidden="false" name="SO_8_VAL" vbProcedure="false">#REF!</definedName>
    <definedName function="false" hidden="false" localSheetId="4" name="Madurez" vbProcedure="false">'respuestas unificadas'!#ref!</definedName>
    <definedName function="false" hidden="false" localSheetId="6" name="DE_AE_1" vbProcedure="false">'Estado deseado'!$Q$125</definedName>
    <definedName function="false" hidden="false" localSheetId="6" name="DE_AE_2" vbProcedure="false">'Estado deseado'!$Q$126</definedName>
    <definedName function="false" hidden="false" localSheetId="6" name="DE_AE_3" vbProcedure="false">'Estado deseado'!$Q$127</definedName>
    <definedName function="false" hidden="false" localSheetId="6" name="DE_AE_4" vbProcedure="false">'Estado deseado'!$Q$128</definedName>
    <definedName function="false" hidden="false" localSheetId="6" name="DE_AE_5" vbProcedure="false">'Estado deseado'!$Q$129</definedName>
    <definedName function="false" hidden="false" localSheetId="6" name="DE_MC_1" vbProcedure="false">'Estado deseado'!$Q$130</definedName>
    <definedName function="false" hidden="false" localSheetId="6" name="DE_MC_2" vbProcedure="false">'Estado deseado'!$Q$131</definedName>
    <definedName function="false" hidden="false" localSheetId="6" name="DE_MC_3" vbProcedure="false">'Estado deseado'!$Q$132</definedName>
    <definedName function="false" hidden="false" localSheetId="6" name="DE_MC_4" vbProcedure="false">'Estado deseado'!$Q$133</definedName>
    <definedName function="false" hidden="false" localSheetId="6" name="DE_MC_5" vbProcedure="false">'Estado deseado'!$Q$134</definedName>
    <definedName function="false" hidden="false" localSheetId="6" name="DE_MC_6" vbProcedure="false">'Estado deseado'!$Q$135</definedName>
    <definedName function="false" hidden="false" localSheetId="6" name="DE_MC_7" vbProcedure="false">'Estado deseado'!$Q$136</definedName>
    <definedName function="false" hidden="false" localSheetId="6" name="DE_MC_8" vbProcedure="false">'Estado deseado'!$Q$137</definedName>
    <definedName function="false" hidden="false" localSheetId="6" name="DE_PD_1" vbProcedure="false">'Estado deseado'!$Q$138</definedName>
    <definedName function="false" hidden="false" localSheetId="6" name="DE_PD_2" vbProcedure="false">'Estado deseado'!$Q$139</definedName>
    <definedName function="false" hidden="false" localSheetId="6" name="DE_PD_3" vbProcedure="false">'Estado deseado'!$Q$140</definedName>
    <definedName function="false" hidden="false" localSheetId="6" name="DE_PD_4" vbProcedure="false">'Estado deseado'!$Q$141</definedName>
    <definedName function="false" hidden="false" localSheetId="6" name="DE_PD_5" vbProcedure="false">'Estado deseado'!$Q$142</definedName>
    <definedName function="false" hidden="false" localSheetId="6" name="ID_AN_1" vbProcedure="false">'Estado deseado'!$Q$17</definedName>
    <definedName function="false" hidden="false" localSheetId="6" name="ID_AN_2" vbProcedure="false">'Estado deseado'!$Q$22</definedName>
    <definedName function="false" hidden="false" localSheetId="6" name="ID_AN_3" vbProcedure="false">'Estado deseado'!$Q$24</definedName>
    <definedName function="false" hidden="false" localSheetId="6" name="ID_AN_4" vbProcedure="false">'Estado deseado'!$Q$27</definedName>
    <definedName function="false" hidden="false" localSheetId="6" name="ID_AN_5" vbProcedure="false">'Estado deseado'!$Q$28</definedName>
    <definedName function="false" hidden="false" localSheetId="6" name="ID_CS_1" vbProcedure="false">'Estado deseado'!$Q$56</definedName>
    <definedName function="false" hidden="false" localSheetId="6" name="ID_CS_2" vbProcedure="false">'Estado deseado'!$Q$57</definedName>
    <definedName function="false" hidden="false" localSheetId="6" name="ID_CS_3" vbProcedure="false">'Estado deseado'!$Q$58</definedName>
    <definedName function="false" hidden="false" localSheetId="6" name="ID_CS_4" vbProcedure="false">'Estado deseado'!$Q$59</definedName>
    <definedName function="false" hidden="false" localSheetId="6" name="ID_CS_5" vbProcedure="false">'Estado deseado'!$Q$60</definedName>
    <definedName function="false" hidden="false" localSheetId="6" name="ID_ER_1" vbProcedure="false">'Estado deseado'!$Q$36</definedName>
    <definedName function="false" hidden="false" localSheetId="6" name="ID_ER_2" vbProcedure="false">'Estado deseado'!$Q$40</definedName>
    <definedName function="false" hidden="false" localSheetId="6" name="ID_ER_3" vbProcedure="false">'Estado deseado'!$Q$41</definedName>
    <definedName function="false" hidden="false" localSheetId="6" name="ID_ER_4" vbProcedure="false">'Estado deseado'!$Q$45</definedName>
    <definedName function="false" hidden="false" localSheetId="6" name="ID_ER_5" vbProcedure="false">'Estado deseado'!$Q$46</definedName>
    <definedName function="false" hidden="false" localSheetId="6" name="ID_ER_6" vbProcedure="false">'Estado deseado'!$Q$47</definedName>
    <definedName function="false" hidden="false" localSheetId="6" name="ID_GA_1" vbProcedure="false">'Estado deseado'!$Q$4</definedName>
    <definedName function="false" hidden="false" localSheetId="6" name="ID_GA_2" vbProcedure="false">'Estado deseado'!$Q$6</definedName>
    <definedName function="false" hidden="false" localSheetId="6" name="ID_GA_3" vbProcedure="false">'Estado deseado'!$Q$9</definedName>
    <definedName function="false" hidden="false" localSheetId="6" name="ID_GA_4" vbProcedure="false">'Estado deseado'!$Q$10</definedName>
    <definedName function="false" hidden="false" localSheetId="6" name="ID_GA_5" vbProcedure="false">'Estado deseado'!$Q$12</definedName>
    <definedName function="false" hidden="false" localSheetId="6" name="ID_GA_6" vbProcedure="false">'Estado deseado'!$Q$15</definedName>
    <definedName function="false" hidden="false" localSheetId="6" name="ID_GO_1" vbProcedure="false">'Estado deseado'!$Q$29</definedName>
    <definedName function="false" hidden="false" localSheetId="6" name="ID_GO_2" vbProcedure="false">'Estado deseado'!$Q$32</definedName>
    <definedName function="false" hidden="false" localSheetId="6" name="ID_GO_3" vbProcedure="false">'Estado deseado'!$Q$33</definedName>
    <definedName function="false" hidden="false" localSheetId="6" name="ID_GO_4" vbProcedure="false">'Estado deseado'!$Q$35</definedName>
    <definedName function="false" hidden="false" localSheetId="6" name="ID_GR_1" vbProcedure="false">'Estado deseado'!$Q$49</definedName>
    <definedName function="false" hidden="false" localSheetId="6" name="ID_GR_2" vbProcedure="false">'Estado deseado'!$Q$54</definedName>
    <definedName function="false" hidden="false" localSheetId="6" name="ID_GR_3" vbProcedure="false">'Estado deseado'!$Q$55</definedName>
    <definedName function="false" hidden="false" localSheetId="6" name="Madurez" vbProcedure="false">'estado deseado'!#ref!</definedName>
    <definedName function="false" hidden="false" localSheetId="6" name="PR_CA_1" vbProcedure="false">'Estado deseado'!$Q$61</definedName>
    <definedName function="false" hidden="false" localSheetId="6" name="PR_CA_2" vbProcedure="false">'Estado deseado'!$Q$63</definedName>
    <definedName function="false" hidden="false" localSheetId="6" name="PR_CA_3" vbProcedure="false">'Estado deseado'!$Q$65</definedName>
    <definedName function="false" hidden="false" localSheetId="6" name="PR_CA_4" vbProcedure="false">'Estado deseado'!$Q$68</definedName>
    <definedName function="false" hidden="false" localSheetId="6" name="PR_CA_5" vbProcedure="false">'Estado deseado'!$Q$69</definedName>
    <definedName function="false" hidden="false" localSheetId="6" name="PR_CA_6" vbProcedure="false">'Estado deseado'!$Q$70</definedName>
    <definedName function="false" hidden="false" localSheetId="6" name="PR_CA_7" vbProcedure="false">'Estado deseado'!$Q$71</definedName>
    <definedName function="false" hidden="false" localSheetId="6" name="PR_CF_1" vbProcedure="false">'Estado deseado'!$Q$72</definedName>
    <definedName function="false" hidden="false" localSheetId="6" name="PR_CF_2" vbProcedure="false">'Estado deseado'!$Q$74</definedName>
    <definedName function="false" hidden="false" localSheetId="6" name="PR_CF_3" vbProcedure="false">'Estado deseado'!$Q$76</definedName>
    <definedName function="false" hidden="false" localSheetId="6" name="PR_CF_4" vbProcedure="false">'Estado deseado'!$Q$79</definedName>
    <definedName function="false" hidden="false" localSheetId="6" name="PR_CF_5" vbProcedure="false">'Estado deseado'!$Q$80</definedName>
    <definedName function="false" hidden="false" localSheetId="6" name="PR_MA_1" vbProcedure="false">'Estado deseado'!$Q$116</definedName>
    <definedName function="false" hidden="false" localSheetId="6" name="PR_MA_2" vbProcedure="false">'Estado deseado'!$Q$117</definedName>
    <definedName function="false" hidden="false" localSheetId="6" name="PR_PI_1" vbProcedure="false">'Estado deseado'!$Q$96</definedName>
    <definedName function="false" hidden="false" localSheetId="6" name="PR_PI_10" vbProcedure="false">'Estado deseado'!$Q$109</definedName>
    <definedName function="false" hidden="false" localSheetId="6" name="PR_PI_11" vbProcedure="false">'Estado deseado'!$Q$110</definedName>
    <definedName function="false" hidden="false" localSheetId="6" name="PR_PI_12" vbProcedure="false">'Estado deseado'!$Q$115</definedName>
    <definedName function="false" hidden="false" localSheetId="6" name="PR_PI_2" vbProcedure="false">'Estado deseado'!$Q$99</definedName>
    <definedName function="false" hidden="false" localSheetId="6" name="PR_PI_3" vbProcedure="false">'Estado deseado'!$Q$100</definedName>
    <definedName function="false" hidden="false" localSheetId="6" name="PR_PI_4" vbProcedure="false">'Estado deseado'!$Q$102</definedName>
    <definedName function="false" hidden="false" localSheetId="6" name="PR_PI_5" vbProcedure="false">'Estado deseado'!$Q$103</definedName>
    <definedName function="false" hidden="false" localSheetId="6" name="PR_PI_6" vbProcedure="false">'Estado deseado'!$Q$104</definedName>
    <definedName function="false" hidden="false" localSheetId="6" name="PR_PI_7" vbProcedure="false">'Estado deseado'!$Q$105</definedName>
    <definedName function="false" hidden="false" localSheetId="6" name="PR_PI_8" vbProcedure="false">'Estado deseado'!$Q$107</definedName>
    <definedName function="false" hidden="false" localSheetId="6" name="PR_PI_9" vbProcedure="false">'Estado deseado'!$Q$108</definedName>
    <definedName function="false" hidden="false" localSheetId="6" name="PR_SD_1" vbProcedure="false">'Estado deseado'!$Q$81</definedName>
    <definedName function="false" hidden="false" localSheetId="6" name="PR_SD_2" vbProcedure="false">'Estado deseado'!$Q$85</definedName>
    <definedName function="false" hidden="false" localSheetId="6" name="PR_SD_3" vbProcedure="false">'Estado deseado'!$Q$89</definedName>
    <definedName function="false" hidden="false" localSheetId="6" name="PR_SD_4" vbProcedure="false">'Estado deseado'!$Q$90</definedName>
    <definedName function="false" hidden="false" localSheetId="6" name="PR_SD_5" vbProcedure="false">'Estado deseado'!$Q$91</definedName>
    <definedName function="false" hidden="false" localSheetId="6" name="PR_SD_6" vbProcedure="false">'Estado deseado'!$Q$93</definedName>
    <definedName function="false" hidden="false" localSheetId="6" name="PR_SD_7" vbProcedure="false">'Estado deseado'!$Q$94</definedName>
    <definedName function="false" hidden="false" localSheetId="6" name="PR_SD_8" vbProcedure="false">'Estado deseado'!$Q$95</definedName>
    <definedName function="false" hidden="false" localSheetId="6" name="PR_TP_1" vbProcedure="false">'Estado deseado'!$Q$118</definedName>
    <definedName function="false" hidden="false" localSheetId="6" name="PR_TP_2" vbProcedure="false">'Estado deseado'!$Q$119</definedName>
    <definedName function="false" hidden="false" localSheetId="6" name="PR_TP_3" vbProcedure="false">'Estado deseado'!$Q$121</definedName>
    <definedName function="false" hidden="false" localSheetId="6" name="PR_TP_4" vbProcedure="false">'Estado deseado'!$Q$122</definedName>
    <definedName function="false" hidden="false" localSheetId="6" name="PR_TP_5" vbProcedure="false">'Estado deseado'!$Q$124</definedName>
    <definedName function="false" hidden="false" localSheetId="6" name="RC_CO_1" vbProcedure="false">'Estado deseado'!$Q$164</definedName>
    <definedName function="false" hidden="false" localSheetId="6" name="RC_CO_2" vbProcedure="false">'Estado deseado'!$Q$165</definedName>
    <definedName function="false" hidden="false" localSheetId="6" name="RC_CO_3" vbProcedure="false">'Estado deseado'!$Q$166</definedName>
    <definedName function="false" hidden="false" localSheetId="6" name="RC_ME_1" vbProcedure="false">'Estado deseado'!$Q$162</definedName>
    <definedName function="false" hidden="false" localSheetId="6" name="RC_ME_2" vbProcedure="false">'Estado deseado'!$Q$163</definedName>
    <definedName function="false" hidden="false" localSheetId="6" name="RC_PR_1" vbProcedure="false">'Estado deseado'!$Q$160</definedName>
    <definedName function="false" hidden="false" localSheetId="6" name="RE_AN_1" vbProcedure="false">'Estado deseado'!$Q$150</definedName>
    <definedName function="false" hidden="false" localSheetId="6" name="RE_AN_2" vbProcedure="false">'Estado deseado'!$Q$151</definedName>
    <definedName function="false" hidden="false" localSheetId="6" name="RE_AN_3" vbProcedure="false">'Estado deseado'!$Q$152</definedName>
    <definedName function="false" hidden="false" localSheetId="6" name="RE_AN_4" vbProcedure="false">'Estado deseado'!$Q$153</definedName>
    <definedName function="false" hidden="false" localSheetId="6" name="RE_AN_5" vbProcedure="false">'Estado deseado'!$Q$154</definedName>
    <definedName function="false" hidden="false" localSheetId="6" name="RE_CO_1" vbProcedure="false">'Estado deseado'!$Q$145</definedName>
    <definedName function="false" hidden="false" localSheetId="6" name="RE_CO_2" vbProcedure="false">'Estado deseado'!$Q$146</definedName>
    <definedName function="false" hidden="false" localSheetId="6" name="RE_CO_3" vbProcedure="false">'Estado deseado'!$Q$147</definedName>
    <definedName function="false" hidden="false" localSheetId="6" name="RE_CO_4" vbProcedure="false">'Estado deseado'!$Q$148</definedName>
    <definedName function="false" hidden="false" localSheetId="6" name="RE_CO_5" vbProcedure="false">'Estado deseado'!$Q$149</definedName>
    <definedName function="false" hidden="false" localSheetId="6" name="RE_ME_1" vbProcedure="false">'Estado deseado'!$Q$158</definedName>
    <definedName function="false" hidden="false" localSheetId="6" name="RE_ME_2" vbProcedure="false">'Estado deseado'!$Q$159</definedName>
    <definedName function="false" hidden="false" localSheetId="6" name="RE_MI_1" vbProcedure="false">'Estado deseado'!$Q$155</definedName>
    <definedName function="false" hidden="false" localSheetId="6" name="RE_MI_2" vbProcedure="false">'Estado deseado'!$Q$156</definedName>
    <definedName function="false" hidden="false" localSheetId="6" name="RE_MI_3" vbProcedure="false">'Estado deseado'!$Q$157</definedName>
    <definedName function="false" hidden="false" localSheetId="6" name="RE_PR_1" vbProcedure="false">'Estado deseado'!$Q$144</definedName>
    <definedName function="false" hidden="false" localSheetId="7" name="Cumplimiento" vbProcedure="false">'Evaluación deseada'!$Q$14:$Q$18</definedName>
    <definedName function="false" hidden="false" localSheetId="7" name="CUMP_DE" vbProcedure="false">'Evaluación deseada'!$H$84</definedName>
    <definedName function="false" hidden="false" localSheetId="7" name="CUMP_DE_AE" vbProcedure="false">'Evaluación deseada'!$F$84</definedName>
    <definedName function="false" hidden="false" localSheetId="7" name="CUMP_DE_MC" vbProcedure="false">'Evaluación deseada'!$F$89</definedName>
    <definedName function="false" hidden="false" localSheetId="7" name="CUMP_DE_PD" vbProcedure="false">'Evaluación deseada'!$F$97</definedName>
    <definedName function="false" hidden="false" localSheetId="7" name="CUMP_ID" vbProcedure="false">'Evaluación deseada'!$H$14</definedName>
    <definedName function="false" hidden="false" localSheetId="7" name="CUMP_ID_AN" vbProcedure="false">'Evaluación deseada'!$F$20</definedName>
    <definedName function="false" hidden="false" localSheetId="7" name="CUMP_ID_CS" vbProcedure="false">'Evaluación deseada'!$F$38</definedName>
    <definedName function="false" hidden="false" localSheetId="7" name="CUMP_ID_ER" vbProcedure="false">'Evaluación deseada'!$F$29</definedName>
    <definedName function="false" hidden="false" localSheetId="7" name="CUMP_ID_GA" vbProcedure="false">'Evaluación deseada'!$F$14</definedName>
    <definedName function="false" hidden="false" localSheetId="7" name="CUMP_ID_GO" vbProcedure="false">'Evaluación deseada'!$F$25</definedName>
    <definedName function="false" hidden="false" localSheetId="7" name="CUMP_ID_GR" vbProcedure="false">'Evaluación deseada'!$F$35</definedName>
    <definedName function="false" hidden="false" localSheetId="7" name="CUMP_PR" vbProcedure="false">'Evaluación deseada'!$H$44</definedName>
    <definedName function="false" hidden="false" localSheetId="7" name="CUMP_PR_CA" vbProcedure="false">'Evaluación deseada'!$F$44</definedName>
    <definedName function="false" hidden="false" localSheetId="7" name="CUMP_PR_CF" vbProcedure="false">'Evaluación deseada'!$F$51</definedName>
    <definedName function="false" hidden="false" localSheetId="7" name="CUMP_PR_MA" vbProcedure="false">'Evaluación deseada'!$F$76</definedName>
    <definedName function="false" hidden="false" localSheetId="7" name="CUMP_PR_PI" vbProcedure="false">'Evaluación deseada'!$F$64</definedName>
    <definedName function="false" hidden="false" localSheetId="7" name="CUMP_PR_SD" vbProcedure="false">'Evaluación deseada'!$F$56</definedName>
    <definedName function="false" hidden="false" localSheetId="7" name="CUMP_PR_TP" vbProcedure="false">'Evaluación deseada'!$F$78</definedName>
    <definedName function="false" hidden="false" localSheetId="7" name="CUMP_RC" vbProcedure="false">'Evaluación deseada'!$H$120</definedName>
    <definedName function="false" hidden="false" localSheetId="7" name="CUMP_RC_CO" vbProcedure="false">'Evaluación deseada'!$F$123</definedName>
    <definedName function="false" hidden="false" localSheetId="7" name="CUMP_RC_ME" vbProcedure="false">'Evaluación deseada'!$F$121</definedName>
    <definedName function="false" hidden="false" localSheetId="7" name="CUMP_RC_PR" vbProcedure="false">'Evaluación deseada'!$F$120</definedName>
    <definedName function="false" hidden="false" localSheetId="7" name="CUMP_RE" vbProcedure="false">'Evaluación deseada'!$H$103</definedName>
    <definedName function="false" hidden="false" localSheetId="7" name="CUMP_RE_AN" vbProcedure="false">'Evaluación deseada'!$F$109</definedName>
    <definedName function="false" hidden="false" localSheetId="7" name="CUMP_RE_CO" vbProcedure="false">'Evaluación deseada'!$F$104</definedName>
    <definedName function="false" hidden="false" localSheetId="7" name="CUMP_RE_ME" vbProcedure="false">'Evaluación deseada'!$F$117</definedName>
    <definedName function="false" hidden="false" localSheetId="7" name="CUMP_RE_MI" vbProcedure="false">'Evaluación deseada'!$F$114</definedName>
    <definedName function="false" hidden="false" localSheetId="7" name="CUMP_RE_PR" vbProcedure="false">'Evaluación deseada'!$F$103</definedName>
    <definedName function="false" hidden="false" localSheetId="7" name="CUMP_TOTAL" vbProcedure="false">'Evaluación deseada'!$J$14</definedName>
    <definedName function="false" hidden="false" localSheetId="7" name="Madurez" vbProcedure="false">'Evaluación deseada'!$P$14:$Q$17</definedName>
    <definedName function="false" hidden="false" localSheetId="7" name="M_ID_AN_1" vbProcedure="false">'Evaluación deseada'!$E$20</definedName>
    <definedName function="false" hidden="false" localSheetId="7" name="M_ID_AN_2" vbProcedure="false">'Evaluación deseada'!$E$21</definedName>
    <definedName function="false" hidden="false" localSheetId="7" name="M_ID_AN_3" vbProcedure="false">'Evaluación deseada'!$E$22</definedName>
    <definedName function="false" hidden="false" localSheetId="7" name="M_ID_AN_4" vbProcedure="false">'Evaluación deseada'!$E$23</definedName>
    <definedName function="false" hidden="false" localSheetId="7" name="M_ID_AN_5" vbProcedure="false">'Evaluación deseada'!$E$24</definedName>
    <definedName function="false" hidden="false" localSheetId="7" name="M_ID_CS_1" vbProcedure="false">'Evaluación deseada'!$E$38</definedName>
    <definedName function="false" hidden="false" localSheetId="7" name="M_ID_CS_2" vbProcedure="false">'Evaluación deseada'!$E$39</definedName>
    <definedName function="false" hidden="false" localSheetId="7" name="M_ID_CS_3" vbProcedure="false">'Evaluación deseada'!$E$40</definedName>
    <definedName function="false" hidden="false" localSheetId="7" name="M_ID_CS_4" vbProcedure="false">'Evaluación deseada'!$E$41</definedName>
    <definedName function="false" hidden="false" localSheetId="7" name="M_ID_CS_5" vbProcedure="false">'Evaluación deseada'!$E$42</definedName>
    <definedName function="false" hidden="false" localSheetId="7" name="M_ID_ER_1" vbProcedure="false">'Evaluación deseada'!$E$29</definedName>
    <definedName function="false" hidden="false" localSheetId="7" name="M_ID_ER_2" vbProcedure="false">'Evaluación deseada'!$E$30</definedName>
    <definedName function="false" hidden="false" localSheetId="7" name="M_ID_ER_3" vbProcedure="false">'Evaluación deseada'!$E$31</definedName>
    <definedName function="false" hidden="false" localSheetId="7" name="M_ID_ER_4" vbProcedure="false">'Evaluación deseada'!$E$32</definedName>
    <definedName function="false" hidden="false" localSheetId="7" name="M_ID_ER_5" vbProcedure="false">'Evaluación deseada'!$E$33</definedName>
    <definedName function="false" hidden="false" localSheetId="7" name="M_ID_ER_6" vbProcedure="false">'Evaluación deseada'!$E$34</definedName>
    <definedName function="false" hidden="false" localSheetId="7" name="M_ID_GA_1" vbProcedure="false">'Evaluación deseada'!$E$14</definedName>
    <definedName function="false" hidden="false" localSheetId="7" name="M_ID_GA_2" vbProcedure="false">'Evaluación deseada'!$E$15</definedName>
    <definedName function="false" hidden="false" localSheetId="7" name="M_ID_GA_3" vbProcedure="false">'Evaluación deseada'!$E$16</definedName>
    <definedName function="false" hidden="false" localSheetId="7" name="M_ID_GA_4" vbProcedure="false">'Evaluación deseada'!$E$17</definedName>
    <definedName function="false" hidden="false" localSheetId="7" name="M_ID_GA_5" vbProcedure="false">'Evaluación deseada'!$E$18</definedName>
    <definedName function="false" hidden="false" localSheetId="7" name="M_ID_GA_6" vbProcedure="false">'Evaluación deseada'!$E$19</definedName>
    <definedName function="false" hidden="false" localSheetId="7" name="M_ID_GO_1" vbProcedure="false">'Evaluación deseada'!$E$25</definedName>
    <definedName function="false" hidden="false" localSheetId="7" name="M_ID_GO_2" vbProcedure="false">'Evaluación deseada'!$E$26</definedName>
    <definedName function="false" hidden="false" localSheetId="7" name="M_ID_GO_3" vbProcedure="false">'Evaluación deseada'!$E$27</definedName>
    <definedName function="false" hidden="false" localSheetId="7" name="M_ID_GO_4" vbProcedure="false">'Evaluación deseada'!$E$28</definedName>
    <definedName function="false" hidden="false" localSheetId="7" name="M_ID_GR_1" vbProcedure="false">'Evaluación deseada'!$E$35</definedName>
    <definedName function="false" hidden="false" localSheetId="7" name="M_ID_GR_2" vbProcedure="false">'Evaluación deseada'!$E$36</definedName>
    <definedName function="false" hidden="false" localSheetId="7" name="M_ID_GR_3" vbProcedure="false">'Evaluación deseada'!$E$37</definedName>
    <definedName function="false" hidden="false" localSheetId="7" name="M_PR_CA_1" vbProcedure="false">'Evaluación deseada'!$E$44</definedName>
    <definedName function="false" hidden="false" localSheetId="7" name="M_PR_CA_2" vbProcedure="false">'Evaluación deseada'!$E$45</definedName>
    <definedName function="false" hidden="false" localSheetId="7" name="M_PR_CA_3" vbProcedure="false">'Evaluación deseada'!$E$46</definedName>
    <definedName function="false" hidden="false" localSheetId="7" name="M_PR_CA_4" vbProcedure="false">'Evaluación deseada'!$E$47</definedName>
    <definedName function="false" hidden="false" localSheetId="7" name="M_PR_CA_5" vbProcedure="false">'Evaluación deseada'!$E$48</definedName>
    <definedName function="false" hidden="false" localSheetId="7" name="M_PR_CA_6" vbProcedure="false">'Evaluación deseada'!$E$49</definedName>
    <definedName function="false" hidden="false" localSheetId="7" name="M_PR_CA_7" vbProcedure="false">'Evaluación deseada'!$E$50</definedName>
    <definedName function="false" hidden="false" localSheetId="7" name="M_PR_CF_1" vbProcedure="false">'Evaluación deseada'!$E$51</definedName>
    <definedName function="false" hidden="false" localSheetId="7" name="M_PR_CF_2" vbProcedure="false">'Evaluación deseada'!$E$52</definedName>
    <definedName function="false" hidden="false" localSheetId="7" name="M_PR_CF_3" vbProcedure="false">'Evaluación deseada'!$E$53</definedName>
    <definedName function="false" hidden="false" localSheetId="7" name="M_PR_CF_4" vbProcedure="false">'Evaluación deseada'!$E$54</definedName>
    <definedName function="false" hidden="false" localSheetId="7" name="M_PR_CF_5" vbProcedure="false">'Evaluación deseada'!$E$55</definedName>
    <definedName function="false" hidden="false" localSheetId="7" name="M_PR_SD_1" vbProcedure="false">'Evaluación deseada'!$E$56</definedName>
    <definedName function="false" hidden="false" localSheetId="7" name="M_PR_SD_2" vbProcedure="false">'Evaluación deseada'!$E$57</definedName>
    <definedName function="false" hidden="false" localSheetId="7" name="M_PR_SD_3" vbProcedure="false">'Evaluación deseada'!$E$58</definedName>
    <definedName function="false" hidden="false" localSheetId="7" name="M_PR_SD_4" vbProcedure="false">'Evaluación deseada'!$E$59</definedName>
    <definedName function="false" hidden="false" localSheetId="7" name="M_PR_SD_5" vbProcedure="false">'Evaluación deseada'!$E$60</definedName>
    <definedName function="false" hidden="false" localSheetId="7" name="M_PR_SD_6" vbProcedure="false">'Evaluación deseada'!$E$61</definedName>
    <definedName function="false" hidden="false" localSheetId="7" name="M_PR_SD_7" vbProcedure="false">'Evaluación deseada'!$E$62</definedName>
    <definedName function="false" hidden="false" localSheetId="7" name="M_PR_SD_8" vbProcedure="false">'Evaluación deseada'!$E$63</definedName>
    <definedName function="false" hidden="false" localSheetId="7" name="OTRO" vbProcedure="false">'Evaluación deseada'!$P$14:$Q$17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<sst xmlns="http://schemas.openxmlformats.org/spreadsheetml/2006/main" count="3218" uniqueCount="1273">
  <si>
    <t xml:space="preserve">Madurez general:</t>
  </si>
  <si>
    <t xml:space="preserve">Madurez por función</t>
  </si>
  <si>
    <t xml:space="preserve">Función </t>
  </si>
  <si>
    <t xml:space="preserve">IDENTIFICAR (ID)</t>
  </si>
  <si>
    <t xml:space="preserve">PROTEGER (PR)</t>
  </si>
  <si>
    <t xml:space="preserve">DETECTAR (DE)</t>
  </si>
  <si>
    <t xml:space="preserve">RESPONDER (RE)</t>
  </si>
  <si>
    <t xml:space="preserve">RECUPERAR (RC)</t>
  </si>
  <si>
    <t xml:space="preserve">Categoría</t>
  </si>
  <si>
    <t xml:space="preserve">IDENTIFICAR</t>
  </si>
  <si>
    <t xml:space="preserve">Gestión de Activos (ID.GA)</t>
  </si>
  <si>
    <t xml:space="preserve">Ambiente del negocio (ID.AN)</t>
  </si>
  <si>
    <t xml:space="preserve">Gobernanza (ID.GO)</t>
  </si>
  <si>
    <t xml:space="preserve">Evaluación de riesgos (ID.ER)</t>
  </si>
  <si>
    <t xml:space="preserve">Estrategia de gestión de riesgos (ID.GR)</t>
  </si>
  <si>
    <t xml:space="preserve">Gestión del riesgo en cadena de suministros (ID.CS)</t>
  </si>
  <si>
    <t xml:space="preserve">PROTEGER</t>
  </si>
  <si>
    <t xml:space="preserve">Identidad, autenticación y control de acceso (PR.CA)</t>
  </si>
  <si>
    <t xml:space="preserve">Concientización y formación (PR.CF)</t>
  </si>
  <si>
    <t xml:space="preserve">Madurez por categoría</t>
  </si>
  <si>
    <t xml:space="preserve">Seguridad de los datos (PR.SD)</t>
  </si>
  <si>
    <t xml:space="preserve">Procesos y procedimientos para protección de información (PR.PI)</t>
  </si>
  <si>
    <t xml:space="preserve">Mantenimiento (PR.MA)</t>
  </si>
  <si>
    <t xml:space="preserve">Tecnología de protección (PR.TP)</t>
  </si>
  <si>
    <t xml:space="preserve">DETECTAR</t>
  </si>
  <si>
    <t xml:space="preserve">Anomalías y eventos (DE.AE)</t>
  </si>
  <si>
    <t xml:space="preserve">Monitoreo continuo de la seguridad (DE.MC)</t>
  </si>
  <si>
    <t xml:space="preserve">Procesos de detección (DE.PD)</t>
  </si>
  <si>
    <t xml:space="preserve">RESPONDER</t>
  </si>
  <si>
    <t xml:space="preserve">Planificación de la respuesta (RE.PR)</t>
  </si>
  <si>
    <t xml:space="preserve">Comunicaciones (RE.CO)</t>
  </si>
  <si>
    <t xml:space="preserve">Análisis (RE.AN)</t>
  </si>
  <si>
    <t xml:space="preserve">Mitigación (RE.MI)</t>
  </si>
  <si>
    <t xml:space="preserve">Mejoras (RE.ME)</t>
  </si>
  <si>
    <t xml:space="preserve">RECUPERAR</t>
  </si>
  <si>
    <t xml:space="preserve">Planificación de la recuperación (RC.PR)</t>
  </si>
  <si>
    <t xml:space="preserve">Mejoras (RC.ME)</t>
  </si>
  <si>
    <t xml:space="preserve">Comunicaciones (RC.CO)</t>
  </si>
  <si>
    <t xml:space="preserve">Madurez</t>
  </si>
  <si>
    <t xml:space="preserve">Descripción</t>
  </si>
  <si>
    <t xml:space="preserve">Nivel 0</t>
  </si>
  <si>
    <t xml:space="preserve">Las acciones vinculadas a seguridad de la información y ciberseguridad son casi o totalmente inexistentes. La organización no ha reconocido aún la necesidad de realizar esfuerzos en ciberseguridad.</t>
  </si>
  <si>
    <t xml:space="preserve">Nivel 1</t>
  </si>
  <si>
    <t xml:space="preserve">Existen algunas iniciativas sobre ciberseguridad, aunque los esfuerzos se realizan en forma aislada. Se realizan implementaciones con enfoques ad-hoc y existe alta dependencia del personal que lleva a cabo las tareas que habitualmente no se encuentran documentadas. Existe una actitud reactiva ante incidentes de seguridad.</t>
  </si>
  <si>
    <t xml:space="preserve">Nivel 2</t>
  </si>
  <si>
    <t xml:space="preserve">Se han establecido ciertos lineamientos o pautas para la ejecución de las tareas, pero aún existe dependencia del conocimiento individual. Se ha avanzado en el desarrollo de los procesos y existe cierta documentación para realizar las tareas.</t>
  </si>
  <si>
    <t xml:space="preserve">Nivel 3</t>
  </si>
  <si>
    <t xml:space="preserve">Se caracteriza por la formalización y documentación de políticas y procedimientos, así como implementaciones de alta complejidad y/o automatizaciones que centralizan y permiten iniciativas de gobernanza. Las políticas y procedimientos son difundidos, facilitan la gestión y posibilitan establecer controles y métricas. Los esfuerzos en ciberseguridad se enfocan en los procesos, las personas y la tecnología.</t>
  </si>
  <si>
    <t xml:space="preserve">Nivel 4</t>
  </si>
  <si>
    <t xml:space="preserve">El Responsable de la Seguridad de la Información (RSI) tiene un rol clave en el control y mejora del Sistema de Gestión de Seguridad de la Información (SGSI) realizando o coordinando actividades de control interno para verificar cumplimientos y desvíos. Se desarrollan las lecciones aprendidas que, junto con los controles determinan las acciones para la mejora continua. Las partes interesadas son informadas periódicamente, lo cual permite alinear los esfuerzos, estrategias y tecnologías de ciberseguridad con los objetivos y estrategias de la organización.</t>
  </si>
  <si>
    <t xml:space="preserve">AD.1</t>
  </si>
  <si>
    <t xml:space="preserve">Incluir requisitos de seguridad de la información durante todo el ciclo de vida de los proyectos de desarrollo o adquisiciones de software.</t>
  </si>
  <si>
    <t xml:space="preserve">CA.1</t>
  </si>
  <si>
    <t xml:space="preserve">Gestionar el acceso lógico.</t>
  </si>
  <si>
    <t xml:space="preserve">CA.2</t>
  </si>
  <si>
    <t xml:space="preserve">Revisar los privilegios de acceso lógico.</t>
  </si>
  <si>
    <t xml:space="preserve">CA.3</t>
  </si>
  <si>
    <t xml:space="preserve">Establecer controles criptográficos.</t>
  </si>
  <si>
    <t xml:space="preserve">CA.4</t>
  </si>
  <si>
    <t xml:space="preserve">Establecer los controles para el uso de firma electrónica.</t>
  </si>
  <si>
    <t xml:space="preserve">CN.1</t>
  </si>
  <si>
    <t xml:space="preserve">Cumplir con los requisitos normativos.</t>
  </si>
  <si>
    <t xml:space="preserve">CN.2</t>
  </si>
  <si>
    <t xml:space="preserve">Realizar auditorías independientes de seguridad de la información.</t>
  </si>
  <si>
    <t xml:space="preserve">CN.3</t>
  </si>
  <si>
    <t xml:space="preserve">Revisar regularmente los sistemas de información mediante pruebas de intrusión (ethical hacking) y evaluación de vulnerabilidades.</t>
  </si>
  <si>
    <t xml:space="preserve">CN.4</t>
  </si>
  <si>
    <t xml:space="preserve">Gestionar las licencias de software.</t>
  </si>
  <si>
    <t xml:space="preserve">CO.1</t>
  </si>
  <si>
    <t xml:space="preserve">Contar con componentes redundantes que contribuyan al normal funcionamiento del centro de datos.</t>
  </si>
  <si>
    <t xml:space="preserve">CO.2</t>
  </si>
  <si>
    <t xml:space="preserve">Los sistemas críticos de la infraestructura de telecomunicaciones, como el cableado, routers y switches (LAN, SAN, etc.), deben contar con redundancia.</t>
  </si>
  <si>
    <t xml:space="preserve">CO.3</t>
  </si>
  <si>
    <t xml:space="preserve">Establecer los medios necesarios para garantizar la continuidad de las operaciones.</t>
  </si>
  <si>
    <t xml:space="preserve">CO.4</t>
  </si>
  <si>
    <t xml:space="preserve">Planificar la continuidad de las operaciones y recuperación ante desastres.</t>
  </si>
  <si>
    <t xml:space="preserve">CO.5</t>
  </si>
  <si>
    <t xml:space="preserve">Definir las ventanas de tiempo soportadas para la continuidad de las operaciones.</t>
  </si>
  <si>
    <t xml:space="preserve">CO.6</t>
  </si>
  <si>
    <t xml:space="preserve">Definir los mecanismos de comunicación e interlocutores válidos.</t>
  </si>
  <si>
    <t xml:space="preserve">GA.1</t>
  </si>
  <si>
    <t xml:space="preserve">Identificar formalmente los activos de la organización junto con la definición de su responsable.</t>
  </si>
  <si>
    <t xml:space="preserve">GA.2</t>
  </si>
  <si>
    <t xml:space="preserve">Clasificar y proteger la información de acuerdo a la normativa y a los criterios de valoración definidos.</t>
  </si>
  <si>
    <t xml:space="preserve">GA.3</t>
  </si>
  <si>
    <t xml:space="preserve">Pautar el uso aceptable de los activos.</t>
  </si>
  <si>
    <t xml:space="preserve">GA.4</t>
  </si>
  <si>
    <t xml:space="preserve">Gestionar los medios de almacenamiento.</t>
  </si>
  <si>
    <t xml:space="preserve">GA.5</t>
  </si>
  <si>
    <t xml:space="preserve">Establecer los mecanismos para destruir la información y medios de almacenamiento.</t>
  </si>
  <si>
    <t xml:space="preserve">GH.1</t>
  </si>
  <si>
    <t xml:space="preserve">Establecer acuerdos contractuales con el personal donde figuren sus responsabilidades y las de la organización respecto a la seguridad de la información.</t>
  </si>
  <si>
    <t xml:space="preserve">GH.2</t>
  </si>
  <si>
    <t xml:space="preserve">Concientizar y formar en materia de seguridad de la información a todo el personal.</t>
  </si>
  <si>
    <t xml:space="preserve">GI.1</t>
  </si>
  <si>
    <t xml:space="preserve">Planificar la gestión de los incidentes de seguridad de la información.</t>
  </si>
  <si>
    <t xml:space="preserve">GI.2</t>
  </si>
  <si>
    <t xml:space="preserve">Contar con mecanismos que permitan evaluar los eventos de seguridad de la información y decidir si se clasifican como incidentes de seguridad de la información.</t>
  </si>
  <si>
    <t xml:space="preserve">GI.3</t>
  </si>
  <si>
    <t xml:space="preserve">Informar de forma completa e inmediata la existencia de un potencial incidente de seguridad informática al CERTuy o equipo de respuesta externo correspondiente.</t>
  </si>
  <si>
    <t xml:space="preserve">GI.4</t>
  </si>
  <si>
    <t xml:space="preserve">Registrar y reportar las violaciones a la seguridad de la información, confirmadas o sospechadas de acuerdo a los procedimientos correspondientes.</t>
  </si>
  <si>
    <t xml:space="preserve">GI.5</t>
  </si>
  <si>
    <t xml:space="preserve">Responder ante incidentes de seguridad de la información.</t>
  </si>
  <si>
    <t xml:space="preserve">GI.6</t>
  </si>
  <si>
    <t xml:space="preserve">Establecer los mecanismos que le permitan a la organización aprender de los incidentes ocurridos.</t>
  </si>
  <si>
    <t xml:space="preserve">GR.1</t>
  </si>
  <si>
    <t xml:space="preserve">Adoptar una metodología de Evaluación de Riesgo alineada a las necesidades del SGSI.</t>
  </si>
  <si>
    <t xml:space="preserve">GR.2</t>
  </si>
  <si>
    <t xml:space="preserve">Realizar de manera sistemática el proceso de evaluación de riesgos del SGSI.</t>
  </si>
  <si>
    <t xml:space="preserve">GR.3</t>
  </si>
  <si>
    <t xml:space="preserve">Tratamiento o un plan de acción correctivo sobre los riesgos encontrados y, de acuerdo a su resultado, implementar las acciones correctivas y preventivas correspondientes.</t>
  </si>
  <si>
    <t xml:space="preserve">OR.1</t>
  </si>
  <si>
    <t xml:space="preserve">Designar un Responsable de la Seguridad de la Información.</t>
  </si>
  <si>
    <t xml:space="preserve">OR.2</t>
  </si>
  <si>
    <t xml:space="preserve">Conformar un Comité de Seguridad de la Información.</t>
  </si>
  <si>
    <t xml:space="preserve">OR.3</t>
  </si>
  <si>
    <t xml:space="preserve">Definir los mecanismos para el contacto formal con autoridades y equipo de respuesta.</t>
  </si>
  <si>
    <t xml:space="preserve">OR.4</t>
  </si>
  <si>
    <t xml:space="preserve">Abordar la seguridad de la información en la gestión de los proyectos.</t>
  </si>
  <si>
    <t xml:space="preserve">OR.5</t>
  </si>
  <si>
    <t xml:space="preserve">Pautar el uso de dispositivos móviles.</t>
  </si>
  <si>
    <t xml:space="preserve">OR.6</t>
  </si>
  <si>
    <t xml:space="preserve">Establecer controles para proteger la información a la que se accede de forma remota.</t>
  </si>
  <si>
    <t xml:space="preserve">PL.1</t>
  </si>
  <si>
    <t xml:space="preserve">Establecer objetivos anuales con relación a la seguridad de la información.</t>
  </si>
  <si>
    <t xml:space="preserve">PL.2</t>
  </si>
  <si>
    <t xml:space="preserve">Revisión periódica y mejora continua del SGSI.</t>
  </si>
  <si>
    <t xml:space="preserve">PS.1</t>
  </si>
  <si>
    <t xml:space="preserve">Adoptar una Política de Seguridad de la Información.</t>
  </si>
  <si>
    <t xml:space="preserve">RP.1</t>
  </si>
  <si>
    <t xml:space="preserve">Definir acuerdos de niveles de servicio (SLA) con los proveedores de servicios críticos.</t>
  </si>
  <si>
    <t xml:space="preserve">RP.2</t>
  </si>
  <si>
    <t xml:space="preserve">Establecer pautas, realizar seguimiento y revisión de los servicios de los proveedores, y gestionar sus cambios.</t>
  </si>
  <si>
    <t xml:space="preserve">SC.1</t>
  </si>
  <si>
    <t xml:space="preserve">Los portales Web institucionales de los organismos de la Administración Central y sus dependencias deben identificarse con la extensión “gub.uy” y “mil.uy”, según corresponda.</t>
  </si>
  <si>
    <t xml:space="preserve">SC.2</t>
  </si>
  <si>
    <t xml:space="preserve">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</si>
  <si>
    <t xml:space="preserve">SC.3</t>
  </si>
  <si>
    <t xml:space="preserve">El portal del organismo jerarca deberá hacer referencia a todos los dominios y subdominios que se correspondan con todos los contenidos Web que le reporten.</t>
  </si>
  <si>
    <t xml:space="preserve">SC.4</t>
  </si>
  <si>
    <t xml:space="preserve">Los nombres de dominio del organismo o dependencias serán sus iniciales, su acrónimo, o el nombre con el cual se los conoce públicamente. Deberá justificarse que la denominación elegida sea la más representativa.</t>
  </si>
  <si>
    <t xml:space="preserve">SC.5</t>
  </si>
  <si>
    <t xml:space="preserve">La información de contacto de los responsables de los dominios y subdominios deberá ser comunicada a Agesic y actualizada en períodos de seis meses.</t>
  </si>
  <si>
    <t xml:space="preserve">SC.6</t>
  </si>
  <si>
    <t xml:space="preserve">Establecer acuerdos de no divulgación.</t>
  </si>
  <si>
    <t xml:space="preserve">SC.7</t>
  </si>
  <si>
    <t xml:space="preserve">Los servidores de correo electrónico (MTA) de dominios gubernamentales deben alojarse dentro del territorio nacional, y no se permite su implementación sobre tecnologías que no garanticen dicho requerimiento.</t>
  </si>
  <si>
    <t xml:space="preserve">SC.8</t>
  </si>
  <si>
    <t xml:space="preserve">Garantizar que los correos electrónicos en tránsito entre dos MTAs, o entre un MUA y un MTA, no comprometa la confidencialidad de la información cuando esto sea posible.</t>
  </si>
  <si>
    <t xml:space="preserve">SC.9</t>
  </si>
  <si>
    <t xml:space="preserve">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</si>
  <si>
    <t xml:space="preserve">SC.10</t>
  </si>
  <si>
    <t xml:space="preserve">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</si>
  <si>
    <t xml:space="preserve">SC.11</t>
  </si>
  <si>
    <t xml:space="preserve">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</si>
  <si>
    <t xml:space="preserve">SC.12</t>
  </si>
  <si>
    <t xml:space="preserve">Los servicios de Webmail deben implementarse sobre el protocolo HTTPS utilizando un certificado de seguridad válido. Cuando la información a transmitir vía email represente un riesgo alto para la organización, se recomienda implementar un modelo de cifrado a nivel de mensaje.</t>
  </si>
  <si>
    <t xml:space="preserve">SC.13</t>
  </si>
  <si>
    <t xml:space="preserve">Debe existir segregación a nivel de servicios de información.</t>
  </si>
  <si>
    <t xml:space="preserve">SC.14</t>
  </si>
  <si>
    <t xml:space="preserve">Mantener la seguridad de la información durante su intercambio dentro o fuera de la organización.</t>
  </si>
  <si>
    <t xml:space="preserve">SC.15</t>
  </si>
  <si>
    <t xml:space="preserve">Todo sitio Web que contenga u oficie de enlace a un trámite en línea debe tener un firewall de aplicación Web (Web Application Firewall – WAF).</t>
  </si>
  <si>
    <t xml:space="preserve">SF.1</t>
  </si>
  <si>
    <t xml:space="preserve">Implementar controles de acceso físico a las instalaciones y equipos ubicados en los centros de datos y áreas relacionadas.</t>
  </si>
  <si>
    <t xml:space="preserve">SF.2</t>
  </si>
  <si>
    <t xml:space="preserve">Implementar controles ambientales en los centros de datos y áreas relacionadas.</t>
  </si>
  <si>
    <t xml:space="preserve">SF.3</t>
  </si>
  <si>
    <t xml:space="preserve">Contar con un sistema de gestión y monitoreo centralizado capaz de alertar fallas sobre el equipamiento y establecer el mantenimiento de los componentes críticos.</t>
  </si>
  <si>
    <t xml:space="preserve">SO.1</t>
  </si>
  <si>
    <t xml:space="preserve">Gestionar las vulnerabilidades técnicas.</t>
  </si>
  <si>
    <t xml:space="preserve">SO.2</t>
  </si>
  <si>
    <t xml:space="preserve">Gestionar formalmente los cambios.</t>
  </si>
  <si>
    <t xml:space="preserve">SO.3</t>
  </si>
  <si>
    <t xml:space="preserve">Gestionar la capacidad de los servicios y recursos que se encuentran operativos.</t>
  </si>
  <si>
    <t xml:space="preserve">SO.4</t>
  </si>
  <si>
    <t xml:space="preserve">Definir entornos separados para desarrollo, pruebas y producción.</t>
  </si>
  <si>
    <t xml:space="preserve">SO.5</t>
  </si>
  <si>
    <t xml:space="preserve">Controlar software malicioso.</t>
  </si>
  <si>
    <t xml:space="preserve">SO.6</t>
  </si>
  <si>
    <t xml:space="preserve">Respaldar la información y realizar pruebas de restauración periódicas.</t>
  </si>
  <si>
    <t xml:space="preserve">SO.7</t>
  </si>
  <si>
    <t xml:space="preserve">Contar con un sistema de gestión y monitoreo centralizado capaz de alertar fallas en componentes críticos.</t>
  </si>
  <si>
    <t xml:space="preserve">SO.8</t>
  </si>
  <si>
    <t xml:space="preserve">Gestionar la instalación de software.</t>
  </si>
  <si>
    <t xml:space="preserve">Verde = linea base </t>
  </si>
  <si>
    <t xml:space="preserve">Capítulo de requisitos según Guía de implementación</t>
  </si>
  <si>
    <t xml:space="preserve">Requisito</t>
  </si>
  <si>
    <t xml:space="preserve">Cumplimiento</t>
  </si>
  <si>
    <t xml:space="preserve">Evidencias</t>
  </si>
  <si>
    <t xml:space="preserve">Comentarios</t>
  </si>
  <si>
    <t xml:space="preserve">Gestión de riesgos (GR)</t>
  </si>
  <si>
    <r>
      <rPr>
        <b val="true"/>
        <sz val="10"/>
        <color rgb="FF000000"/>
        <rFont val="Arial"/>
        <family val="0"/>
        <charset val="1"/>
      </rPr>
      <t xml:space="preserve">GR.1</t>
    </r>
    <r>
      <rPr>
        <sz val="10"/>
        <color rgb="FF000000"/>
        <rFont val="Arial"/>
        <family val="0"/>
        <charset val="1"/>
      </rPr>
      <t xml:space="preserve"> Adoptar una metodología de Evaluación de Riesgo alineada a las necesidades del SGSI.</t>
    </r>
  </si>
  <si>
    <t xml:space="preserve">Cumple</t>
  </si>
  <si>
    <r>
      <rPr>
        <b val="true"/>
        <sz val="10"/>
        <color rgb="FF000000"/>
        <rFont val="Arial"/>
        <family val="0"/>
        <charset val="1"/>
      </rPr>
      <t xml:space="preserve">GR.2</t>
    </r>
    <r>
      <rPr>
        <sz val="10"/>
        <color rgb="FF000000"/>
        <rFont val="Arial"/>
        <family val="0"/>
        <charset val="1"/>
      </rPr>
      <t xml:space="preserve"> Realizar de manera sistemática el proceso de evaluación de riesgos del SGSI.</t>
    </r>
  </si>
  <si>
    <t xml:space="preserve">No cumple</t>
  </si>
  <si>
    <r>
      <rPr>
        <b val="true"/>
        <sz val="10"/>
        <color rgb="FF000000"/>
        <rFont val="Arial"/>
        <family val="0"/>
        <charset val="1"/>
      </rPr>
      <t xml:space="preserve">GR.3</t>
    </r>
    <r>
      <rPr>
        <sz val="10"/>
        <color rgb="FF000000"/>
        <rFont val="Arial"/>
        <family val="0"/>
        <charset val="1"/>
      </rPr>
      <t xml:space="preserve"> Tratamiento o un plan de acción correctivo sobre los riesgos encontrados y, de acuerdo a su resultado, implementar las acciones correctivas y preventivas correspondientes.</t>
    </r>
  </si>
  <si>
    <t xml:space="preserve">Planificación (PL)</t>
  </si>
  <si>
    <r>
      <rPr>
        <b val="true"/>
        <sz val="10"/>
        <color rgb="FF000000"/>
        <rFont val="Arial"/>
        <family val="0"/>
        <charset val="1"/>
      </rPr>
      <t xml:space="preserve">PL.1</t>
    </r>
    <r>
      <rPr>
        <sz val="10"/>
        <color rgb="FF000000"/>
        <rFont val="Arial"/>
        <family val="0"/>
        <charset val="1"/>
      </rPr>
      <t xml:space="preserve"> Establecer objetivos anuales con relación a la seguridad de la información.</t>
    </r>
  </si>
  <si>
    <r>
      <rPr>
        <b val="true"/>
        <sz val="10"/>
        <color rgb="FF000000"/>
        <rFont val="Arial"/>
        <family val="0"/>
        <charset val="1"/>
      </rPr>
      <t xml:space="preserve">PL.2</t>
    </r>
    <r>
      <rPr>
        <sz val="10"/>
        <color rgb="FF000000"/>
        <rFont val="Arial"/>
        <family val="0"/>
        <charset val="1"/>
      </rPr>
      <t xml:space="preserve"> Revisión periódica y mejora continua del SGSI.</t>
    </r>
  </si>
  <si>
    <t xml:space="preserve">Política de seguridad de la información (PS)</t>
  </si>
  <si>
    <r>
      <rPr>
        <b val="true"/>
        <sz val="10"/>
        <color rgb="FF000000"/>
        <rFont val="Arial"/>
        <family val="0"/>
        <charset val="1"/>
      </rPr>
      <t xml:space="preserve">PS.1</t>
    </r>
    <r>
      <rPr>
        <sz val="10"/>
        <color rgb="FF000000"/>
        <rFont val="Arial"/>
        <family val="0"/>
        <charset val="1"/>
      </rPr>
      <t xml:space="preserve"> Adoptar una Política de Seguridad de la Información.</t>
    </r>
  </si>
  <si>
    <t xml:space="preserve">Organización (OR)</t>
  </si>
  <si>
    <r>
      <rPr>
        <b val="true"/>
        <sz val="10"/>
        <color rgb="FF000000"/>
        <rFont val="Arial"/>
        <family val="0"/>
        <charset val="1"/>
      </rPr>
      <t xml:space="preserve">OR.1</t>
    </r>
    <r>
      <rPr>
        <sz val="10"/>
        <color rgb="FF000000"/>
        <rFont val="Arial"/>
        <family val="0"/>
        <charset val="1"/>
      </rPr>
      <t xml:space="preserve"> Designar un Responsable de la Seguridad de la Información.</t>
    </r>
  </si>
  <si>
    <r>
      <rPr>
        <b val="true"/>
        <sz val="10"/>
        <color rgb="FF000000"/>
        <rFont val="Arial"/>
        <family val="0"/>
        <charset val="1"/>
      </rPr>
      <t xml:space="preserve">OR.2</t>
    </r>
    <r>
      <rPr>
        <sz val="10"/>
        <color rgb="FF000000"/>
        <rFont val="Arial"/>
        <family val="0"/>
        <charset val="1"/>
      </rPr>
      <t xml:space="preserve"> Conformar un Comité de Seguridad de la Información.</t>
    </r>
  </si>
  <si>
    <r>
      <rPr>
        <b val="true"/>
        <sz val="10"/>
        <color rgb="FF000000"/>
        <rFont val="Arial"/>
        <family val="0"/>
        <charset val="1"/>
      </rPr>
      <t xml:space="preserve">OR.3 </t>
    </r>
    <r>
      <rPr>
        <sz val="10"/>
        <color rgb="FF000000"/>
        <rFont val="Arial"/>
        <family val="0"/>
        <charset val="1"/>
      </rPr>
      <t xml:space="preserve">Definir los mecanismos para el contacto formal con autoridades y equipo de respuesta.</t>
    </r>
  </si>
  <si>
    <r>
      <rPr>
        <b val="true"/>
        <sz val="10"/>
        <color rgb="FF000000"/>
        <rFont val="Arial"/>
        <family val="0"/>
        <charset val="1"/>
      </rPr>
      <t xml:space="preserve">OR.4 </t>
    </r>
    <r>
      <rPr>
        <sz val="10"/>
        <color rgb="FF000000"/>
        <rFont val="Arial"/>
        <family val="0"/>
        <charset val="1"/>
      </rPr>
      <t xml:space="preserve">Abordar la seguridad de la información en la gestión de los proyectos.</t>
    </r>
  </si>
  <si>
    <r>
      <rPr>
        <b val="true"/>
        <sz val="10"/>
        <color rgb="FF000000"/>
        <rFont val="Arial"/>
        <family val="0"/>
        <charset val="1"/>
      </rPr>
      <t xml:space="preserve">OR.5 </t>
    </r>
    <r>
      <rPr>
        <sz val="10"/>
        <color rgb="FF000000"/>
        <rFont val="Arial"/>
        <family val="0"/>
        <charset val="1"/>
      </rPr>
      <t xml:space="preserve">Pautar el uso de dispositivos móviles.</t>
    </r>
  </si>
  <si>
    <t xml:space="preserve">Gestión de activos (GA)</t>
  </si>
  <si>
    <r>
      <rPr>
        <b val="true"/>
        <sz val="10"/>
        <color rgb="FF000000"/>
        <rFont val="Arial"/>
        <family val="0"/>
        <charset val="1"/>
      </rPr>
      <t xml:space="preserve">OR.6</t>
    </r>
    <r>
      <rPr>
        <sz val="10"/>
        <color rgb="FF000000"/>
        <rFont val="Arial"/>
        <family val="0"/>
        <charset val="1"/>
      </rPr>
      <t xml:space="preserve"> Establecer controles para proteger la información a la que se accede de forma remota.</t>
    </r>
  </si>
  <si>
    <t xml:space="preserve">Gestión humana (GH)</t>
  </si>
  <si>
    <r>
      <rPr>
        <b val="true"/>
        <sz val="10"/>
        <color rgb="FF000000"/>
        <rFont val="Arial"/>
        <family val="0"/>
        <charset val="1"/>
      </rPr>
      <t xml:space="preserve">GH.1 </t>
    </r>
    <r>
      <rPr>
        <sz val="10"/>
        <color rgb="FF000000"/>
        <rFont val="Arial"/>
        <family val="0"/>
        <charset val="1"/>
      </rPr>
      <t xml:space="preserve">Establecer acuerdos contractuales con el personal donde figuren sus responsabilidades y las de la organización respecto a la seguridad de la información.</t>
    </r>
  </si>
  <si>
    <r>
      <rPr>
        <b val="true"/>
        <sz val="10"/>
        <color rgb="FF000000"/>
        <rFont val="Arial"/>
        <family val="0"/>
        <charset val="1"/>
      </rPr>
      <t xml:space="preserve">GH.2</t>
    </r>
    <r>
      <rPr>
        <sz val="10"/>
        <color rgb="FF000000"/>
        <rFont val="Arial"/>
        <family val="0"/>
        <charset val="1"/>
      </rPr>
      <t xml:space="preserve"> Concientizar y formar en materia de seguridad de la información a todo el personal.</t>
    </r>
  </si>
  <si>
    <r>
      <rPr>
        <b val="true"/>
        <sz val="10"/>
        <color rgb="FF000000"/>
        <rFont val="Arial"/>
        <family val="0"/>
        <charset val="1"/>
      </rPr>
      <t xml:space="preserve">GA.1</t>
    </r>
    <r>
      <rPr>
        <sz val="10"/>
        <color rgb="FF000000"/>
        <rFont val="Arial"/>
        <family val="0"/>
        <charset val="1"/>
      </rPr>
      <t xml:space="preserve"> Identificar formalmente los activos de la organización junto con la definición de su responsable.</t>
    </r>
  </si>
  <si>
    <r>
      <rPr>
        <b val="true"/>
        <sz val="10"/>
        <color rgb="FF000000"/>
        <rFont val="Arial"/>
        <family val="0"/>
        <charset val="1"/>
      </rPr>
      <t xml:space="preserve">GA.2</t>
    </r>
    <r>
      <rPr>
        <sz val="10"/>
        <color rgb="FF000000"/>
        <rFont val="Arial"/>
        <family val="0"/>
        <charset val="1"/>
      </rPr>
      <t xml:space="preserve"> Clasificar y proteger la información de acuerdo a la normativa y a los criterios de valoración definidos.</t>
    </r>
  </si>
  <si>
    <r>
      <rPr>
        <b val="true"/>
        <sz val="10"/>
        <color rgb="FF000000"/>
        <rFont val="Arial"/>
        <family val="0"/>
        <charset val="1"/>
      </rPr>
      <t xml:space="preserve">GA.3</t>
    </r>
    <r>
      <rPr>
        <sz val="10"/>
        <color rgb="FF000000"/>
        <rFont val="Arial"/>
        <family val="0"/>
        <charset val="1"/>
      </rPr>
      <t xml:space="preserve"> Pautar el uso aceptable de los activos.</t>
    </r>
  </si>
  <si>
    <r>
      <rPr>
        <b val="true"/>
        <sz val="10"/>
        <color rgb="FF000000"/>
        <rFont val="Arial"/>
        <family val="0"/>
        <charset val="1"/>
      </rPr>
      <t xml:space="preserve">GA.4</t>
    </r>
    <r>
      <rPr>
        <sz val="10"/>
        <color rgb="FF000000"/>
        <rFont val="Arial"/>
        <family val="0"/>
        <charset val="1"/>
      </rPr>
      <t xml:space="preserve"> Gestionar los medios de almacenamiento.</t>
    </r>
  </si>
  <si>
    <r>
      <rPr>
        <b val="true"/>
        <sz val="10"/>
        <color rgb="FF000000"/>
        <rFont val="Arial"/>
        <family val="0"/>
        <charset val="1"/>
      </rPr>
      <t xml:space="preserve">GA.5</t>
    </r>
    <r>
      <rPr>
        <sz val="10"/>
        <color rgb="FF000000"/>
        <rFont val="Arial"/>
        <family val="0"/>
        <charset val="1"/>
      </rPr>
      <t xml:space="preserve"> Establecer los mecanismos para destruir la información y medios de almacenamiento.</t>
    </r>
  </si>
  <si>
    <t xml:space="preserve">Control de acceso (CA)</t>
  </si>
  <si>
    <r>
      <rPr>
        <b val="true"/>
        <sz val="10"/>
        <color rgb="FF000000"/>
        <rFont val="Arial"/>
        <family val="0"/>
        <charset val="1"/>
      </rPr>
      <t xml:space="preserve">CA.1</t>
    </r>
    <r>
      <rPr>
        <sz val="10"/>
        <color rgb="FF000000"/>
        <rFont val="Arial"/>
        <family val="0"/>
        <charset val="1"/>
      </rPr>
      <t xml:space="preserve"> Gestionar el acceso lógico.</t>
    </r>
  </si>
  <si>
    <r>
      <rPr>
        <b val="true"/>
        <sz val="10"/>
        <color rgb="FF000000"/>
        <rFont val="Arial"/>
        <family val="0"/>
        <charset val="1"/>
      </rPr>
      <t xml:space="preserve">CA.2</t>
    </r>
    <r>
      <rPr>
        <sz val="10"/>
        <color rgb="FF000000"/>
        <rFont val="Arial"/>
        <family val="0"/>
        <charset val="1"/>
      </rPr>
      <t xml:space="preserve"> Revisar los privilegios de acceso lógico.</t>
    </r>
  </si>
  <si>
    <r>
      <rPr>
        <b val="true"/>
        <sz val="10"/>
        <color rgb="FF000000"/>
        <rFont val="Arial"/>
        <family val="0"/>
        <charset val="1"/>
      </rPr>
      <t xml:space="preserve">CA.3</t>
    </r>
    <r>
      <rPr>
        <sz val="10"/>
        <color rgb="FF000000"/>
        <rFont val="Arial"/>
        <family val="0"/>
        <charset val="1"/>
      </rPr>
      <t xml:space="preserve"> Establecer controles criptográficos.</t>
    </r>
  </si>
  <si>
    <r>
      <rPr>
        <b val="true"/>
        <sz val="10"/>
        <color rgb="FF000000"/>
        <rFont val="Arial"/>
        <family val="0"/>
        <charset val="1"/>
      </rPr>
      <t xml:space="preserve">CA.4</t>
    </r>
    <r>
      <rPr>
        <sz val="10"/>
        <color rgb="FF000000"/>
        <rFont val="Arial"/>
        <family val="0"/>
        <charset val="1"/>
      </rPr>
      <t xml:space="preserve"> Establecer los controles para el uso de firma electrónica.</t>
    </r>
  </si>
  <si>
    <t xml:space="preserve">Seguridad física y del ambiente (SF)</t>
  </si>
  <si>
    <r>
      <rPr>
        <b val="true"/>
        <sz val="10"/>
        <color rgb="FF000000"/>
        <rFont val="Arial"/>
        <family val="0"/>
        <charset val="1"/>
      </rPr>
      <t xml:space="preserve">SF.1</t>
    </r>
    <r>
      <rPr>
        <sz val="10"/>
        <color rgb="FF000000"/>
        <rFont val="Arial"/>
        <family val="0"/>
        <charset val="1"/>
      </rPr>
      <t xml:space="preserve"> Implementar controles de acceso físico a las instalaciones y equipos ubicados en los centros de datos y áreas relacionadas.</t>
    </r>
  </si>
  <si>
    <r>
      <rPr>
        <b val="true"/>
        <sz val="10"/>
        <color rgb="FF000000"/>
        <rFont val="Arial"/>
        <family val="0"/>
        <charset val="1"/>
      </rPr>
      <t xml:space="preserve">SF.2</t>
    </r>
    <r>
      <rPr>
        <sz val="10"/>
        <color rgb="FF000000"/>
        <rFont val="Arial"/>
        <family val="0"/>
        <charset val="1"/>
      </rPr>
      <t xml:space="preserve"> Implementar controles ambientales en los centros de datos y áreas relacionadas.</t>
    </r>
  </si>
  <si>
    <r>
      <rPr>
        <b val="true"/>
        <sz val="10"/>
        <color rgb="FF000000"/>
        <rFont val="Arial"/>
        <family val="0"/>
        <charset val="1"/>
      </rPr>
      <t xml:space="preserve">SF.3</t>
    </r>
    <r>
      <rPr>
        <sz val="10"/>
        <color rgb="FF000000"/>
        <rFont val="Arial"/>
        <family val="0"/>
        <charset val="1"/>
      </rPr>
      <t xml:space="preserve"> Contar con un sistema de gestión y monitoreo centralizado capaz de alertar fallas en componentes críticos.</t>
    </r>
  </si>
  <si>
    <t xml:space="preserve">Seguridad de las operaciones (SO)</t>
  </si>
  <si>
    <r>
      <rPr>
        <b val="true"/>
        <sz val="10"/>
        <color rgb="FF000000"/>
        <rFont val="Arial"/>
        <family val="0"/>
        <charset val="1"/>
      </rPr>
      <t xml:space="preserve">SO.1</t>
    </r>
    <r>
      <rPr>
        <sz val="10"/>
        <color rgb="FF000000"/>
        <rFont val="Arial"/>
        <family val="0"/>
        <charset val="1"/>
      </rPr>
      <t xml:space="preserve"> Gestionar las vulnerabilidades técnicas.</t>
    </r>
  </si>
  <si>
    <r>
      <rPr>
        <b val="true"/>
        <sz val="10"/>
        <color rgb="FF000000"/>
        <rFont val="Arial"/>
        <family val="0"/>
        <charset val="1"/>
      </rPr>
      <t xml:space="preserve">SO.2 </t>
    </r>
    <r>
      <rPr>
        <sz val="10"/>
        <color rgb="FF000000"/>
        <rFont val="Arial"/>
        <family val="0"/>
        <charset val="1"/>
      </rPr>
      <t xml:space="preserve">Gestionar formalmente los cambios.</t>
    </r>
  </si>
  <si>
    <r>
      <rPr>
        <b val="true"/>
        <sz val="10"/>
        <color rgb="FF000000"/>
        <rFont val="Arial"/>
        <family val="0"/>
        <charset val="1"/>
      </rPr>
      <t xml:space="preserve">SO.3 </t>
    </r>
    <r>
      <rPr>
        <sz val="10"/>
        <color rgb="FF000000"/>
        <rFont val="Arial"/>
        <family val="0"/>
        <charset val="1"/>
      </rPr>
      <t xml:space="preserve">Gestionar la capacidad de los servicios y recursos que se encuentran operativos.</t>
    </r>
  </si>
  <si>
    <r>
      <rPr>
        <b val="true"/>
        <sz val="10"/>
        <color rgb="FF000000"/>
        <rFont val="Arial"/>
        <family val="0"/>
        <charset val="1"/>
      </rPr>
      <t xml:space="preserve">SO.4</t>
    </r>
    <r>
      <rPr>
        <sz val="10"/>
        <color rgb="FF000000"/>
        <rFont val="Arial"/>
        <family val="0"/>
        <charset val="1"/>
      </rPr>
      <t xml:space="preserve"> Definir entornos separados para desarrollo, pruebas y producción.</t>
    </r>
  </si>
  <si>
    <r>
      <rPr>
        <b val="true"/>
        <sz val="10"/>
        <color rgb="FF000000"/>
        <rFont val="Arial"/>
        <family val="0"/>
        <charset val="1"/>
      </rPr>
      <t xml:space="preserve">SO.5 </t>
    </r>
    <r>
      <rPr>
        <sz val="10"/>
        <color rgb="FF000000"/>
        <rFont val="Arial"/>
        <family val="0"/>
        <charset val="1"/>
      </rPr>
      <t xml:space="preserve">Controlar software malicioso</t>
    </r>
  </si>
  <si>
    <r>
      <rPr>
        <b val="true"/>
        <sz val="10"/>
        <color rgb="FF000000"/>
        <rFont val="Arial"/>
        <family val="0"/>
        <charset val="1"/>
      </rPr>
      <t xml:space="preserve">SO.6</t>
    </r>
    <r>
      <rPr>
        <sz val="10"/>
        <color rgb="FF000000"/>
        <rFont val="Arial"/>
        <family val="0"/>
        <charset val="1"/>
      </rPr>
      <t xml:space="preserve"> Respaldar la información y realizar pruebas de restauración periódicas.</t>
    </r>
  </si>
  <si>
    <r>
      <rPr>
        <b val="true"/>
        <sz val="10"/>
        <color rgb="FF000000"/>
        <rFont val="Arial"/>
        <family val="0"/>
        <charset val="1"/>
      </rPr>
      <t xml:space="preserve">SO.7</t>
    </r>
    <r>
      <rPr>
        <sz val="10"/>
        <color rgb="FF000000"/>
        <rFont val="Arial"/>
        <family val="0"/>
        <charset val="1"/>
      </rPr>
      <t xml:space="preserve"> Registrar y monitorear los eventos de los sistemas.</t>
    </r>
  </si>
  <si>
    <r>
      <rPr>
        <b val="true"/>
        <sz val="10"/>
        <color rgb="FF000000"/>
        <rFont val="Arial"/>
        <family val="0"/>
        <charset val="1"/>
      </rPr>
      <t xml:space="preserve">SO.8</t>
    </r>
    <r>
      <rPr>
        <sz val="10"/>
        <color rgb="FF000000"/>
        <rFont val="Arial"/>
        <family val="0"/>
        <charset val="1"/>
      </rPr>
      <t xml:space="preserve"> Gestionar la instalación de software.</t>
    </r>
  </si>
  <si>
    <t xml:space="preserve">Seguridad de las comunicaciones (SC)</t>
  </si>
  <si>
    <r>
      <rPr>
        <b val="true"/>
        <sz val="10"/>
        <color rgb="FF000000"/>
        <rFont val="Arial"/>
        <family val="0"/>
        <charset val="1"/>
      </rPr>
      <t xml:space="preserve">SC.1</t>
    </r>
    <r>
      <rPr>
        <sz val="10"/>
        <color rgb="FF000000"/>
        <rFont val="Arial"/>
        <family val="0"/>
        <charset val="1"/>
      </rPr>
      <t xml:space="preserve"> Los portales Web institucionales de los organismos de la Administración Central y sus dependencias deben identificarse con la extensión “gub.uy” y “mil.uy”, según corresponda.</t>
    </r>
  </si>
  <si>
    <r>
      <rPr>
        <b val="true"/>
        <sz val="10"/>
        <color rgb="FF000000"/>
        <rFont val="Arial"/>
        <family val="0"/>
        <charset val="1"/>
      </rPr>
      <t xml:space="preserve">SC.2</t>
    </r>
    <r>
      <rPr>
        <sz val="10"/>
        <color rgb="FF000000"/>
        <rFont val="Arial"/>
        <family val="0"/>
        <charset val="1"/>
      </rPr>
      <t xml:space="preserve"> 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t>
    </r>
  </si>
  <si>
    <r>
      <rPr>
        <b val="true"/>
        <sz val="10"/>
        <color rgb="FF000000"/>
        <rFont val="Arial"/>
        <family val="0"/>
        <charset val="1"/>
      </rPr>
      <t xml:space="preserve">SC.3</t>
    </r>
    <r>
      <rPr>
        <sz val="10"/>
        <color rgb="FF000000"/>
        <rFont val="Arial"/>
        <family val="0"/>
        <charset val="1"/>
      </rPr>
      <t xml:space="preserve"> El portal del organismo jerarca deberá hacer referencia a todos los dominios y subdominios que se correspondan con todos los contenidos Web que le reporten.</t>
    </r>
  </si>
  <si>
    <r>
      <rPr>
        <b val="true"/>
        <sz val="10"/>
        <color rgb="FF000000"/>
        <rFont val="Arial"/>
        <family val="0"/>
        <charset val="1"/>
      </rPr>
      <t xml:space="preserve">SC.4</t>
    </r>
    <r>
      <rPr>
        <sz val="10"/>
        <color rgb="FF000000"/>
        <rFont val="Arial"/>
        <family val="0"/>
        <charset val="1"/>
      </rPr>
      <t xml:space="preserve"> Los nombres de dominio del organismo o dependencias serán sus iniciales, su acrónimo, o el nombre con el cual se los conoce públicamente. Deberá justificarse que la denominación elegida sea la más representativa.</t>
    </r>
  </si>
  <si>
    <r>
      <rPr>
        <b val="true"/>
        <sz val="10"/>
        <color rgb="FF000000"/>
        <rFont val="Arial"/>
        <family val="0"/>
        <charset val="1"/>
      </rPr>
      <t xml:space="preserve">SC.5</t>
    </r>
    <r>
      <rPr>
        <sz val="10"/>
        <color rgb="FF000000"/>
        <rFont val="Arial"/>
        <family val="0"/>
        <charset val="1"/>
      </rPr>
      <t xml:space="preserve"> La información de contacto de los responsables de los dominios y subdominios deberá ser comunicada a Agesic y actualizada en períodos de seis meses.</t>
    </r>
  </si>
  <si>
    <r>
      <rPr>
        <b val="true"/>
        <sz val="10"/>
        <color rgb="FF000000"/>
        <rFont val="Arial"/>
        <family val="0"/>
        <charset val="1"/>
      </rPr>
      <t xml:space="preserve">SC.6</t>
    </r>
    <r>
      <rPr>
        <sz val="10"/>
        <color rgb="FF000000"/>
        <rFont val="Arial"/>
        <family val="0"/>
        <charset val="1"/>
      </rPr>
      <t xml:space="preserve"> Establecer acuerdos de no divulgación.</t>
    </r>
  </si>
  <si>
    <r>
      <rPr>
        <b val="true"/>
        <sz val="10"/>
        <color rgb="FF000000"/>
        <rFont val="Arial"/>
        <family val="0"/>
        <charset val="1"/>
      </rPr>
      <t xml:space="preserve">SC.7</t>
    </r>
    <r>
      <rPr>
        <sz val="10"/>
        <color rgb="FF000000"/>
        <rFont val="Arial"/>
        <family val="0"/>
        <charset val="1"/>
      </rPr>
      <t xml:space="preserve"> Los servidores de correo electrónico (MTA) de dominios gubernamentales deben alojarse dentro del territorio nacional, y no se permite su implementación sobre tecnologías que no garanticen dicho requerimiento.</t>
    </r>
  </si>
  <si>
    <r>
      <rPr>
        <b val="true"/>
        <sz val="10"/>
        <color rgb="FF000000"/>
        <rFont val="Arial"/>
        <family val="0"/>
        <charset val="1"/>
      </rPr>
      <t xml:space="preserve">SC.8 </t>
    </r>
    <r>
      <rPr>
        <sz val="10"/>
        <color rgb="FF000000"/>
        <rFont val="Arial"/>
        <family val="0"/>
        <charset val="1"/>
      </rPr>
      <t xml:space="preserve">Garantizar que los correos electrónicos en tránsito entre dos MTAs, o entre un MUA y un MTA, no comprometa la confidencialidad de la información cuando esto sea posible.</t>
    </r>
  </si>
  <si>
    <r>
      <rPr>
        <b val="true"/>
        <sz val="10"/>
        <color rgb="FF000000"/>
        <rFont val="Arial"/>
        <family val="0"/>
        <charset val="1"/>
      </rPr>
      <t xml:space="preserve">SC.9</t>
    </r>
    <r>
      <rPr>
        <sz val="10"/>
        <color rgb="FF000000"/>
        <rFont val="Arial"/>
        <family val="0"/>
        <charset val="1"/>
      </rPr>
      <t xml:space="preserve"> 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t>
    </r>
  </si>
  <si>
    <r>
      <rPr>
        <b val="true"/>
        <sz val="10"/>
        <color rgb="FF000000"/>
        <rFont val="Arial"/>
        <family val="0"/>
        <charset val="1"/>
      </rPr>
      <t xml:space="preserve">SC.10</t>
    </r>
    <r>
      <rPr>
        <sz val="10"/>
        <color rgb="FF000000"/>
        <rFont val="Arial"/>
        <family val="0"/>
        <charset val="1"/>
      </rPr>
      <t xml:space="preserve"> 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t>
    </r>
  </si>
  <si>
    <r>
      <rPr>
        <b val="true"/>
        <sz val="10"/>
        <color rgb="FF000000"/>
        <rFont val="Arial"/>
        <family val="0"/>
        <charset val="1"/>
      </rPr>
      <t xml:space="preserve">SC.11</t>
    </r>
    <r>
      <rPr>
        <sz val="10"/>
        <color rgb="FF000000"/>
        <rFont val="Arial"/>
        <family val="0"/>
        <charset val="1"/>
      </rPr>
      <t xml:space="preserve"> La implementación de canales de comunicación cifrados entre MUA y MTA de dominios gubernamentales es mandatorio,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t>
    </r>
  </si>
  <si>
    <r>
      <rPr>
        <b val="true"/>
        <sz val="10"/>
        <color rgb="FF000000"/>
        <rFont val="Arial"/>
        <family val="0"/>
        <charset val="1"/>
      </rPr>
      <t xml:space="preserve">SC.12</t>
    </r>
    <r>
      <rPr>
        <sz val="10"/>
        <color rgb="FF000000"/>
        <rFont val="Arial"/>
        <family val="0"/>
        <charset val="1"/>
      </rPr>
      <t xml:space="preserve"> Los servicios de Webmail deben implementarse sobre el protocolo HTTPS utilizando un certificado de seguridad válido. Cuando la información a transmitir vía email represente un riesgo alto para la organización, se recomienda implementar un modelo de cifrado a nivel de mensaje.</t>
    </r>
  </si>
  <si>
    <r>
      <rPr>
        <b val="true"/>
        <sz val="10"/>
        <color rgb="FF000000"/>
        <rFont val="Arial"/>
        <family val="0"/>
        <charset val="1"/>
      </rPr>
      <t xml:space="preserve">SC.13</t>
    </r>
    <r>
      <rPr>
        <sz val="10"/>
        <color rgb="FF000000"/>
        <rFont val="Arial"/>
        <family val="0"/>
        <charset val="1"/>
      </rPr>
      <t xml:space="preserve"> Debe existir segregación a nivel de servicios de información.</t>
    </r>
  </si>
  <si>
    <r>
      <rPr>
        <b val="true"/>
        <sz val="10"/>
        <color rgb="FF000000"/>
        <rFont val="Arial"/>
        <family val="0"/>
        <charset val="1"/>
      </rPr>
      <t xml:space="preserve">SC.14 </t>
    </r>
    <r>
      <rPr>
        <sz val="10"/>
        <color rgb="FF000000"/>
        <rFont val="Arial"/>
        <family val="0"/>
        <charset val="1"/>
      </rPr>
      <t xml:space="preserve">Mantener la seguridad de la información durante su intercambio dentro o fuera de la organización.</t>
    </r>
  </si>
  <si>
    <r>
      <rPr>
        <b val="true"/>
        <sz val="10"/>
        <color rgb="FF000000"/>
        <rFont val="Arial"/>
        <family val="0"/>
        <charset val="1"/>
      </rPr>
      <t xml:space="preserve">SC.15</t>
    </r>
    <r>
      <rPr>
        <sz val="10"/>
        <color rgb="FF000000"/>
        <rFont val="Arial"/>
        <family val="0"/>
        <charset val="1"/>
      </rPr>
      <t xml:space="preserve"> Todo sitio Web que contenga u oficie de enlace a un trámite en línea debe tener un firewall de aplicación Web (Web Application Firewall – WAF).</t>
    </r>
  </si>
  <si>
    <t xml:space="preserve">Adquisición, desarrollo y mantenimiento de los sistemas (AD)</t>
  </si>
  <si>
    <r>
      <rPr>
        <b val="true"/>
        <sz val="10"/>
        <color rgb="FF000000"/>
        <rFont val="Arial"/>
        <family val="0"/>
        <charset val="1"/>
      </rPr>
      <t xml:space="preserve">AD.1</t>
    </r>
    <r>
      <rPr>
        <sz val="10"/>
        <color rgb="FF000000"/>
        <rFont val="Arial"/>
        <family val="0"/>
        <charset val="1"/>
      </rPr>
      <t xml:space="preserve"> Incluir requisitos de seguridad de la información durante todo el ciclo de vida de los proyectos de desarrollo o adquisiciones de software.</t>
    </r>
  </si>
  <si>
    <t xml:space="preserve">Relación con proveedores (RP)</t>
  </si>
  <si>
    <r>
      <rPr>
        <b val="true"/>
        <sz val="10"/>
        <color rgb="FF000000"/>
        <rFont val="Arial"/>
        <family val="0"/>
        <charset val="1"/>
      </rPr>
      <t xml:space="preserve">RP.1</t>
    </r>
    <r>
      <rPr>
        <sz val="10"/>
        <color rgb="FF000000"/>
        <rFont val="Arial"/>
        <family val="0"/>
        <charset val="1"/>
      </rPr>
      <t xml:space="preserve"> Definir acuerdos de niveles de servicio (SLA) con los proveedores de servicios críticos.</t>
    </r>
  </si>
  <si>
    <r>
      <rPr>
        <b val="true"/>
        <sz val="10"/>
        <color rgb="FF000000"/>
        <rFont val="Arial"/>
        <family val="0"/>
        <charset val="1"/>
      </rPr>
      <t xml:space="preserve">RP.2</t>
    </r>
    <r>
      <rPr>
        <sz val="10"/>
        <color rgb="FF000000"/>
        <rFont val="Arial"/>
        <family val="0"/>
        <charset val="1"/>
      </rPr>
      <t xml:space="preserve"> Establecer pautas, realizar seguimiento y revisión de los servicios de los proveedores, y gestionar sus cambios.</t>
    </r>
  </si>
  <si>
    <t xml:space="preserve">Gestión de incidentes (GI)</t>
  </si>
  <si>
    <r>
      <rPr>
        <b val="true"/>
        <sz val="10"/>
        <color rgb="FF000000"/>
        <rFont val="Arial"/>
        <family val="0"/>
        <charset val="1"/>
      </rPr>
      <t xml:space="preserve">GI.1</t>
    </r>
    <r>
      <rPr>
        <sz val="10"/>
        <color rgb="FF000000"/>
        <rFont val="Arial"/>
        <family val="0"/>
        <charset val="1"/>
      </rPr>
      <t xml:space="preserve"> Planificar la gestión de los incidentes de seguridad de la información.</t>
    </r>
  </si>
  <si>
    <r>
      <rPr>
        <b val="true"/>
        <sz val="10"/>
        <color rgb="FF000000"/>
        <rFont val="Arial"/>
        <family val="0"/>
        <charset val="1"/>
      </rPr>
      <t xml:space="preserve">GI.2</t>
    </r>
    <r>
      <rPr>
        <sz val="10"/>
        <color rgb="FF000000"/>
        <rFont val="Arial"/>
        <family val="0"/>
        <charset val="1"/>
      </rPr>
      <t xml:space="preserve"> Contar con mecanismos que permitan evaluar los eventos de seguridad de la información y decidir si se clasifican como incidentes de seguridad de la información.</t>
    </r>
  </si>
  <si>
    <r>
      <rPr>
        <b val="true"/>
        <sz val="10"/>
        <color rgb="FF000000"/>
        <rFont val="Arial"/>
        <family val="0"/>
        <charset val="1"/>
      </rPr>
      <t xml:space="preserve">GI.3 </t>
    </r>
    <r>
      <rPr>
        <sz val="10"/>
        <color rgb="FF000000"/>
        <rFont val="Arial"/>
        <family val="0"/>
        <charset val="1"/>
      </rPr>
      <t xml:space="preserve">Informar de forma completa e inmediata la existencia de un potencial incidente de seguridad informática al CERTuy o equipo de respuesta externo correspondiente.</t>
    </r>
  </si>
  <si>
    <r>
      <rPr>
        <b val="true"/>
        <sz val="10"/>
        <color rgb="FF000000"/>
        <rFont val="Arial"/>
        <family val="0"/>
        <charset val="1"/>
      </rPr>
      <t xml:space="preserve">GI.4</t>
    </r>
    <r>
      <rPr>
        <sz val="10"/>
        <color rgb="FF000000"/>
        <rFont val="Arial"/>
        <family val="0"/>
        <charset val="1"/>
      </rPr>
      <t xml:space="preserve"> Registrar y reportar las violaciones a la seguridad de la información, confirmadas o sospechadas de acuerdo a los procedimientos correspondientes.</t>
    </r>
  </si>
  <si>
    <r>
      <rPr>
        <b val="true"/>
        <sz val="10"/>
        <color rgb="FF000000"/>
        <rFont val="Arial"/>
        <family val="0"/>
        <charset val="1"/>
      </rPr>
      <t xml:space="preserve">GI.5</t>
    </r>
    <r>
      <rPr>
        <sz val="10"/>
        <color rgb="FF000000"/>
        <rFont val="Arial"/>
        <family val="0"/>
        <charset val="1"/>
      </rPr>
      <t xml:space="preserve"> Responder ante incidentes de seguridad de la información.</t>
    </r>
  </si>
  <si>
    <r>
      <rPr>
        <b val="true"/>
        <sz val="10"/>
        <color rgb="FF000000"/>
        <rFont val="Arial"/>
        <family val="0"/>
        <charset val="1"/>
      </rPr>
      <t xml:space="preserve">GI.6 </t>
    </r>
    <r>
      <rPr>
        <sz val="10"/>
        <color rgb="FF000000"/>
        <rFont val="Arial"/>
        <family val="0"/>
        <charset val="1"/>
      </rPr>
      <t xml:space="preserve">Establecer los mecanismos que le permitan a la organización aprender de los incidentes ocurridos.</t>
    </r>
  </si>
  <si>
    <t xml:space="preserve">Continuidad de las operaciones (CO)</t>
  </si>
  <si>
    <r>
      <rPr>
        <b val="true"/>
        <sz val="10"/>
        <color rgb="FF000000"/>
        <rFont val="Arial"/>
        <family val="0"/>
        <charset val="1"/>
      </rPr>
      <t xml:space="preserve">CO.1</t>
    </r>
    <r>
      <rPr>
        <sz val="10"/>
        <color rgb="FF000000"/>
        <rFont val="Arial"/>
        <family val="0"/>
        <charset val="1"/>
      </rPr>
      <t xml:space="preserve"> Contar con componentes redundantes que contribuyan al normal funcionamiento del centro de datos.</t>
    </r>
  </si>
  <si>
    <r>
      <rPr>
        <b val="true"/>
        <sz val="10"/>
        <color rgb="FF000000"/>
        <rFont val="Arial"/>
        <family val="0"/>
        <charset val="1"/>
      </rPr>
      <t xml:space="preserve">CO.2</t>
    </r>
    <r>
      <rPr>
        <sz val="10"/>
        <color rgb="FF000000"/>
        <rFont val="Arial"/>
        <family val="0"/>
        <charset val="1"/>
      </rPr>
      <t xml:space="preserve"> Los sistemas críticos de la infraestructura de telecomunicaciones, como el cableado, routers y switches (LAN, SAN, etc.), deben contar con redundancia.</t>
    </r>
  </si>
  <si>
    <r>
      <rPr>
        <b val="true"/>
        <sz val="10"/>
        <color rgb="FF000000"/>
        <rFont val="Arial"/>
        <family val="0"/>
        <charset val="1"/>
      </rPr>
      <t xml:space="preserve">CO.3</t>
    </r>
    <r>
      <rPr>
        <sz val="10"/>
        <color rgb="FF000000"/>
        <rFont val="Arial"/>
        <family val="0"/>
        <charset val="1"/>
      </rPr>
      <t xml:space="preserve"> Establecer los medios necesarios para garantizar la continuidad de las operaciones.</t>
    </r>
  </si>
  <si>
    <r>
      <rPr>
        <b val="true"/>
        <sz val="10"/>
        <color rgb="FF000000"/>
        <rFont val="Arial"/>
        <family val="0"/>
        <charset val="1"/>
      </rPr>
      <t xml:space="preserve">CO.4</t>
    </r>
    <r>
      <rPr>
        <sz val="10"/>
        <color rgb="FF000000"/>
        <rFont val="Arial"/>
        <family val="0"/>
        <charset val="1"/>
      </rPr>
      <t xml:space="preserve"> Planificar la continuidad de las operaciones y recuperación ante desastres.</t>
    </r>
  </si>
  <si>
    <r>
      <rPr>
        <b val="true"/>
        <sz val="10"/>
        <color rgb="FF000000"/>
        <rFont val="Arial"/>
        <family val="0"/>
        <charset val="1"/>
      </rPr>
      <t xml:space="preserve">CO.5</t>
    </r>
    <r>
      <rPr>
        <sz val="10"/>
        <color rgb="FF000000"/>
        <rFont val="Arial"/>
        <family val="0"/>
        <charset val="1"/>
      </rPr>
      <t xml:space="preserve"> Definir las ventanas de tiempo soportadas para la continuidad de las operaciones.</t>
    </r>
  </si>
  <si>
    <r>
      <rPr>
        <b val="true"/>
        <sz val="10"/>
        <color rgb="FF000000"/>
        <rFont val="Arial"/>
        <family val="0"/>
        <charset val="1"/>
      </rPr>
      <t xml:space="preserve">CO.6 </t>
    </r>
    <r>
      <rPr>
        <sz val="10"/>
        <color rgb="FF000000"/>
        <rFont val="Arial"/>
        <family val="0"/>
        <charset val="1"/>
      </rPr>
      <t xml:space="preserve">Definir los mecanismos de comunicación e interlocutores válidos.</t>
    </r>
  </si>
  <si>
    <t xml:space="preserve">Cumplimiento normativo (CN)</t>
  </si>
  <si>
    <r>
      <rPr>
        <b val="true"/>
        <sz val="10"/>
        <color rgb="FF000000"/>
        <rFont val="Arial"/>
        <family val="0"/>
        <charset val="1"/>
      </rPr>
      <t xml:space="preserve">CN.1</t>
    </r>
    <r>
      <rPr>
        <sz val="10"/>
        <color rgb="FF000000"/>
        <rFont val="Arial"/>
        <family val="0"/>
        <charset val="1"/>
      </rPr>
      <t xml:space="preserve"> Cumplir con los requisitos normativos.</t>
    </r>
  </si>
  <si>
    <r>
      <rPr>
        <b val="true"/>
        <sz val="10"/>
        <color rgb="FF000000"/>
        <rFont val="Arial"/>
        <family val="0"/>
        <charset val="1"/>
      </rPr>
      <t xml:space="preserve">CN.2</t>
    </r>
    <r>
      <rPr>
        <sz val="10"/>
        <color rgb="FF000000"/>
        <rFont val="Arial"/>
        <family val="0"/>
        <charset val="1"/>
      </rPr>
      <t xml:space="preserve"> Realizar auditorías independientes de seguridad de la información.</t>
    </r>
  </si>
  <si>
    <r>
      <rPr>
        <b val="true"/>
        <sz val="10"/>
        <color rgb="FF000000"/>
        <rFont val="Arial"/>
        <family val="0"/>
        <charset val="1"/>
      </rPr>
      <t xml:space="preserve">CN.3</t>
    </r>
    <r>
      <rPr>
        <sz val="10"/>
        <color rgb="FF000000"/>
        <rFont val="Arial"/>
        <family val="0"/>
        <charset val="1"/>
      </rPr>
      <t xml:space="preserve"> Revisar regularmente los sistemas de información mediante pruebas de intrusión (ethical hacking) y evaluación de vulnerabilidades.</t>
    </r>
  </si>
  <si>
    <r>
      <rPr>
        <b val="true"/>
        <sz val="10"/>
        <color rgb="FF000000"/>
        <rFont val="Arial"/>
        <family val="0"/>
        <charset val="1"/>
      </rPr>
      <t xml:space="preserve">CN.4</t>
    </r>
    <r>
      <rPr>
        <sz val="10"/>
        <color rgb="FF000000"/>
        <rFont val="Arial"/>
        <family val="0"/>
        <charset val="1"/>
      </rPr>
      <t xml:space="preserve"> Gestionar las licencias de software.</t>
    </r>
  </si>
  <si>
    <t xml:space="preserve">Función</t>
  </si>
  <si>
    <t xml:space="preserve">Subcategoría</t>
  </si>
  <si>
    <t xml:space="preserve">Madurez subcat.</t>
  </si>
  <si>
    <t xml:space="preserve">Madurez promedio categoria</t>
  </si>
  <si>
    <t xml:space="preserve">Nivel</t>
  </si>
  <si>
    <r>
      <rPr>
        <b val="true"/>
        <sz val="12"/>
        <color rgb="FF333399"/>
        <rFont val="Arial"/>
        <family val="0"/>
        <charset val="1"/>
      </rPr>
      <t xml:space="preserve">Gestión de Activos (ID.GA.)
</t>
    </r>
    <r>
      <rPr>
        <sz val="8"/>
        <color rgb="FF333399"/>
        <rFont val="Arial"/>
        <family val="0"/>
        <charset val="1"/>
      </rPr>
      <t xml:space="preserve">Los datos, personal, dispositivos, sistemas e instalaciones que permiten a la organización alcanzar sus objetivos de negocio, se identifican y gestionan según su importancia relativa respecto a los objetivos y la estrategia de riesgo de la organización.</t>
    </r>
  </si>
  <si>
    <t xml:space="preserve">ID.GA-1. Los dispositivos físicos y los sistemas de la organización están inventariados</t>
  </si>
  <si>
    <t xml:space="preserve">ID.GA-2. Las plataformas de software y las aplicaciones de la organización están inventariadas</t>
  </si>
  <si>
    <t xml:space="preserve">ID.GA-3. Está mapeada toda la comunicación y los flujos de datos que existen dentro de la organización</t>
  </si>
  <si>
    <t xml:space="preserve">ID.GA-4. Los sistemas externos de información que se utilizan en la organización están identificados y catalogados</t>
  </si>
  <si>
    <t xml:space="preserve">ID.GA-5. Los activos (hardware, dispositivos, datos, tiempo, personal y software) se priorizan en base a su clasificación, criticidad y valor para el negocio</t>
  </si>
  <si>
    <t xml:space="preserve">ID.GA-6. Están establecidos los roles y responsabilidades de ciberseguridad para todo el personal y terceros (proveedores, clientes, socios)</t>
  </si>
  <si>
    <r>
      <rPr>
        <b val="true"/>
        <sz val="12"/>
        <color rgb="FF333399"/>
        <rFont val="Arial"/>
        <family val="0"/>
        <charset val="1"/>
      </rPr>
      <t xml:space="preserve">Ambiente del negocio (ID.AN.)
</t>
    </r>
    <r>
      <rPr>
        <sz val="8"/>
        <color rgb="FF333399"/>
        <rFont val="Arial"/>
        <family val="0"/>
        <charset val="1"/>
      </rPr>
      <t xml:space="preserve">La misión de la organización, sus objetivos, interesados y actividades son comprendidos y priorizados; esta información es utilizada para apoyar la toma de decisiones sobre roles, responsabilidades y gestión de riesgos, relacionados con la ciberseguridad.</t>
    </r>
  </si>
  <si>
    <t xml:space="preserve">ID.AN-1. El rol de la organización en la cadena global de suministros está identificado y es comunicado</t>
  </si>
  <si>
    <t xml:space="preserve">ID.AN-2. El lugar que ocupa la organización en la infraestructura crítica y en su sector de industria está identificado y es comunicado</t>
  </si>
  <si>
    <t xml:space="preserve">ID.AN-3. Se han establecido y se comunican las prioridades para la misión de la organización, sus objetivos y actividades</t>
  </si>
  <si>
    <t xml:space="preserve">ID.AN-4. Se han definido las dependencias y funciones críticas para la entrega de los servicios críticos</t>
  </si>
  <si>
    <t xml:space="preserve">ID.AN-5. Se han establecido los requerimientos de resiliencia para soportar la entrega de los servicios críticos en cualquier situación operativa (bajo presión o ataque, en recuperación o en normalidad)</t>
  </si>
  <si>
    <r>
      <rPr>
        <b val="true"/>
        <sz val="12"/>
        <color rgb="FF333399"/>
        <rFont val="Arial"/>
        <family val="0"/>
        <charset val="1"/>
      </rPr>
      <t xml:space="preserve">Gobernanza (ID.GO.)
</t>
    </r>
    <r>
      <rPr>
        <sz val="8"/>
        <color rgb="FF333399"/>
        <rFont val="Arial"/>
        <family val="0"/>
        <charset val="1"/>
      </rPr>
      <t xml:space="preserve">Las políticas, procedimientos y procesos para gestionar y monitorear los requisitos regulatorios, legales, ambientales y operativos de la organización, son comprendidos y la gestión de los riesgos de ciberseguridad.</t>
    </r>
  </si>
  <si>
    <t xml:space="preserve">ID.GO-1. La política de seguridad de la información está establecida y es comunicada</t>
  </si>
  <si>
    <t xml:space="preserve">ID.GO-2. Los roles y las responsabilidades de ciberseguridad están coordinados y se alinean con roles internos y socios externos</t>
  </si>
  <si>
    <t xml:space="preserve">ID.GO-3. Los requisitos legales y regulatorios sobre la ciberseguridad, incluyendo las obligaciones de privacidad y las libertades civiles son comprendidos y se gestionan</t>
  </si>
  <si>
    <t xml:space="preserve">ID.GO-4. Los procesos de gobernanza y gestión del riesgo toman en consideración los riesgos de ciberseguridad</t>
  </si>
  <si>
    <r>
      <rPr>
        <b val="true"/>
        <sz val="12"/>
        <color rgb="FF333399"/>
        <rFont val="Arial"/>
        <family val="0"/>
        <charset val="1"/>
      </rPr>
      <t xml:space="preserve">Evaluación de Riesgos (ID.ER.)
</t>
    </r>
    <r>
      <rPr>
        <sz val="8"/>
        <color rgb="FF333399"/>
        <rFont val="Arial"/>
        <family val="0"/>
        <charset val="1"/>
      </rPr>
      <t xml:space="preserve">La organización comprende cuales son los riegos de ciberseguridad que enfrentan sus operaciones (incluyendo misión, funciones, imagen o reputación), activos e individuos.</t>
    </r>
  </si>
  <si>
    <t xml:space="preserve">ID.ER-1. Se identifican y documentan las vulnerabilidades de los activos</t>
  </si>
  <si>
    <t xml:space="preserve">ID.ER-2. Se recibe de parte de grupos, foros y fuentes especializadas, información e inteligencia sobre ciberamenazas</t>
  </si>
  <si>
    <t xml:space="preserve">ID.ER-3. Se identifican y documentan las amenazas, tanto internas como externas</t>
  </si>
  <si>
    <t xml:space="preserve">ID.ER-4. Se han identificado los impactos potenciales sobre el negocio y sus probabilidades de ocurrencia</t>
  </si>
  <si>
    <t xml:space="preserve">ID.ER-5. Las amenazas, vulnerabilidades, probabilidad de ocurrencia e impactos, se utilizan para determinar el riesgo</t>
  </si>
  <si>
    <t xml:space="preserve">ID.ER-6. Se han identificado y priorizado las respuestas ante los riesgos</t>
  </si>
  <si>
    <r>
      <rPr>
        <b val="true"/>
        <sz val="12"/>
        <color rgb="FF333399"/>
        <rFont val="Arial"/>
        <family val="0"/>
        <charset val="1"/>
      </rPr>
      <t xml:space="preserve">Estrategia de gestión de riesgos (ID.GR.)
</t>
    </r>
    <r>
      <rPr>
        <sz val="8"/>
        <color rgb="FF333399"/>
        <rFont val="Arial"/>
        <family val="0"/>
        <charset val="1"/>
      </rPr>
      <t xml:space="preserve">Se establecen las prioridades, restricciones, tolerancia al riesgo y supuestos de la organización y se les utiliza para dar apoyo a la toma de decisiones sobre riesgos operativos.</t>
    </r>
  </si>
  <si>
    <t xml:space="preserve">ID.GR-1. Los procesos de gestión de riesgos están establecidos, son gestionados y son aprobados por todos los interesados de la organización</t>
  </si>
  <si>
    <t xml:space="preserve">ID.GR-2. La tolerancia de la organización ante el riesgo está determinada y claramente expresada</t>
  </si>
  <si>
    <t xml:space="preserve">ID.GR-3. La tolerancia de la organización ante el riesgo considera su rol dentro de la infraestructura crítica así como la evaluación de riesgos específicos del sector al que pertenece.</t>
  </si>
  <si>
    <r>
      <rPr>
        <b val="true"/>
        <sz val="12"/>
        <color rgb="FF333399"/>
        <rFont val="Arial"/>
        <family val="0"/>
        <charset val="1"/>
      </rPr>
      <t xml:space="preserve">Gestión del riesgo en la cadena de suministros (ID.CS.)
</t>
    </r>
    <r>
      <rPr>
        <sz val="8"/>
        <color rgb="FF333399"/>
        <rFont val="Arial"/>
        <family val="0"/>
        <charset val="1"/>
      </rPr>
      <t xml:space="preserve">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</si>
  <si>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t xml:space="preserve">ID.CS-1. Los procesos de gestión del riesgo de la cibercadena de suministros están identificados, establecidos, evaluados, gestionados y acordados por todas las partes interesadas de la organización.</t>
  </si>
  <si>
    <t xml:space="preserve">ID.CS-2. Los proveedores de sistemas, componentes y servicios de información así como también otros terceros vinculados, están identificados y priorizados y son evaluados mediante un proceso de evaluación del riesgo en la cibercadena de suministros.</t>
  </si>
  <si>
    <t xml:space="preserve">ID.CS-3. Se utilizan los contratos con proveedores y otros terceros vinculados, para implementar medidas apropiadas destinadas a cumplir con los objetivos del programa de ciberseguridad de la organización y con su plan de gestión de riesgos en la cibercadena de suministros.</t>
  </si>
  <si>
    <t xml:space="preserve">ID.CS-4. Los proveedores y otros terceros vinculados son evaluados rutinariamente mediante auditorías, resultados de pruebas u otras formas de evaluación, para confirmar que están en cumplimiento de sus obligaciones contractuales.</t>
  </si>
  <si>
    <t xml:space="preserve">ID.CS-5. Las pruebas de los planes de respuesta y recuperación involucran a proveedores y otros terceros vinculados.</t>
  </si>
  <si>
    <r>
      <rPr>
        <b val="true"/>
        <sz val="12"/>
        <color rgb="FF333399"/>
        <rFont val="Arial"/>
        <family val="0"/>
        <charset val="1"/>
      </rPr>
      <t xml:space="preserve">Gestión de Identidad, Autenticación y Control de Acceso (PR.CA.)
</t>
    </r>
    <r>
      <rPr>
        <sz val="8"/>
        <color rgb="FF333399"/>
        <rFont val="Arial"/>
        <family val="0"/>
        <charset val="1"/>
      </rPr>
      <t xml:space="preserve">El acceso a los activos físicos y lógicos e instalaciones asociadas, se limita a usuarios, procesos y dispositivos autorizados, y se le gestiona de acuerdo con el riesgo determinado para el acceso no autorizado a actividades y transacciones autorizadas.</t>
    </r>
  </si>
  <si>
    <t xml:space="preserve">PR.CA-1. Las identidades y credenciales para usuarios, dispositivos y procesos autorizados son creadas, gestionadas, verificadas, revocadas y auditadas.</t>
  </si>
  <si>
    <t xml:space="preserve">PR.CA-2. Se gestiona y protege el acceso físico a los activos.</t>
  </si>
  <si>
    <t xml:space="preserve">PR.CA-3. Se gestiona el acceso remoto.</t>
  </si>
  <si>
    <t xml:space="preserve">PR.CA-4. Los permisos de acceso y las autorizaciones son gestionados, incorporando los principios de menor privilegio y segregación de funciones.</t>
  </si>
  <si>
    <t xml:space="preserve">PR.CA-5. Se protege la integridad de la red aplicando segregación y segmentación cuando es apropiado</t>
  </si>
  <si>
    <t xml:space="preserve">PR.CA-6. Las identidades son verificadas y vinculadas a las credenciales, y se les reconfirma durante las interacciones.</t>
  </si>
  <si>
    <t xml:space="preserve">PR.CA-7. Los usuarios, dispositivos y demás activos son autenticados de forma acorde (uno o más factores) al riesgo de la transacción (seguridad y riesgos de privacidad del individuo y otros riesgos organizacionales).</t>
  </si>
  <si>
    <r>
      <rPr>
        <b val="true"/>
        <sz val="12"/>
        <color rgb="FF333399"/>
        <rFont val="Arial"/>
        <family val="0"/>
        <charset val="1"/>
      </rPr>
      <t xml:space="preserve">Concientización y formación (PR.CF.)
</t>
    </r>
    <r>
      <rPr>
        <sz val="8"/>
        <color rgb="FF333399"/>
        <rFont val="Arial"/>
        <family val="0"/>
        <charset val="1"/>
      </rPr>
      <t xml:space="preserve">El personal de la organización y socios de negocios, reciben entrenamiento y concientización sobre ciberseguridad. Están adecuadamente entrenados para cumplir con sus obligaciones referentes a ciberseguridad de acuerdo con las políticas, procedimientos y acuerdos existentes.</t>
    </r>
  </si>
  <si>
    <t xml:space="preserve">PR.CF-1. Todos los usuarios están entrenados e informados</t>
  </si>
  <si>
    <t xml:space="preserve">PR.CF-2. Los usuarios privilegiados comprenden sus roles y responsabilidades</t>
  </si>
  <si>
    <t xml:space="preserve">PR.CF-3. Interesados externos (proveedores, clientes, socios) comprenden sus roles y responsabilidades</t>
  </si>
  <si>
    <t xml:space="preserve">PR.CF-4. La gerencia ejecutiva comprende sus roles y responsabilidades</t>
  </si>
  <si>
    <t xml:space="preserve">PR.CF-5. El personal de seguridad física y de ciberseguridad comprende sus roles y responsabilidades</t>
  </si>
  <si>
    <r>
      <rPr>
        <b val="true"/>
        <sz val="12"/>
        <color rgb="FF333399"/>
        <rFont val="Arial"/>
        <family val="0"/>
        <charset val="1"/>
      </rPr>
      <t xml:space="preserve">Seguridad de los datos (PR.SD.)
</t>
    </r>
    <r>
      <rPr>
        <sz val="8"/>
        <color rgb="FF333399"/>
        <rFont val="Arial"/>
        <family val="0"/>
        <charset val="1"/>
      </rPr>
      <t xml:space="preserve">La información y los registros (datos) se gestionan de acuerdo con la estrategia de riesgo de la organización para proteger la confidencialidad, integridad y disponibilidad de la información.</t>
    </r>
  </si>
  <si>
    <t xml:space="preserve">PR.SD-1. Los datos en reposo se encuentran protegidos</t>
  </si>
  <si>
    <t xml:space="preserve">PR.SD-2. Los datos en tránsito se encuentran protegidos</t>
  </si>
  <si>
    <t xml:space="preserve">PR.SD-3. Los activos se manejan formalmente durante su retiro de servicio, transferencia o eliminación definitiva</t>
  </si>
  <si>
    <t xml:space="preserve">PR.SD-4. Se mantiene una adecuada capacidad para asegurar la disponibilidad</t>
  </si>
  <si>
    <t xml:space="preserve">PR.SD-5. Se implementan medidas de protección contra fuga de datos</t>
  </si>
  <si>
    <t xml:space="preserve">PR.SD-6. Se realizan chequeos de integridad para verificar software, firmware e integridad de la información</t>
  </si>
  <si>
    <t xml:space="preserve">PR.SD-7. Los entornos de desarrollo y pruebas están separados del entorno de producción</t>
  </si>
  <si>
    <t xml:space="preserve">PR.SD-8. Se utilizan mecanismos de verificación de integridad sobre el hardware.</t>
  </si>
  <si>
    <r>
      <rPr>
        <b val="true"/>
        <sz val="12"/>
        <color rgb="FF333399"/>
        <rFont val="Arial"/>
        <family val="0"/>
        <charset val="1"/>
      </rPr>
      <t xml:space="preserve">Procesos y procedimientos para la protección de la información (PR.PI.)
</t>
    </r>
    <r>
      <rPr>
        <sz val="8"/>
        <color rgb="FF333399"/>
        <rFont val="Arial"/>
        <family val="0"/>
        <charset val="1"/>
      </rPr>
      <t xml:space="preserve">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</si>
  <si>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t xml:space="preserve">PR.PI-1. Existe una configuración básica para los sistemas de información y de control industrial, la misma es mantenida e incorpora principios de seguridad (concepto de mínima funcionalidad).</t>
  </si>
  <si>
    <t xml:space="preserve">PR.PI-2. Se implementa un ciclo de vida de desarrollo para gestionar los sistemas</t>
  </si>
  <si>
    <t xml:space="preserve">PR.PI-3. Existen procesos de gestión del cambio para las configuraciones</t>
  </si>
  <si>
    <t xml:space="preserve">PR.PI-4. Se realizan y mantienen respaldos de la información y se les verifica regularmente</t>
  </si>
  <si>
    <t xml:space="preserve">PR.PI-5. Se cumple con las políticas y reglamentaciones relacionadas con el medio ambiente físico operativo de los activos de la organización.</t>
  </si>
  <si>
    <t xml:space="preserve">PR.PI-6. Los datos son eliminados de acuerdo a las políticas de seguridad</t>
  </si>
  <si>
    <t xml:space="preserve">PR.PI-7. Existe una mejora continua para los procesos de protección.</t>
  </si>
  <si>
    <t xml:space="preserve">PR.PI-8. La eficacia de las tecnologías de protección se comparte con las partes apropiadas</t>
  </si>
  <si>
    <t xml:space="preserve">PR.PI-9. Existen y se gestionan planes de respuesta a incidentes (Respuesta a Incidentes y Continuidad del Negocio) y planes de recuperación (Recuperación de incidentes y Recuperación de Desastres)</t>
  </si>
  <si>
    <t xml:space="preserve">PR.PI-10. Los planes de respuesta y recuperación se testean regularmente</t>
  </si>
  <si>
    <t xml:space="preserve">PR.PI-11. La ciberseguridad está considerada en las prácticas de RRHH (desvinculaciones, revisión de antecedentes).</t>
  </si>
  <si>
    <t xml:space="preserve">PR.PI-12. Existe un plan de gestión de vulnerabilidades </t>
  </si>
  <si>
    <r>
      <rPr>
        <b val="true"/>
        <sz val="12"/>
        <color rgb="FF333399"/>
        <rFont val="Arial"/>
        <family val="0"/>
        <charset val="1"/>
      </rPr>
      <t xml:space="preserve">Mantenimiento (PR.MA.)
</t>
    </r>
    <r>
      <rPr>
        <sz val="8"/>
        <color rgb="FF333399"/>
        <rFont val="Arial"/>
        <family val="0"/>
        <charset val="1"/>
      </rPr>
      <t xml:space="preserve">El mantenimiento y las reparaciones de los componentes  de los sistemas de información y de control industrial (si los hay) se llevan a cabo en consonancia con las políticas y procedimientos.</t>
    </r>
  </si>
  <si>
    <t xml:space="preserve">PR.MA-1. El mantenimiento y las reparaciones de los activos de la organización se llevan a cabo y es registrado en forma oportuna con herramientas aprobadas y controladas</t>
  </si>
  <si>
    <t xml:space="preserve">PR.MA-2. El mantenimiento a distancia de los activos de la organización se aprueba, registra y lleva a cabo de forma tal que se impide el acceso no autorizado</t>
  </si>
  <si>
    <r>
      <rPr>
        <b val="true"/>
        <sz val="12"/>
        <color rgb="FF333399"/>
        <rFont val="Arial"/>
        <family val="0"/>
        <charset val="1"/>
      </rPr>
      <t xml:space="preserve">Tecnología de protección (PR.TP.)
</t>
    </r>
    <r>
      <rPr>
        <sz val="8"/>
        <color rgb="FF333399"/>
        <rFont val="Arial"/>
        <family val="0"/>
        <charset val="1"/>
      </rPr>
      <t xml:space="preserve">Las soluciones técnicas de seguridad se gestionan para garantizar la seguridad y resistencia de los sistemas y activos de la organización, en consonancia con las políticas, procedimientos y acuerdos.</t>
    </r>
  </si>
  <si>
    <t xml:space="preserve">PR.TP-1. Los registros de auditoría (logs) están determinados, se documentan, implementan, y se revisan de acuerdo con la política</t>
  </si>
  <si>
    <t xml:space="preserve">PR.TP-2. Los medios extraíbles se encuentran  protegidos y se restringe su uso de acuerdo con las políticas</t>
  </si>
  <si>
    <t xml:space="preserve">PR.TP-3. Se incorpora el principio de mínima funcionalidad mediante la configuración de los sistemas de modo que brinden únicamente sus funciones esenciales</t>
  </si>
  <si>
    <t xml:space="preserve">PR.TP-4. Las redes de comunicaciones y control se encuentran protegidas</t>
  </si>
  <si>
    <t xml:space="preserve">PR.TP-5. Se implementan mecanismos (falla segura, balanceo de carga, hot swap) para cumplir con los requerimientos de resiliencia, tanto en casos de normalidad como en situaciones adversas.</t>
  </si>
  <si>
    <r>
      <rPr>
        <b val="true"/>
        <sz val="12"/>
        <color rgb="FF333399"/>
        <rFont val="Arial"/>
        <family val="0"/>
        <charset val="1"/>
      </rPr>
      <t xml:space="preserve">Anomalías y eventos (DE.AE.)
</t>
    </r>
    <r>
      <rPr>
        <sz val="8"/>
        <color rgb="FF333399"/>
        <rFont val="Arial"/>
        <family val="0"/>
        <charset val="1"/>
      </rPr>
      <t xml:space="preserve">La actividad anómala se detecta de forma oportuna y es claramente comprendido por la organización el potencial impacto de los eventos.</t>
    </r>
  </si>
  <si>
    <t xml:space="preserve">DE.AE-1. Se establece y gestiona una línea base esperada de operaciones de red y flujos de datos tanto para usuarios como para sistemas</t>
  </si>
  <si>
    <t xml:space="preserve">DE.AE-2. Los eventos detectados son analizados para entender los objetivos y los métodos de ataque</t>
  </si>
  <si>
    <t xml:space="preserve">DE.AE-3. Se recopilan y correlacionan datos de eventos provenientes de múltiples fuentes y sensores</t>
  </si>
  <si>
    <t xml:space="preserve">DE.AE-4. Se determina el impacto de los eventos</t>
  </si>
  <si>
    <t xml:space="preserve">DE.AE-5. Se establecen los umbrales de alerta de incidentes</t>
  </si>
  <si>
    <r>
      <rPr>
        <b val="true"/>
        <sz val="12"/>
        <color rgb="FF333399"/>
        <rFont val="Arial"/>
        <family val="0"/>
        <charset val="1"/>
      </rPr>
      <t xml:space="preserve">Monitoreo continuo de la seguridad (DE.MC.)
</t>
    </r>
    <r>
      <rPr>
        <sz val="8"/>
        <color rgb="FF333399"/>
        <rFont val="Arial"/>
        <family val="0"/>
        <charset val="1"/>
      </rPr>
      <t xml:space="preserve">Los sistemas y activos de información son monitoreados para identificar eventos de ciberseguridad y verificar la eficacia de las medidas de protección.</t>
    </r>
  </si>
  <si>
    <t xml:space="preserve">DE.MC-1. Se monitorea la red para detectar potenciales eventos de ciberseguridad</t>
  </si>
  <si>
    <t xml:space="preserve">DE.MC-2. Se monitorea el ambiente físico para detectar potenciales eventos de ciberseguridad.</t>
  </si>
  <si>
    <t xml:space="preserve">DE.MC-3. Se monitorea la actividad del personal para detectar potenciales eventos de ciberseguridad.</t>
  </si>
  <si>
    <t xml:space="preserve">DE.MC-4. Se detecta el código malicioso.</t>
  </si>
  <si>
    <t xml:space="preserve">DE.MC-5. Se detecta el código móvil no autorizado.</t>
  </si>
  <si>
    <t xml:space="preserve">DE.MC-6. Se controla la actividad de los proveedores de servicios externos para detectar posibles eventos de ciberseguridad</t>
  </si>
  <si>
    <t xml:space="preserve">DE.MC-7. Se realiza monitoreo para detectar personas, conexiones, dispositivos y software sin autorización.</t>
  </si>
  <si>
    <t xml:space="preserve">DE.MC-8. Se realizan escaneos de vulnerabilidades.</t>
  </si>
  <si>
    <r>
      <rPr>
        <b val="true"/>
        <sz val="12"/>
        <color rgb="FF333399"/>
        <rFont val="Arial"/>
        <family val="0"/>
        <charset val="1"/>
      </rPr>
      <t xml:space="preserve">Procesos de detección (DE.PD.)
</t>
    </r>
    <r>
      <rPr>
        <sz val="8"/>
        <color rgb="FF333399"/>
        <rFont val="Arial"/>
        <family val="0"/>
        <charset val="1"/>
      </rPr>
      <t xml:space="preserve">Se mantienen procesos y procedimientos de detección y se les prueba para asegurar una adecuada concientización sobre eventos anómalos.</t>
    </r>
  </si>
  <si>
    <t xml:space="preserve">DE.PD-1. Los roles y las responsabilidades de detección se encuentran definidos de forma tal de asegurar la imputabilidad.</t>
  </si>
  <si>
    <t xml:space="preserve">DE.PD-2. Las actividades de detección cumplen con todos los requisitos aplicables.</t>
  </si>
  <si>
    <t xml:space="preserve">DE.PD-3. Los procesos de detección son probados.</t>
  </si>
  <si>
    <t xml:space="preserve">DE.PD-4. La información de la detección de eventos es comunicada a las partes pertinentes</t>
  </si>
  <si>
    <t xml:space="preserve">DE.PD-5. Los procesos de detección son mejorados continuamente</t>
  </si>
  <si>
    <r>
      <rPr>
        <b val="true"/>
        <sz val="12"/>
        <color rgb="FF333399"/>
        <rFont val="Arial"/>
        <family val="0"/>
        <charset val="1"/>
      </rPr>
      <t xml:space="preserve">Planificación de la respuesta (RE.PR.)
</t>
    </r>
    <r>
      <rPr>
        <sz val="8"/>
        <color rgb="FF333399"/>
        <rFont val="Arial"/>
        <family val="0"/>
        <charset val="1"/>
      </rPr>
      <t xml:space="preserve">Los procesos y procedimientos de respuesta se ejecutan y se mantienen de manera que se garantiza una respuesta oportuna ante los eventos de ciberseguridad detectados.</t>
    </r>
  </si>
  <si>
    <t xml:space="preserve">RE.PR-1. El plan de respuesta se ejecuta durante o luego de un incidente</t>
  </si>
  <si>
    <r>
      <rPr>
        <b val="true"/>
        <sz val="12"/>
        <color rgb="FF333399"/>
        <rFont val="Arial"/>
        <family val="0"/>
        <charset val="1"/>
      </rPr>
      <t xml:space="preserve">Comunicaciones (RE.CO.)
</t>
    </r>
    <r>
      <rPr>
        <sz val="8"/>
        <color rgb="FF333399"/>
        <rFont val="Arial"/>
        <family val="0"/>
        <charset val="1"/>
      </rPr>
      <t xml:space="preserve">Las actividades de respuesta se coordinan con las partes interesadas internas y externas, según corresponda
</t>
    </r>
  </si>
  <si>
    <t xml:space="preserve">RE.CO-1. El personal conoce sus roles y el orden de las operaciones cuando es necesaria una respuesta</t>
  </si>
  <si>
    <t xml:space="preserve">RE.CO-2. Los incidentes son reportados consistentemente con los criterios establecidos</t>
  </si>
  <si>
    <t xml:space="preserve">RE.CO-3. La información se comparte de acuerdo con los planes de respuesta</t>
  </si>
  <si>
    <t xml:space="preserve">RE.CO-4. La coordinación con las partes interesadas se realiza consistentemente con los planes de respuesta</t>
  </si>
  <si>
    <t xml:space="preserve">RE.CO-5. Se realiza intercambio de información voluntaria con partes interesadas externas para alcanzar una conciencia de ciberseguridad más amplia</t>
  </si>
  <si>
    <r>
      <rPr>
        <b val="true"/>
        <sz val="12"/>
        <color rgb="FF333399"/>
        <rFont val="Arial"/>
        <family val="0"/>
        <charset val="1"/>
      </rPr>
      <t xml:space="preserve">Análisis (RE.AN.)
</t>
    </r>
    <r>
      <rPr>
        <sz val="8"/>
        <color rgb="FF333399"/>
        <rFont val="Arial"/>
        <family val="0"/>
        <charset val="1"/>
      </rPr>
      <t xml:space="preserve">Se efectúa análisis para asegurar una respuesta adecuada y para dar soporte a las actividades de recuperación.</t>
    </r>
  </si>
  <si>
    <t xml:space="preserve">RE.AN-1. Se investigan las notificaciones de los sistemas de detección</t>
  </si>
  <si>
    <t xml:space="preserve">RE.AN-2. El impacto del incidente es comprendido</t>
  </si>
  <si>
    <t xml:space="preserve">RE.AN-3. Se realiza análisis forense</t>
  </si>
  <si>
    <t xml:space="preserve">RE.AN-4. Los incidentes son categorizados de acuerdo con los planes de respuesta</t>
  </si>
  <si>
    <t xml:space="preserve">RE.AN-5. Existen procedimientos para recibir, analizar y responder a vulnerabilidades reveladas a la organización por fuentes internas y/o externas (pruebas internas, boletines o investigadores de seguridad)</t>
  </si>
  <si>
    <r>
      <rPr>
        <b val="true"/>
        <sz val="12"/>
        <color rgb="FF333399"/>
        <rFont val="Arial"/>
        <family val="0"/>
        <charset val="1"/>
      </rPr>
      <t xml:space="preserve">Mitigación (RE.MI.)
</t>
    </r>
    <r>
      <rPr>
        <sz val="8"/>
        <color rgb="FF333399"/>
        <rFont val="Arial"/>
        <family val="0"/>
        <charset val="1"/>
      </rPr>
      <t xml:space="preserve">Se ejecutan actividades para prevenir la expansión de un evento, mitigar sus efectos y erradicar el incidente
</t>
    </r>
  </si>
  <si>
    <t xml:space="preserve">RE.MI-1. Los incidentes son contenidos</t>
  </si>
  <si>
    <t xml:space="preserve">RE.MI-2. Los incidentes son mitigados</t>
  </si>
  <si>
    <t xml:space="preserve">RE.MI-3. Las nuevas vulnerabilidades identificadas o bien se mitigan o se documentan como riesgos aceptados</t>
  </si>
  <si>
    <r>
      <rPr>
        <b val="true"/>
        <sz val="12"/>
        <color rgb="FF333399"/>
        <rFont val="Arial"/>
        <family val="0"/>
        <charset val="1"/>
      </rPr>
      <t xml:space="preserve">Mejoras (RE.ME.)
</t>
    </r>
    <r>
      <rPr>
        <sz val="8"/>
        <color rgb="FF333399"/>
        <rFont val="Arial"/>
        <family val="0"/>
        <charset val="1"/>
      </rPr>
      <t xml:space="preserve">Las actividades de respuesta de la organización son mejoradas mediante la incorporación de lecciones aprendidas a partir de las actividades de detección y respuesta actuales y anteriores.</t>
    </r>
  </si>
  <si>
    <t xml:space="preserve">RE.ME-1. Los planes de respuesta incorporan lecciones aprendidas</t>
  </si>
  <si>
    <t xml:space="preserve">RE.ME-2. Las estrategias de respuesta se actualizan</t>
  </si>
  <si>
    <r>
      <rPr>
        <b val="true"/>
        <sz val="12"/>
        <color rgb="FF333399"/>
        <rFont val="Arial"/>
        <family val="0"/>
        <charset val="1"/>
      </rPr>
      <t xml:space="preserve">Planificación de la recuperación (RC.PR.)
</t>
    </r>
    <r>
      <rPr>
        <sz val="8"/>
        <color rgb="FF333399"/>
        <rFont val="Arial"/>
        <family val="0"/>
        <charset val="1"/>
      </rPr>
      <t xml:space="preserve">Los procesos y procedimientos de recuperación son ejecutados y mantenidos para asegurar la restauración oportuna de los sistemas o activos afectados por eventos de ciberseguridad.</t>
    </r>
  </si>
  <si>
    <t xml:space="preserve">RC.PR-1. El plan de recuperación se ejecuta durante o luego de un evento</t>
  </si>
  <si>
    <r>
      <rPr>
        <b val="true"/>
        <sz val="12"/>
        <color rgb="FF333399"/>
        <rFont val="Arial"/>
        <family val="0"/>
        <charset val="1"/>
      </rPr>
      <t xml:space="preserve">Mejoras (RC.ME.)
</t>
    </r>
    <r>
      <rPr>
        <sz val="8"/>
        <color rgb="FF333399"/>
        <rFont val="Arial"/>
        <family val="0"/>
        <charset val="1"/>
      </rPr>
      <t xml:space="preserve">Se mejoran los planes y procesos de recuperación incorporando las lecciones aprendidas en actividades futuras.</t>
    </r>
  </si>
  <si>
    <t xml:space="preserve">RC.ME-1. Los planes de recuperación incorporan lecciones aprendidas</t>
  </si>
  <si>
    <t xml:space="preserve">RC.ME-2 Las estrategias de recuperación se actualizan</t>
  </si>
  <si>
    <r>
      <rPr>
        <b val="true"/>
        <sz val="12"/>
        <color rgb="FF333399"/>
        <rFont val="Arial"/>
        <family val="0"/>
        <charset val="1"/>
      </rPr>
      <t xml:space="preserve">Comunicaciones (RC.CO.)
</t>
    </r>
    <r>
      <rPr>
        <sz val="8"/>
        <color rgb="FF333399"/>
        <rFont val="Arial"/>
        <family val="0"/>
        <charset val="1"/>
      </rPr>
      <t xml:space="preserve">Las actividades de recuperación se coordinan con las partes interesadas internas y externas, tales como centros de coordinación, proveedores de servicios de Internet, propietarios de los sistemas atacantes, las víctimas, otros CSIRT y vendedores.</t>
    </r>
  </si>
  <si>
    <t xml:space="preserve">RC.CO-1. Se gestionan las relaciones públicas</t>
  </si>
  <si>
    <t xml:space="preserve">RC.CO-2. Se repara la reputación luego del evento</t>
  </si>
  <si>
    <t xml:space="preserve">RC.CO-3. Se comunican las actividades de recuperación a las partes interesadas internas y externas, así como también a los equipos ejecutivos y de gestión</t>
  </si>
  <si>
    <t xml:space="preserve">Subcat.</t>
  </si>
  <si>
    <t xml:space="preserve">Descripción del requisito relacionado</t>
  </si>
  <si>
    <t xml:space="preserve">Cumplimiento Requisito</t>
  </si>
  <si>
    <t xml:space="preserve">Nivel Madurez (subcat.)</t>
  </si>
  <si>
    <t xml:space="preserve">Nivel Madurez (cat.)</t>
  </si>
  <si>
    <t xml:space="preserve">Nivel Madurez (función)</t>
  </si>
  <si>
    <t xml:space="preserve">ID</t>
  </si>
  <si>
    <t xml:space="preserve">GA</t>
  </si>
  <si>
    <t xml:space="preserve">AN</t>
  </si>
  <si>
    <t xml:space="preserve">GO</t>
  </si>
  <si>
    <t xml:space="preserve">ER</t>
  </si>
  <si>
    <t xml:space="preserve">GR</t>
  </si>
  <si>
    <t xml:space="preserve">CS</t>
  </si>
  <si>
    <t xml:space="preserve">PR</t>
  </si>
  <si>
    <t xml:space="preserve">CA</t>
  </si>
  <si>
    <t xml:space="preserve">CF</t>
  </si>
  <si>
    <t xml:space="preserve">SD</t>
  </si>
  <si>
    <t xml:space="preserve">PI</t>
  </si>
  <si>
    <t xml:space="preserve">MA</t>
  </si>
  <si>
    <t xml:space="preserve">TP</t>
  </si>
  <si>
    <t xml:space="preserve">DE</t>
  </si>
  <si>
    <t xml:space="preserve">AE</t>
  </si>
  <si>
    <t xml:space="preserve">MC</t>
  </si>
  <si>
    <t xml:space="preserve">PD</t>
  </si>
  <si>
    <t xml:space="preserve">RE</t>
  </si>
  <si>
    <t xml:space="preserve">CO </t>
  </si>
  <si>
    <t xml:space="preserve">CO</t>
  </si>
  <si>
    <t xml:space="preserve">MI</t>
  </si>
  <si>
    <t xml:space="preserve">ME </t>
  </si>
  <si>
    <t xml:space="preserve">RC</t>
  </si>
  <si>
    <t xml:space="preserve">ME</t>
  </si>
  <si>
    <t xml:space="preserve">PLAN DE ACCIÓN MARCO DE CIBERSEGURIDAD</t>
  </si>
  <si>
    <t xml:space="preserve">QUÉ</t>
  </si>
  <si>
    <t xml:space="preserve">CÓMO</t>
  </si>
  <si>
    <t xml:space="preserve">QUIÉN</t>
  </si>
  <si>
    <t xml:space="preserve">COMUNICACIÓN</t>
  </si>
  <si>
    <t xml:space="preserve">RECURSOS</t>
  </si>
  <si>
    <t xml:space="preserve">CUÁNDO</t>
  </si>
  <si>
    <t xml:space="preserve">Prioridad</t>
  </si>
  <si>
    <t xml:space="preserve">Actual</t>
  </si>
  <si>
    <t xml:space="preserve">Objetivo</t>
  </si>
  <si>
    <t xml:space="preserve">Actividades para el logro del cumplimiento del nivel de madurez objetivo</t>
  </si>
  <si>
    <t xml:space="preserve">Prioridad de actividades</t>
  </si>
  <si>
    <t xml:space="preserve">Mecanismo de  seguimiento</t>
  </si>
  <si>
    <t xml:space="preserve">Posibles problemas</t>
  </si>
  <si>
    <t xml:space="preserve">Soluciones</t>
  </si>
  <si>
    <t xml:space="preserve">Responsable</t>
  </si>
  <si>
    <t xml:space="preserve">Interesados</t>
  </si>
  <si>
    <t xml:space="preserve">Personas, presupuesto, materiales</t>
  </si>
  <si>
    <t xml:space="preserve">Inicio de actividades </t>
  </si>
  <si>
    <t xml:space="preserve">Fin de actividades</t>
  </si>
  <si>
    <r>
      <rPr>
        <b val="true"/>
        <sz val="14"/>
        <color rgb="FF333399"/>
        <rFont val="Arial"/>
        <family val="0"/>
        <charset val="1"/>
      </rPr>
      <t xml:space="preserve">Gestión de Activos (ID.GA)
</t>
    </r>
    <r>
      <rPr>
        <sz val="14"/>
        <color rgb="FF333399"/>
        <rFont val="Arial"/>
        <family val="0"/>
        <charset val="1"/>
      </rPr>
      <t xml:space="preserve">
Los datos, dispositivos, sistemas e instalaciones que permiten a la organización alcanzar los objetivos de negocio, se identifican y gestionan en forma consistente, en relación a los objetivos y la estrategia de riesgo de la organización
</t>
    </r>
  </si>
  <si>
    <t xml:space="preserve">ID.GA-1. Los dispositivos físicos y  sistemas se encuentran inventariados</t>
  </si>
  <si>
    <t xml:space="preserve">ID.GA-2. Las plataformas de software y aplicaciones se encuentran inventariadas</t>
  </si>
  <si>
    <t xml:space="preserve">ID.GA-3. Se utilizan medidas de seguridad y procedimientos de gestión para proteger y controlar el flujo de información interna y externamente.</t>
  </si>
  <si>
    <t xml:space="preserve">ID.GA-4. El equipamiento y los sistemas de información utilizados fuera de las instalaciones se encuentran identificados y se aplican medidas para mantener la seguridad de la información</t>
  </si>
  <si>
    <t xml:space="preserve">ID.GA-5. Los activos (por ejemplo: hardware, dispositivos, datos y software) se encuentran clasificados en función del tipo de información que contienen o procesan y en el valor que poseen para el negocio.</t>
  </si>
  <si>
    <t xml:space="preserve">ID.GA-6. Los roles y responsabilidades de seguridad de la información y ciberseguridad se encuentran asignados.</t>
  </si>
  <si>
    <r>
      <rPr>
        <sz val="14"/>
        <color rgb="FF333399"/>
        <rFont val="Arial"/>
        <family val="0"/>
        <charset val="1"/>
      </rPr>
      <t xml:space="preserve">I</t>
    </r>
    <r>
      <rPr>
        <b val="true"/>
        <sz val="14"/>
        <color rgb="FF333399"/>
        <rFont val="Arial"/>
        <family val="0"/>
        <charset val="1"/>
      </rPr>
      <t xml:space="preserve">D.AN. Ambiente del negocio
</t>
    </r>
    <r>
      <rPr>
        <sz val="14"/>
        <color rgb="FF333399"/>
        <rFont val="Arial"/>
        <family val="0"/>
        <charset val="1"/>
      </rPr>
      <t xml:space="preserve">
La misión de la organización, sus objetivos, interesados y actividades son comprendidos y priorizados; esta información es utilizada para informar a los roles de ciberseguridad sobre responsabilidades y decisiones relacionadas a la gestión de riesgos
</t>
    </r>
  </si>
  <si>
    <t xml:space="preserve">ID.AN-1. Se identifica y comunica el rol de la organización en la cadena de suministro</t>
  </si>
  <si>
    <t xml:space="preserve">N/A</t>
  </si>
  <si>
    <t xml:space="preserve">ID.AN-2. El lugar que ocupa la organización en la infraestructura crítica y en su sector de industria se encuentra identificado y comunicado</t>
  </si>
  <si>
    <t xml:space="preserve">ID.AN-3. Se establecen y se comunican las prioridades para la misión de la organización, sus objetivos y actividades</t>
  </si>
  <si>
    <t xml:space="preserve">ID.AN-4. Se definen las dependencias y funciones críticas para la entrega de los servicios críticos</t>
  </si>
  <si>
    <t xml:space="preserve">ID.AN-5. Se establecen requisitos de resiliencia para soportar la entrega de servicios críticos</t>
  </si>
  <si>
    <r>
      <rPr>
        <b val="true"/>
        <sz val="14"/>
        <color rgb="FF333399"/>
        <rFont val="Arial"/>
        <family val="0"/>
        <charset val="1"/>
      </rPr>
      <t xml:space="preserve">ID.GO. Gobernanza
</t>
    </r>
    <r>
      <rPr>
        <sz val="14"/>
        <color rgb="FF333399"/>
        <rFont val="Arial"/>
        <family val="0"/>
        <charset val="1"/>
      </rPr>
      <t xml:space="preserve">
Las políticas, procedimientos y procesos para gestionar y monitorear los requisitos regulatorios, legales, ambientales y operativos de la organización, son comprendidos y se informa a las gerencias sobre los riesgos de ciberseguridad
</t>
    </r>
  </si>
  <si>
    <t xml:space="preserve">ID.GO-1. La política de seguridad de la información se encuentra establecida</t>
  </si>
  <si>
    <t xml:space="preserve">ID.GO-2. Los roles y las responsabilidades de la seguridad de la información están coordinados y alineados con roles internos y socios externos</t>
  </si>
  <si>
    <t xml:space="preserve">ID.GO-4. Construcción de procesos de gobernanza y administración de riesgos dirigidos a atender los problemas de ciberseguridad.   </t>
  </si>
  <si>
    <r>
      <rPr>
        <b val="true"/>
        <sz val="14"/>
        <color rgb="FF333399"/>
        <rFont val="Arial"/>
        <family val="0"/>
        <charset val="1"/>
      </rPr>
      <t xml:space="preserve">ID.ER. Evaluación de Riesgos
</t>
    </r>
    <r>
      <rPr>
        <sz val="14"/>
        <color rgb="FF333399"/>
        <rFont val="Arial"/>
        <family val="0"/>
        <charset val="1"/>
      </rPr>
      <t xml:space="preserve">
La empresa comprende los riegos de ciberseguridad de sus operaciones, activos e individuos
</t>
    </r>
  </si>
  <si>
    <t xml:space="preserve">ID.ER-2. Recepción de información sobre amenazas y vulnerabilidades por parte de grupos y fuentes especializadas</t>
  </si>
  <si>
    <t xml:space="preserve">ID.ER-3. Identificación y documentación de las amenazas internas y externas</t>
  </si>
  <si>
    <t xml:space="preserve">ID.ER-4. Identificación del impacto potencial en el negocio y la probabilidad de ocurrencia</t>
  </si>
  <si>
    <t xml:space="preserve">ID.ER-5. Las amenazas, vulnerabilidades, probabilidad de ocurrencia, e impactos, se utilizan para determinar el riesgo</t>
  </si>
  <si>
    <t xml:space="preserve">ID.ER-6. Identificación y priorización de las respuestas a los riesgos</t>
  </si>
  <si>
    <r>
      <rPr>
        <b val="true"/>
        <sz val="14"/>
        <color rgb="FF333399"/>
        <rFont val="Arial"/>
        <family val="0"/>
        <charset val="1"/>
      </rPr>
      <t xml:space="preserve">ID.GR. Estrategia para la gestión de riesgos 
</t>
    </r>
    <r>
      <rPr>
        <sz val="14"/>
        <color rgb="FF333399"/>
        <rFont val="Arial"/>
        <family val="0"/>
        <charset val="1"/>
      </rPr>
      <t xml:space="preserve">
Se establecen las prioridades, restricciones, tolerancia al riesgo y supuestos de la organización y se utilizan para soportar las decisiones de los riesgos operacionales
</t>
    </r>
  </si>
  <si>
    <t xml:space="preserve">ID.GR-1. Los procesos de gestión de riesgos se encuentran establecidos y gestionados y se encuentran aprobados por todos los interesados de la organización.</t>
  </si>
  <si>
    <t xml:space="preserve">ID.GR-2. Se determina la tolerancia al riesgo a nivel de toda la organización y la misma es claramente expresada.</t>
  </si>
  <si>
    <t xml:space="preserve">ID.GR-3. La tolerancia al riesgo de la organización es determinada por su rol y pertenencia a la infraestructura crítica y de la evaluación de riesgos específicos del sector al que pertenece.</t>
  </si>
  <si>
    <r>
      <rPr>
        <b val="true"/>
        <sz val="14"/>
        <color rgb="FF333399"/>
        <rFont val="Arial"/>
        <family val="0"/>
        <charset val="1"/>
      </rPr>
      <t xml:space="preserve">ID.CS - Gestión del riesgo en la cadena de suministros
</t>
    </r>
    <r>
      <rPr>
        <sz val="14"/>
        <color rgb="FF333399"/>
        <rFont val="Arial"/>
        <family val="0"/>
        <charset val="1"/>
      </rPr>
      <t xml:space="preserve">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</si>
  <si>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r>
      <rPr>
        <b val="true"/>
        <sz val="14"/>
        <color rgb="FF333399"/>
        <rFont val="Arial"/>
        <family val="0"/>
        <charset val="1"/>
      </rPr>
      <t xml:space="preserve">PR.CA. Control de acceso
</t>
    </r>
    <r>
      <rPr>
        <sz val="14"/>
        <color rgb="FF333399"/>
        <rFont val="Arial"/>
        <family val="0"/>
        <charset val="1"/>
      </rPr>
      <t xml:space="preserve">
El acceso a los activos e instalaciones se limita a usuarios, procesos o dispositivos, actividades y transacciones autorizadas.
</t>
    </r>
  </si>
  <si>
    <t xml:space="preserve">PR.CA-1. Las identidades y credenciales para usuarios y dispositivos autorizados son gestionadas.</t>
  </si>
  <si>
    <t xml:space="preserve">PR.CA-3. Gestión de acceso remoto.</t>
  </si>
  <si>
    <t xml:space="preserve">PR.CA-4. Gestión de permisos de acceso, incorporando los principios de menor privilegio y segregación de funciones.</t>
  </si>
  <si>
    <t xml:space="preserve">PR.CA-5. Protección de la integridad de la red incorporando segregación cuando es apropiado</t>
  </si>
  <si>
    <r>
      <rPr>
        <b val="true"/>
        <sz val="14"/>
        <color rgb="FF333399"/>
        <rFont val="Arial"/>
        <family val="0"/>
        <charset val="1"/>
      </rPr>
      <t xml:space="preserve">PR.CF. Concientización y formación
</t>
    </r>
    <r>
      <rPr>
        <sz val="14"/>
        <color rgb="FF333399"/>
        <rFont val="Arial"/>
        <family val="0"/>
        <charset val="1"/>
      </rPr>
      <t xml:space="preserve">
El personal de la organización y socios de negocios, reciben entrenamiento y concientización sobre seguridad de la información. Están adecuadamente entrenados para cumplir con sus obligaciones referentes a la seguridad de la información en alineación con las políticas, procedimientos y acuerdos existentes
</t>
    </r>
  </si>
  <si>
    <t xml:space="preserve">PR.CF-1. Todos los usuarios se encuentran entrenados e informados</t>
  </si>
  <si>
    <t xml:space="preserve">PR.CF-5. El personal de seguridad física y de seguridad de la información comprende sus roles y responsabilidades</t>
  </si>
  <si>
    <r>
      <rPr>
        <b val="true"/>
        <sz val="14"/>
        <color rgb="FF333399"/>
        <rFont val="Arial"/>
        <family val="0"/>
        <charset val="1"/>
      </rPr>
      <t xml:space="preserve">PR.SD. Seguridad de los datos 
</t>
    </r>
    <r>
      <rPr>
        <sz val="14"/>
        <color rgb="FF333399"/>
        <rFont val="Arial"/>
        <family val="0"/>
        <charset val="1"/>
      </rPr>
      <t xml:space="preserve">
La información y registros (datos) se gestionan en función de la estrategia de riesgo de la organización para proteger la confidencialidad, integridad y disponibilidad de la información
</t>
    </r>
  </si>
  <si>
    <t xml:space="preserve">PR.SD-1. Los datos en reposo (inactivos) se encuentran protegidos</t>
  </si>
  <si>
    <t xml:space="preserve">PR.SD-3. Los activos se gestionan formalmente a lo largo de la eliminación, las transferencias y disposición</t>
  </si>
  <si>
    <r>
      <rPr>
        <b val="true"/>
        <sz val="14"/>
        <color rgb="FF333399"/>
        <rFont val="Arial"/>
        <family val="0"/>
        <charset val="1"/>
      </rPr>
      <t xml:space="preserve">PR.PI. Procesos y procedimientos para la protección de la información
</t>
    </r>
    <r>
      <rPr>
        <sz val="14"/>
        <color rgb="FF333399"/>
        <rFont val="Arial"/>
        <family val="0"/>
        <charset val="1"/>
      </rPr>
      <t xml:space="preserve">
Las políticas de seguridad, procesos y procedimientos se mantienen y son utilizados para gestionar la protección de los sistemas de información y los activos
</t>
    </r>
  </si>
  <si>
    <t xml:space="preserve">PR.PI-1. Existe una línea base de la configuración de los sistemas de información y la misma es mantenida</t>
  </si>
  <si>
    <t xml:space="preserve">PR.PI-2. Se implementa el ciclo de vida de desarrollo para gestionar los sistemas</t>
  </si>
  <si>
    <t xml:space="preserve">PR.PI-3. Existen procesos de gestión del cambio en las configuraciones</t>
  </si>
  <si>
    <t xml:space="preserve">PR.PI-4. Se realizan y mantienen respaldos de la información y se testean periódicamente</t>
  </si>
  <si>
    <t xml:space="preserve">PR.PI-5. Las políticas y reglamentos relacionadas con el medio ambiente físico operativo se cumplen</t>
  </si>
  <si>
    <t xml:space="preserve">PR.PI-7. Existe mejora continua de los procesos de protección</t>
  </si>
  <si>
    <t xml:space="preserve">PR.PI-8. La eficacia de las tecnologías de protección se comparten con las partes apropiadas</t>
  </si>
  <si>
    <t xml:space="preserve">PR.PI-11. La ciberseguridad se encuentra incluida en las prácticas de RRHH</t>
  </si>
  <si>
    <r>
      <rPr>
        <b val="true"/>
        <sz val="14"/>
        <color rgb="FF333399"/>
        <rFont val="Arial"/>
        <family val="0"/>
        <charset val="1"/>
      </rPr>
      <t xml:space="preserve">PR.MA. Mantenimiento 
</t>
    </r>
    <r>
      <rPr>
        <sz val="14"/>
        <color rgb="FF333399"/>
        <rFont val="Arial"/>
        <family val="0"/>
        <charset val="1"/>
      </rPr>
      <t xml:space="preserve">
El mantenimiento y las reparaciones de los componentes de los componentes de los sistemas de información y de control industrial se lleva a cabo en consonancia con las políticas y procedimientos
</t>
    </r>
  </si>
  <si>
    <t xml:space="preserve">PR.MA-1. El mantenimiento y las reparaciones de los activos de la organización se lleva a cabo y es registrado en forma oportuna con herramientas aprobadas y controladas</t>
  </si>
  <si>
    <r>
      <rPr>
        <b val="true"/>
        <sz val="14"/>
        <color rgb="FF333399"/>
        <rFont val="Arial"/>
        <family val="0"/>
        <charset val="1"/>
      </rPr>
      <t xml:space="preserve">PR.TP. Tecnología de protección 
</t>
    </r>
    <r>
      <rPr>
        <sz val="14"/>
        <color rgb="FF333399"/>
        <rFont val="Arial"/>
        <family val="0"/>
        <charset val="1"/>
      </rPr>
      <t xml:space="preserve">
Las soluciones técnicas de seguridad se gestionan para garantizar la seguridad y resistencia de los sistemas y activos de la organización, en consonancia con las políticas, procedimientos y acuerdos.
</t>
    </r>
  </si>
  <si>
    <t xml:space="preserve">PR.TP-1. Los registros de auditoría (logs) se documentan, implementan, y son revisados de conformidad con la política</t>
  </si>
  <si>
    <t xml:space="preserve">PR.TP-2. Los medios extraíbles se encuentran  protegidos y su uso se encuentra restringido de acuerdo con las políticas</t>
  </si>
  <si>
    <t xml:space="preserve">PR.TP-3. El acceso a los sistemas y activos se controla, incorporando el principio de menor privilegio</t>
  </si>
  <si>
    <t xml:space="preserve">PR.TP-4. Las redes y comunicaciones se encuentran protegidas
</t>
  </si>
  <si>
    <r>
      <rPr>
        <b val="true"/>
        <sz val="14"/>
        <color rgb="FF333399"/>
        <rFont val="Arial"/>
        <family val="0"/>
        <charset val="1"/>
      </rPr>
      <t xml:space="preserve">DE.AE. Anomalías y eventos 
</t>
    </r>
    <r>
      <rPr>
        <sz val="14"/>
        <color rgb="FF333399"/>
        <rFont val="Arial"/>
        <family val="0"/>
        <charset val="1"/>
      </rPr>
      <t xml:space="preserve">
La actividad anómala se detecta de forma oportuna y el potencial impacto de los eventos es comprendido
</t>
    </r>
  </si>
  <si>
    <t xml:space="preserve">DE.AE-1. Se establece y gestiona una línea base de operaciones de red y flujos de datos esperados para usuarios y sistemas</t>
  </si>
  <si>
    <t xml:space="preserve">DE.AE-2. Los eventos detectados son analizados para entender los objetivos y métodos de ataque</t>
  </si>
  <si>
    <t xml:space="preserve">DE.AE-3. Los datos de los eventos se agrupan y correlacionan desde múltiples fuentes y sensores</t>
  </si>
  <si>
    <r>
      <rPr>
        <b val="true"/>
        <sz val="14"/>
        <color rgb="FF333399"/>
        <rFont val="Arial"/>
        <family val="0"/>
        <charset val="1"/>
      </rPr>
      <t xml:space="preserve">DE.MC. Monitoreo continuo de la seguridad 
</t>
    </r>
    <r>
      <rPr>
        <sz val="14"/>
        <color rgb="FF333399"/>
        <rFont val="Arial"/>
        <family val="0"/>
        <charset val="1"/>
      </rPr>
      <t xml:space="preserve">
Los sistemas de información y los activos son monitoreados a intervalos discretos para identificar eventos de seguridad cibernética y verificar la eficacia de las medidas de protección
</t>
    </r>
  </si>
  <si>
    <t xml:space="preserve">DE.MC-2. Se monitorea el ambiente físico para detectar potenciales eventos de ciberseguridad</t>
  </si>
  <si>
    <t xml:space="preserve">DE.MC-3. Se monitorea la actividad del personal para detectar potenciales eventos de ciberseguridad</t>
  </si>
  <si>
    <t xml:space="preserve">DE.MC-4. Se detecta el código malicioso</t>
  </si>
  <si>
    <t xml:space="preserve">DE.MC-5. Se detecta el código móvil no autorizado</t>
  </si>
  <si>
    <t xml:space="preserve">DE.MC-7. Se realiza monitoreo para personas, conexiones, dispositivos y software</t>
  </si>
  <si>
    <t xml:space="preserve">DE.MC-8. Se realizan escaneos de vulnerabilidades</t>
  </si>
  <si>
    <r>
      <rPr>
        <b val="true"/>
        <sz val="14"/>
        <color rgb="FF333399"/>
        <rFont val="Arial"/>
        <family val="0"/>
        <charset val="1"/>
      </rPr>
      <t xml:space="preserve">DE.PD. Procesos de detección 
</t>
    </r>
    <r>
      <rPr>
        <sz val="14"/>
        <color rgb="FF333399"/>
        <rFont val="Arial"/>
        <family val="0"/>
        <charset val="1"/>
      </rPr>
      <t xml:space="preserve">
Se mantienen procesos y procedimientos de detección y prueban para asegurar el conocimiento oportuno y adecuado de los eventos anómalos
</t>
    </r>
  </si>
  <si>
    <t xml:space="preserve">DE.PD-1. Los roles y las responsabilidades de detección se encuentran definidos de forma tal de asegurar responsabilidades</t>
  </si>
  <si>
    <t xml:space="preserve">DE.PD-2. Las actividades de detección cumplen con todos los requisitos aplicables</t>
  </si>
  <si>
    <t xml:space="preserve">DE.PD-3. Los procesos de detección son probados</t>
  </si>
  <si>
    <r>
      <rPr>
        <b val="true"/>
        <sz val="14"/>
        <color rgb="FF333399"/>
        <rFont val="Arial"/>
        <family val="0"/>
        <charset val="1"/>
      </rPr>
      <t xml:space="preserve">RE.PR. Planificación de la respuesta
</t>
    </r>
    <r>
      <rPr>
        <sz val="14"/>
        <color rgb="FF333399"/>
        <rFont val="Arial"/>
        <family val="0"/>
        <charset val="1"/>
      </rPr>
      <t xml:space="preserve">
Los procesos y procedimientos de respuesta se ejecutan y se mantienen garantizando una respuesta oportuna para detectar eventos de ciberseguridad
</t>
    </r>
  </si>
  <si>
    <t xml:space="preserve">RE.PR-1. El plan de respuesta se ejecuta durante o luego de un evento</t>
  </si>
  <si>
    <r>
      <rPr>
        <b val="true"/>
        <sz val="14"/>
        <color rgb="FF333399"/>
        <rFont val="Arial"/>
        <family val="0"/>
        <charset val="1"/>
      </rPr>
      <t xml:space="preserve">RE.CO. Comunicaciones</t>
    </r>
    <r>
      <rPr>
        <sz val="14"/>
        <color rgb="FF333399"/>
        <rFont val="Arial"/>
        <family val="0"/>
        <charset val="1"/>
      </rPr>
      <t xml:space="preserve"> 
Las actividades de respuesta se coordinan con las partes interesadas internas y externas, según corresponda
</t>
    </r>
  </si>
  <si>
    <t xml:space="preserve">RE.CO-1. El personal conoce sus roles y el orden de operaciones cuando es necesaria una respuesta</t>
  </si>
  <si>
    <t xml:space="preserve">RE.CO-2. Los eventos son reportados consistentemente con los criterios establecidos</t>
  </si>
  <si>
    <t xml:space="preserve">RE.CO-3. La información se comparte consistentemente con los planes de respuesta</t>
  </si>
  <si>
    <r>
      <rPr>
        <b val="true"/>
        <sz val="14"/>
        <color rgb="FF333399"/>
        <rFont val="Arial"/>
        <family val="0"/>
        <charset val="1"/>
      </rPr>
      <t xml:space="preserve">RE.AN. Análisis 
</t>
    </r>
    <r>
      <rPr>
        <sz val="14"/>
        <color rgb="FF333399"/>
        <rFont val="Arial"/>
        <family val="0"/>
        <charset val="1"/>
      </rPr>
      <t xml:space="preserve">
Se efectúa análisis para asegurar una respuesta adecuada y dar soporte a las actividades de recuperación.
</t>
    </r>
  </si>
  <si>
    <t xml:space="preserve">RE.AN-4. Los incidentes son categorizados consistentemente con los planes de respuesta</t>
  </si>
  <si>
    <r>
      <rPr>
        <b val="true"/>
        <sz val="14"/>
        <color rgb="FF333399"/>
        <rFont val="Arial"/>
        <family val="0"/>
        <charset val="1"/>
      </rPr>
      <t xml:space="preserve">RE.MI. Mitigación
</t>
    </r>
    <r>
      <rPr>
        <sz val="14"/>
        <color rgb="FF333399"/>
        <rFont val="Arial"/>
        <family val="0"/>
        <charset val="1"/>
      </rPr>
      <t xml:space="preserve">
Se ejecutan actividades para prevenir la expansión de un evento, mitigar sus efectos y erradicar el incidente
</t>
    </r>
  </si>
  <si>
    <t xml:space="preserve">RE.MI-1. Se logra contener los incidentes</t>
  </si>
  <si>
    <t xml:space="preserve">RE.MI-2. Se logra mitigar los incidentes</t>
  </si>
  <si>
    <t xml:space="preserve">RE.MI-3. Las nuevas vulnerabilidades identificadas se mitigan o documentan como riesgos aceptados</t>
  </si>
  <si>
    <r>
      <rPr>
        <b val="true"/>
        <sz val="14"/>
        <color rgb="FF333399"/>
        <rFont val="Arial"/>
        <family val="0"/>
        <charset val="1"/>
      </rPr>
      <t xml:space="preserve">RE.ME. Mejoras
</t>
    </r>
    <r>
      <rPr>
        <sz val="14"/>
        <color rgb="FF333399"/>
        <rFont val="Arial"/>
        <family val="0"/>
        <charset val="1"/>
      </rPr>
      <t xml:space="preserve">
Las actividades de respuesta de la organización son mejoradas por la incorporación de lecciones aprendidas de las actividades de detección y respuesta actuales y anteriores
</t>
    </r>
  </si>
  <si>
    <r>
      <rPr>
        <b val="true"/>
        <sz val="14"/>
        <color rgb="FF333399"/>
        <rFont val="Arial"/>
        <family val="0"/>
        <charset val="1"/>
      </rPr>
      <t xml:space="preserve">RC.PR. Planificación de la recuperación</t>
    </r>
    <r>
      <rPr>
        <sz val="14"/>
        <color rgb="FF333399"/>
        <rFont val="Arial"/>
        <family val="0"/>
        <charset val="1"/>
      </rPr>
      <t xml:space="preserve"> 
Los procesos y procedimientos de recuperación son ejecutados y mantenidos para asegurar la restauración oportuna de los sistemas o activos afectados por eventos de ciberseguridad
</t>
    </r>
  </si>
  <si>
    <r>
      <rPr>
        <b val="true"/>
        <sz val="14"/>
        <color rgb="FF333399"/>
        <rFont val="Arial"/>
        <family val="0"/>
        <charset val="1"/>
      </rPr>
      <t xml:space="preserve">RC.ME. Mejoras
</t>
    </r>
    <r>
      <rPr>
        <sz val="14"/>
        <color rgb="FF333399"/>
        <rFont val="Arial"/>
        <family val="0"/>
        <charset val="1"/>
      </rPr>
      <t xml:space="preserve">
Se mejoran los planes y procesos de recuperación incorporando las lecciones aprendidas en actividades futuras.
</t>
    </r>
  </si>
  <si>
    <r>
      <rPr>
        <b val="true"/>
        <sz val="14"/>
        <color rgb="FF333399"/>
        <rFont val="Arial"/>
        <family val="0"/>
        <charset val="1"/>
      </rPr>
      <t xml:space="preserve">RC.CO. Comunicaciones 
</t>
    </r>
    <r>
      <rPr>
        <sz val="14"/>
        <color rgb="FF333399"/>
        <rFont val="Arial"/>
        <family val="0"/>
        <charset val="1"/>
      </rPr>
      <t xml:space="preserve">
Las actividades de recuperación se coordinan con las partes interesadas internas y externas, tales como centros de coordinación, proveedores de servicios de Internet, propietarios de los sistemas afectados, las víctimas, otros CSIRT, y vendedores.
</t>
    </r>
  </si>
  <si>
    <t xml:space="preserve">RC.CO-1. Se gestiona las relaciones públicas</t>
  </si>
  <si>
    <t xml:space="preserve">RC.CO-3. Se comunica las actividades de recuperación a los interesados internos y a los equipos ejecutivos y de gestión</t>
  </si>
  <si>
    <t xml:space="preserve">CUESTIONARIO NIST/CSF versión 1.1</t>
  </si>
  <si>
    <t xml:space="preserve">NIST/CSF</t>
  </si>
  <si>
    <t xml:space="preserve">NIVEL</t>
  </si>
  <si>
    <t xml:space="preserve">PUNTUACIÓN</t>
  </si>
  <si>
    <t xml:space="preserve">Sub-cat.</t>
  </si>
  <si>
    <t xml:space="preserve">Punto</t>
  </si>
  <si>
    <t xml:space="preserve">Referencia COBIT</t>
  </si>
  <si>
    <t xml:space="preserve">Pregunta</t>
  </si>
  <si>
    <t xml:space="preserve">Proceso</t>
  </si>
  <si>
    <t xml:space="preserve">Política</t>
  </si>
  <si>
    <t xml:space="preserve">Documentación</t>
  </si>
  <si>
    <t xml:space="preserve">Automatización</t>
  </si>
  <si>
    <t xml:space="preserve">% cobertura</t>
  </si>
  <si>
    <t xml:space="preserve">% madurez</t>
  </si>
  <si>
    <t xml:space="preserve">Comentarios aclarativos</t>
  </si>
  <si>
    <t xml:space="preserve">BAI09.01</t>
  </si>
  <si>
    <t xml:space="preserve">Identify and record current assets.</t>
  </si>
  <si>
    <t xml:space="preserve">¿Hay un inventario de dispositivos físicos, virtuales y sistemas en general?</t>
  </si>
  <si>
    <t xml:space="preserve">Estandarizado</t>
  </si>
  <si>
    <t xml:space="preserve">Aprobada</t>
  </si>
  <si>
    <t xml:space="preserve">Formal</t>
  </si>
  <si>
    <t xml:space="preserve">Parcial</t>
  </si>
  <si>
    <t xml:space="preserve">• The organization should inventory the assets (people, information, technology, and facilities) required for the delivery of the critical service.
• Inventories of assets may exist in multiple forms or physical locations.</t>
  </si>
  <si>
    <t xml:space="preserve">Proceso de Gestión de Riesgos</t>
  </si>
  <si>
    <t xml:space="preserve">Programa integral de gestión de riesgos</t>
  </si>
  <si>
    <t xml:space="preserve">Participación externa</t>
  </si>
  <si>
    <t xml:space="preserve">Valor</t>
  </si>
  <si>
    <t xml:space="preserve">Valor2</t>
  </si>
  <si>
    <t xml:space="preserve">BAI09.02</t>
  </si>
  <si>
    <t xml:space="preserve">Manage critical assets.</t>
  </si>
  <si>
    <t xml:space="preserve">¿Están claramente identificados los dispositivos y sistemas críticos?</t>
  </si>
  <si>
    <t xml:space="preserve">No aplicable</t>
  </si>
  <si>
    <t xml:space="preserve">Las prácticas organizacionales de gestión del riesgo de ciberseguridad no están formalizadas, y el riesgo se gestiona sobre la marcha y a menudo de forma reactiva.
La priorización de las actividades de ciberseguridad puede no estar directamente informada por los objetivos de riesgo de la organización, el entorno de amenazas o los requisitos de negocios o misión.</t>
  </si>
  <si>
    <t xml:space="preserve">Hay una conciencia limitada sobre el riesgo de ciberseguridad a nivel organizacional. La organización implementa la gestión del riesgo de ciberseguridad de forma irregular, en una modalidad caso a caso debido a distintas  experiencias o a la información obtenida de fuentes externas La organización puede no tener procesos que permitan que se comparta internamente información sobre ciberseguridad.</t>
  </si>
  <si>
    <t xml:space="preserve">La organización no comprende su rol en el ecosistema global con respecto a sus dependencias o dependientes. La organización no colabora con ni recibe información (por ejemplo, inteligencia de amenazas, mejores prácticas, tecnologías) de otras entidades (por ejemplo, compradores, proveedores, dependencias, dependientes, investigadores, gobiernos), ni comparte información. La organización desconoce en general los riesgos de la cibercadena de suministros de los productos y servicios que brinda y usa.</t>
  </si>
  <si>
    <t xml:space="preserve">Ninguno</t>
  </si>
  <si>
    <t xml:space="preserve">Ninguna</t>
  </si>
  <si>
    <t xml:space="preserve">Hay un inventario de todo el software de base y aplicativos en uso?</t>
  </si>
  <si>
    <t xml:space="preserve">Informada</t>
  </si>
  <si>
    <t xml:space="preserve">Las prácticas de gestión de riesgos son aprobadas por la gerencia pero no están establecidas como una política de toda la organización. La priorización de las actividades de ciberseguridad y las necesidades de protección están directamente relacionadas con los objetivos de riesgo organizacional, el entorno de amenazas o los requisitos de negocios o misión.</t>
  </si>
  <si>
    <t xml:space="preserve">Existe una conciencia de riesgo de ciberseguridad a nivel organizacional, pero no se ha establecido un enfoque de toda la organización para gestionar el riesgo de ciberseguridad. La información sobre ciberseguridad se comparte dentro de la organización de manera informal. La consideración de la ciberseguridad en los objetivos y programas organizacionales puede ocurrir en algunos, pero no en todos los niveles de la organización. La evaluación del riesgo cibernético de los activos organizacionales y externos ocurre, pero no es típicamente repetible o recurrente.</t>
  </si>
  <si>
    <t xml:space="preserve">Generalmente, la organización entiende su rol en el ecosistema global con respecto a sus propias dependencias o a sus dependientes, pero no a ambos. La organización colabora y recibe información de otras entidades y genera parte de su propia información, pero puede no compartir información con otros. Además, la organización es consciente de los riesgos de la cadena de suministro cibernético asociados con los productos y servicios que ofrece y utiliza, pero no actúa de forma coherente o formal respecto a dichos riesgos.</t>
  </si>
  <si>
    <t xml:space="preserve">Inconsistente</t>
  </si>
  <si>
    <t xml:space="preserve">Informal</t>
  </si>
  <si>
    <t xml:space="preserve">Está claramente identificado todo el software crítico tanto de base como aplicativo?</t>
  </si>
  <si>
    <t xml:space="preserve">Repetible</t>
  </si>
  <si>
    <t xml:space="preserve">Las prácticas de gestión de riesgos de la organización están formalmente aprobadas y expresadas como política. Las prácticas de ciberseguridad organizacional se actualizan periódicamente en función de aplicar procesos de gestión de riesgos a los cambios en los requisitos empresariales o de la misión y en función del panorama cambiante de amenazas y tecnología.</t>
  </si>
  <si>
    <t xml:space="preserve">Existe un enfoque global en la organización para gestionar el riesgo de ciberseguridad. Las políticas, procesos y procedimientos informados sobre riesgos se definen, implementan según lo previsto y se revisan. Se han implementado métodos consistentes para responder de manera efectiva a los cambios en el riesgo. El personal posee el conocimiento y las habilidades para llevar adelante los roles y responsabilidades que les son asignados. La organización monitorea de manera consistente y precisa el riesgo de ciberseguridad de los activos de la organización. Los altos ejecutivos de ciberseguridad y no ciberseguridad se comunican regularmente sobre el riesgo de ciberseguridad. Los altos ejecutivos aseguran la consideración de la ciberseguridad a través de todas las líneas de operación en la organización.</t>
  </si>
  <si>
    <t xml:space="preserve">La organización entiende su rol, dependencias y dependientes en el ecosistema más grande y puede contribuir a la comprensión más amplia de los riesgos por parte de la comunidad. Colabora y recibe regularmente información de otras entidades que complementa la información generada internamente y comparte información con otras entidades. La organización es consciente de los riesgos de la cadena de suministro cibernético asociados con los productos y servicios que proporciona y que utiliza. Además, generalmente actúa formalmente sobre esos riesgos, incluidos mecanismos como acuerdos escritos para comunicar requisitos de referencia, estructuras de gobernanza (por ejemplo, consejos de riesgos) y la implementación y supervisión de políticas.</t>
  </si>
  <si>
    <t xml:space="preserve">Definida</t>
  </si>
  <si>
    <t xml:space="preserve">Total</t>
  </si>
  <si>
    <t xml:space="preserve">BAI09.05</t>
  </si>
  <si>
    <t xml:space="preserve">Manage licences.</t>
  </si>
  <si>
    <t xml:space="preserve">Se hace una adecuada gestión de las licencias del software en general?</t>
  </si>
  <si>
    <t xml:space="preserve">Adaptable</t>
  </si>
  <si>
    <t xml:space="preserve">La organización adapta sus prácticas de ciberseguridad en base a actividades de ciberseguridad anteriores y actuales, incluidas lecciones aprendidas e indicadores predictivos. A través de un proceso de mejora continua que incorpora prácticas y tecnologías avanzadas de ciberseguridad, la organización se adapta activamente al panorama cambiante y sofisticado de amenazas y tecnología y responde de manera oportuna y efectiva al mismo.</t>
  </si>
  <si>
    <t xml:space="preserve">Existe un enfoque global de la organización para gestionar el riesgo de ciberseguridad que utiliza políticas, procesos y procedimientos informados sobre riesgos para abordar posibles eventos de ciberseguridad. Se comprende la relación entre el riesgo de ciberseguridad y los objetivos de la organización y se le tiene en cuenta claramente al tomar decisiones. Los altos ejecutivos monitorean el riesgo de ciberseguridad en el mismo contexto que el riesgo financiero y otros riesgos organizacionales. El presupuesto de la organización se basa en la comprensión del entorno de riesgo actual y previsto y la tolerancia al riesgo. Las unidades de negocios implementan una visión ejecutiva y analizan los riesgos a nivel de sistemas en el contexto de las tolerancias de riesgo organizacionales. La gestión del riesgo de ciberseguridad es parte de la cultura organizacional y evoluciona a partir de la conciencia de las actividades previas y la conciencia continua de las actividades en sus sistemas y redes. La organización puede dar cuenta de forma rápida y eficiente de los cambios en los objetivos empresariales o de misión en la forma en que se aborda y comunica el riesgo.</t>
  </si>
  <si>
    <t xml:space="preserve">La organización entiende su rol, es conciente de sus dependencias y de sus dependientes en el ecosistema global y contribuye a la comprensión más amplia de los riesgos por parte de la comunidad. Recibe, genera y revisa información priorizada que informa el análisis continuo de sus riesgos a medida que evolucionan los paisajes de amenazas y de tecnología. La organización comparte esa información interna y externamente con otros colaboradores. La organización utiliza información en tiempo real o casi en tiempo real para comprender y actuar de forma coherente sobre los riesgos de la cadena de cibesuministro asociados con los productos y servicios que proporciona y que utiliza. Además, se comunica de manera proactiva, utilizando mecanismos formales (por ejemplo, acuerdos) e informales para desarrollar y mantener relaciones sólidas en la cadena de suministro.</t>
  </si>
  <si>
    <t xml:space="preserve">Métricas e Informes</t>
  </si>
  <si>
    <t xml:space="preserve">DSS05.02</t>
  </si>
  <si>
    <t xml:space="preserve">Manage network and connectivity security.</t>
  </si>
  <si>
    <t xml:space="preserve">Existen procedimientos y controles para gestionar el flujo de información?</t>
  </si>
  <si>
    <t xml:space="preserve">Information flow control regulates where information is allowed to travel within an information system and between information systems.
Dedicated connections between information systems should be authorized.
The interconnection interface characteristics, security requirements, and the nature of the communication should be documented.</t>
  </si>
  <si>
    <t xml:space="preserve">Medido</t>
  </si>
  <si>
    <t xml:space="preserve">Implantada</t>
  </si>
  <si>
    <t xml:space="preserve">Proceso de Mejora</t>
  </si>
  <si>
    <t xml:space="preserve">APO02.02</t>
  </si>
  <si>
    <t xml:space="preserve">Assess the current environment, capabilities and performance.</t>
  </si>
  <si>
    <t xml:space="preserve">Se lleva un control formal sobre qué dispositivos se usan fuera de la organización?</t>
  </si>
  <si>
    <t xml:space="preserve">Optimizado</t>
  </si>
  <si>
    <t xml:space="preserve">Los dispositivos que se usan fuera de la organización, están debidamente protegidos?</t>
  </si>
  <si>
    <t xml:space="preserve">APO03.03</t>
  </si>
  <si>
    <t xml:space="preserve">Select opportunities and solutions.</t>
  </si>
  <si>
    <t xml:space="preserve">Se aprovechan las oportunidades que surgen de la propia actividad de la organización para impulsar la evolución de los recursos de TI, dando intervención a partes interesadas de la comunidad usuaria?</t>
  </si>
  <si>
    <t xml:space="preserve">The organization should conduct analysis of identified services (e.g., a business impact analysis) to determine the impact to the organization of the loss or disruption of each service.
The results of this analysis should then be used to prioritize the organizational services.</t>
  </si>
  <si>
    <t xml:space="preserve">APO03.04</t>
  </si>
  <si>
    <t xml:space="preserve">Define architecture implementation.</t>
  </si>
  <si>
    <t xml:space="preserve">Los proyectos de TI están adecuadamente alineados con los de la organización, de manera de asegurar la entrega de valor y el adecuado aprovechamiento de las inversiones?</t>
  </si>
  <si>
    <t xml:space="preserve">Al momento de clasificar los activos de información se considera su criticidad?</t>
  </si>
  <si>
    <t xml:space="preserve">Prioritization should be used to identify the facilities that should be the focus of protection and sustainment activities.
Periodic review and validation of the prioritization of facilities is needed to account for operational and organizational environment changes.</t>
  </si>
  <si>
    <t xml:space="preserve">APO01.02</t>
  </si>
  <si>
    <t xml:space="preserve">Establish roles and responsibilities.</t>
  </si>
  <si>
    <t xml:space="preserve">Están claramente identificados los responsables de la seguridad de la información, sus roles y obligaciones? Los involucrados tienen clara su participación?</t>
  </si>
  <si>
    <t xml:space="preserve">DSS06.03</t>
  </si>
  <si>
    <t xml:space="preserve">Manage roles, responsibilities, access privileges and levels of authority.</t>
  </si>
  <si>
    <t xml:space="preserve">Se gestionan adecuadamente los roles asignados para la seguridad de la información? (permisos, cuentas privilegiadas, eliminaciones a tiempo)</t>
  </si>
  <si>
    <t xml:space="preserve">APO08.04</t>
  </si>
  <si>
    <t xml:space="preserve">Co-ordinate and communicate.</t>
  </si>
  <si>
    <t xml:space="preserve">La entrega de servicios se coordina activamente con las partes interesadas?</t>
  </si>
  <si>
    <t xml:space="preserve">APO08.05</t>
  </si>
  <si>
    <t xml:space="preserve">Provide input to the continual improvement of services.</t>
  </si>
  <si>
    <t xml:space="preserve">Los cambios en la tecnología y en los requisitos del negocio son tomados como entradas para la mejora y evolución de los servicios de TI?</t>
  </si>
  <si>
    <t xml:space="preserve">APO10.03</t>
  </si>
  <si>
    <t xml:space="preserve">Manage supplier relationships and contracts.</t>
  </si>
  <si>
    <t xml:space="preserve">Las relaciones con los proveedores se manejan mediante contratos actualizados adecuadamente, ajustados a los requisitos de la organización?</t>
  </si>
  <si>
    <t xml:space="preserve">APO10.04</t>
  </si>
  <si>
    <t xml:space="preserve">Manage supplier risk.</t>
  </si>
  <si>
    <t xml:space="preserve">Se contempla la posibilidad de que un proveedor deje de proveer el servicio o activo para el que se le contrató?</t>
  </si>
  <si>
    <t xml:space="preserve">APO10.05</t>
  </si>
  <si>
    <t xml:space="preserve">Monitor supplier performance and compliance.</t>
  </si>
  <si>
    <t xml:space="preserve">Se lleva un control formal del desempeño de los proveedores, como para poder evaluarlos periódicamente?</t>
  </si>
  <si>
    <t xml:space="preserve">APO02.06</t>
  </si>
  <si>
    <t xml:space="preserve">Communicate the IT strategy and direction.</t>
  </si>
  <si>
    <t xml:space="preserve">Se comunica claramente las estrategias de TI y de seguridad de la información a las partes usuarias interesadas dentro de la organización?</t>
  </si>
  <si>
    <t xml:space="preserve">APO03.01</t>
  </si>
  <si>
    <t xml:space="preserve">Develop the enterprise architecture vision.</t>
  </si>
  <si>
    <t xml:space="preserve">Se comunica a la alta dirección una visión de alto nivel de los planes de evolución hacia el estado deseado, explicando claramente como este se alineará con las metas y objetivos estratégicos planteados?</t>
  </si>
  <si>
    <t xml:space="preserve">APO02.01</t>
  </si>
  <si>
    <t xml:space="preserve">Understand enterprise direction.</t>
  </si>
  <si>
    <t xml:space="preserve">Se toman en consideración el ambiente actual de la organización, su estrategia global y planes a futuro, así como los procesos de gestión en curso y otros factores externos para establecer la estrategia de TI?</t>
  </si>
  <si>
    <t xml:space="preserve">Se establecen claramente cuales son las prioridades para poder dar cumplimiento a las metas de la organización, y se comunican a las partes involucradas?</t>
  </si>
  <si>
    <t xml:space="preserve">Se comunican a la alta dirección las prioridades establecidas para el cumplimiento de la estrategia de TI trazada?</t>
  </si>
  <si>
    <t xml:space="preserve">Está claramente establecida la cadena de dependencias para los servicios críticos de la organización, involucrando hardware, software, roles internos, proveedores y servicios?</t>
  </si>
  <si>
    <t xml:space="preserve">DSS04.02</t>
  </si>
  <si>
    <t xml:space="preserve">Maintain a continuity strategy.</t>
  </si>
  <si>
    <t xml:space="preserve">Se han evaluado diferentes opciones para la continuidad del negocio y se ha optado por la más adecuada en términos económicos y de viabilidad operativa?</t>
  </si>
  <si>
    <t xml:space="preserve">APO01.03</t>
  </si>
  <si>
    <t xml:space="preserve">Maintain the enablers of the management system.</t>
  </si>
  <si>
    <t xml:space="preserve">Se hace un adecuado manejo de expectativas y requerimientos a partir de las políticas de seguridad de la información establecidas, contribuyendo a una adecuada interpretación de parte de las áreas involucradas?</t>
  </si>
  <si>
    <t xml:space="preserve">EDM01.01</t>
  </si>
  <si>
    <t xml:space="preserve">Evaluate the governance system.</t>
  </si>
  <si>
    <t xml:space="preserve">Se revisa periódicamente la política de seguridad de la información para asegurar su alineación con los objetivos y metas de la organización, analizando los nuevos requerimientos y evaluando la adecuación de la estrategia vigente?</t>
  </si>
  <si>
    <t xml:space="preserve">EDM01.02</t>
  </si>
  <si>
    <t xml:space="preserve">Direct the governance system.</t>
  </si>
  <si>
    <t xml:space="preserve">Se asegura que lo indicado en las políticas de seguridad de la información está alineado con lo establecido por la alta dirección de la organización, en lo que hace a diseño funcional, toma de decisiones y niveles de autoridad?</t>
  </si>
  <si>
    <t xml:space="preserve">APO13.02</t>
  </si>
  <si>
    <t xml:space="preserve">Define and manage an information security risk treatment plan.</t>
  </si>
  <si>
    <t xml:space="preserve">Están claramente establecidos los roles relacionados con la seguridad de la información y sus vinculaciones con eventuales proveedores de servicios para dar apoyo a las distintas funciones?</t>
  </si>
  <si>
    <t xml:space="preserve">MEA03.01</t>
  </si>
  <si>
    <t xml:space="preserve">Identify external compliance requirements.</t>
  </si>
  <si>
    <t xml:space="preserve">Están claramente identificados y comprendidos los requisitos legales y regulatorios con respecto a la seguridad de la información con los que debe cumplir la organización y hay un aseguramiento de su cumplimiento en tiempo y forma?</t>
  </si>
  <si>
    <t xml:space="preserve">MEA03.04</t>
  </si>
  <si>
    <t xml:space="preserve">Obtain assurance of external compliance.</t>
  </si>
  <si>
    <t xml:space="preserve">Existe algún compromiso de cumplimiento con algún cuerpo de buenas prácticas reconocido y se realizan periódicamente auditorías externas para verificar el cumplimiento con el mismo?</t>
  </si>
  <si>
    <t xml:space="preserve">Hay una política que establezca claramente las bases para maximizar la resiliencia de la organización ante la materialización de eventuales amenazas para la seguridad de la información y la continuidad de las operaciones?</t>
  </si>
  <si>
    <t xml:space="preserve">APO12.01</t>
  </si>
  <si>
    <t xml:space="preserve">Collect data.</t>
  </si>
  <si>
    <t xml:space="preserve">Se gestiona la recolección de los logs generados por los diferentes sistemas?</t>
  </si>
  <si>
    <t xml:space="preserve">APO12.02</t>
  </si>
  <si>
    <t xml:space="preserve">Analyse risk.</t>
  </si>
  <si>
    <t xml:space="preserve">Se analizan efectivamente los logs generados por los diferentes sistemas para detectar eventuales vulnerabilidades o amenazas y actuar en consecuencia?</t>
  </si>
  <si>
    <t xml:space="preserve">APO12.03</t>
  </si>
  <si>
    <t xml:space="preserve">Maintain a risk profile.</t>
  </si>
  <si>
    <t xml:space="preserve">Se identifican los riesgos asociados a cada uno de los activos de información, considerando su frecuencia esperada e impacto potencial?</t>
  </si>
  <si>
    <t xml:space="preserve">APO12.04</t>
  </si>
  <si>
    <t xml:space="preserve">Articulate risk.</t>
  </si>
  <si>
    <t xml:space="preserve">Se comunica oportunamente a las partes usuarias involucradas sobre el estado actual de posibles exposiciones de seguridad, para un adecuado manejo de los mismos, de manera de mitigar la exposición en tanto no se adoptan las acciones correctivas necesarias?</t>
  </si>
  <si>
    <t xml:space="preserve">Se está en contacto con agrupaciones u organizaciones que permitan estar al tanto de las últimas novedades en lo que hace a la seguridad de la información, en especial relacionada con las tecnologías en uso en la organización?</t>
  </si>
  <si>
    <t xml:space="preserve">Se identifican las amenazas detectadas a partir de los logs recolectados?</t>
  </si>
  <si>
    <t xml:space="preserve">Se evalúan los riesgos derivados de las amenazas detectadas mediante el análisis de los logs recolectados?</t>
  </si>
  <si>
    <t xml:space="preserve">Se asienta en algún medio la detección de amenazas o vulnerabilidades al hacer el análisis de los logs recolectados, se establecen acciones a seguir y se hace el seguimiento de las mismas?</t>
  </si>
  <si>
    <t xml:space="preserve">Se comunica oportunamente a las partes usuarias en general sobre nuevas amenazas para la seguridad de la información, para evitar conductas inapropiadas y eventuales exposiciones innecesarias?</t>
  </si>
  <si>
    <t xml:space="preserve">Se hace periódicamente un análisis de riesgos?</t>
  </si>
  <si>
    <t xml:space="preserve">En el análisis de riesgos se consideran las vulnerabilidades conocidas, eventuales amenazas, su probabilidad de materialización e impacto?</t>
  </si>
  <si>
    <t xml:space="preserve">APO12.05</t>
  </si>
  <si>
    <t xml:space="preserve">Define a risk management action portfolio.</t>
  </si>
  <si>
    <t xml:space="preserve">El conjunto de políticas de seguridad de la información establece actividades de control alineadas con el apetito de riesgo y la tolerancia ante el mismo de la organización?</t>
  </si>
  <si>
    <t xml:space="preserve">Se analizan debidamente los eventos de seguridad y se escalan de acuerdo a la prioridad que reciben a partir del análisis?</t>
  </si>
  <si>
    <t xml:space="preserve">Se comunican a las partes involucradas eventuales cambios en políticas o procedimientos vinculados con el tratamiento de los riesgos de seguridad de la información?</t>
  </si>
  <si>
    <t xml:space="preserve">Las políticas de seguridad de la información y los procedimientos asociados, son adecuadamente accesibles por parte de las partes interesadas y cuentan con las aprobaciones pertinentes?</t>
  </si>
  <si>
    <t xml:space="preserve">Los procesos mediante los cuales se han de tratar los eventos e incidentes de seguridad son de conocimiento de las partes interesadas y cuentan con la aprobación de las mismas?</t>
  </si>
  <si>
    <t xml:space="preserve">BAI02.03</t>
  </si>
  <si>
    <t xml:space="preserve">Manage requirements risk.</t>
  </si>
  <si>
    <t xml:space="preserve">Al analizar un nuevo requerimiento del negocio, se identifican, documentan, priorizan y mitigan los riesgos funcionales y técnicos que se detectan, tanto en la solicitud original como en la solución propuesta?</t>
  </si>
  <si>
    <t xml:space="preserve">BAI04.02 </t>
  </si>
  <si>
    <t xml:space="preserve">Assess business impact.</t>
  </si>
  <si>
    <t xml:space="preserve">Para los servicios críticos de la organización, se han estudiado las dependencias y el impacto que tendría sobre los primeros la indisponibilidad de alguno de los activos involurados,así como se han establecido niveles de servicio comprometidos?</t>
  </si>
  <si>
    <t xml:space="preserve">APO12.06</t>
  </si>
  <si>
    <t xml:space="preserve">Respond to risk.</t>
  </si>
  <si>
    <t xml:space="preserve">La alta dirección manifiesta su tolerancia al riesgo  mediante la suscripción de algún documento en que se le informe acerca de los riesgos residuales después de la aplicación de los controles definidos para ser implementados? (aceptación documentada del riesgo residual)</t>
  </si>
  <si>
    <t xml:space="preserve">La tolerancia al riesgo de la organización es acorde a su rol en el contexto nacional o regional?</t>
  </si>
  <si>
    <t xml:space="preserve">Con respecto a la cibercadena de suministros, ¿los procesos de gestión del riesgo han sido identificados, están establecidos, y son evaluados, gestionados y acordados por todas las partes interesadas de la organización?</t>
  </si>
  <si>
    <t xml:space="preserve">¿Hay un registro formal que identifique y priorice proveedores de sistemas, componentes y servicios de información así como también otros terceros vinculados, y los mismos son evaluados mediante un proceso de evaluación del riesgo en la cibercadena de suministros?</t>
  </si>
  <si>
    <t xml:space="preserve">¿Existen contratos con proveedores y otros terceros vinculados, y a través de ellos se implementan medidas de seguridad apropiadas orientadas a cumplir con el programa de ciberseguridad de la organización y con su plan de gestión de riesgos en la cibercadena de suministros?</t>
  </si>
  <si>
    <t xml:space="preserve">¿Se hacen evaluaciones periódicas de los proveedores y otros terceros vinculados, mediante auditorías, pruebas u otras formas de evaluación, para confirmar que están en cumplimiento de sus obligaciones contractuales?</t>
  </si>
  <si>
    <t xml:space="preserve">¿En las pruebas de los planes de respuesta y recuperación de la organización, se involucran a los proveedores y otros terceros vinculados, miembros de la cibercadena de suministros?</t>
  </si>
  <si>
    <t xml:space="preserve">DSS05.04</t>
  </si>
  <si>
    <t xml:space="preserve">Manage user identity and logical access.</t>
  </si>
  <si>
    <t xml:space="preserve">Existen procedimientos establecidos para la adecuada gestión de roles e identidades de usuarios y permisos sobre los activos de información?</t>
  </si>
  <si>
    <t xml:space="preserve">Se involucra a los dueños de los activos de información en la asignación de roles y permisos sobre los mismos, como parte de la gestión de permisos y roles?</t>
  </si>
  <si>
    <t xml:space="preserve">DSS01.04</t>
  </si>
  <si>
    <t xml:space="preserve">Manage the environment.</t>
  </si>
  <si>
    <t xml:space="preserve">Existen controles físicos de acceso a las zonas en que residen equipos de procesamiento o comunicaciones, o donde hay activos de información almacenados? </t>
  </si>
  <si>
    <t xml:space="preserve">DSS05.05</t>
  </si>
  <si>
    <t xml:space="preserve">Manage physical access to IT assets.</t>
  </si>
  <si>
    <t xml:space="preserve">Los activos físicos de TI disponen de algún tipo de seguridad más allá de la de acceso al recinto en que se encuentren?</t>
  </si>
  <si>
    <t xml:space="preserve">APO13.01</t>
  </si>
  <si>
    <t xml:space="preserve">Establish and maintain an ISMS.</t>
  </si>
  <si>
    <t xml:space="preserve">En el SGSI existente se establecen políticas y procedimientos para el acceso remoto?</t>
  </si>
  <si>
    <t xml:space="preserve">Existe una política y su correspondiente procedimiento para el acceso remoto en general a los activos de información de la organización?</t>
  </si>
  <si>
    <t xml:space="preserve">DSS05.03</t>
  </si>
  <si>
    <t xml:space="preserve">Manage endpoint security.</t>
  </si>
  <si>
    <t xml:space="preserve">Está controlado el acceso remoto a los puestos de trabajo?</t>
  </si>
  <si>
    <t xml:space="preserve">Se sigue el principio de menor privilegio necesario al asignar permisos? 
Se segregan funciones de la mejor manera posible como para evitar que funciones con intereses opuestos recaigan en una misma persona?</t>
  </si>
  <si>
    <t xml:space="preserve">De ser posible en base a las actividades de los distintos sectores, ¿se segmenta la red interna de manera de dificultar los accesos a activos que no se necesitan?</t>
  </si>
  <si>
    <t xml:space="preserve">¿Las identidades son verificadas, están vinculadas a las credenciales, y son reconfirmadas durante las interacciones?</t>
  </si>
  <si>
    <t xml:space="preserve">¿Se toma en consideración el riesgo de la transacción (contexto del usuario, ubicación geográfica, hora, datos involucrados) para hacer una adecuada autenticación (usando uno o más factores) de usuarios, dispositivos y demás activos?</t>
  </si>
  <si>
    <t xml:space="preserve">APO07.03</t>
  </si>
  <si>
    <t xml:space="preserve">Maintain the skills and competencies of personnel.</t>
  </si>
  <si>
    <t xml:space="preserve">Existe un programa de capacitación y concientización sobre seguridad de la información que llegue a todos los funcionarios y se evalúa su resultado?</t>
  </si>
  <si>
    <t xml:space="preserve">BAI05.07</t>
  </si>
  <si>
    <t xml:space="preserve">Sustain changes.</t>
  </si>
  <si>
    <t xml:space="preserve">Ante cambios, los funcionarios son adecuadamente entrenados y apoyados y se revisan los resultados, así como se muestra involucramiento en los mismos por parte de la alta gerencia?</t>
  </si>
  <si>
    <t xml:space="preserve">APO07.02</t>
  </si>
  <si>
    <t xml:space="preserve">Identify key IT personnel.</t>
  </si>
  <si>
    <t xml:space="preserve">Los funcionarios clave de TI y vinculados a la seguridad de la información son concientes del rol que desempeñan y tienen claras sus responsabilidades y se testea regularmente que esto sea así?</t>
  </si>
  <si>
    <t xml:space="preserve">Se hace una asignación responsable y medida de privilegios administrativos sobre los diferentes activos, y sus adjudicatarios tienen claro lo que esto implica?</t>
  </si>
  <si>
    <t xml:space="preserve">Existen formas de aseguramiento del compromiso y de la clara comprensión de roles y responsabilidades para eventuales externos con los que se interactúa?</t>
  </si>
  <si>
    <t xml:space="preserve">Se comunica de alguna forma a proveedores y otros externos, cual es su rol en el esquema general de seguridad de la información y se establecen claramente cuales son sus responsabilidades, en forma contractual?</t>
  </si>
  <si>
    <t xml:space="preserve">Se deja en claro a proveedores, clientes, y demás terceras partes que rol desempeñan en el esquema de seguridad de la información y que se espera de ellos al respecto?</t>
  </si>
  <si>
    <t xml:space="preserve">Existen formas de aseguramiento de la clara comprensión de sus roles y responsabilidades por parte de las gerencias en general incluyendo la alta gerencia?</t>
  </si>
  <si>
    <t xml:space="preserve">Existen formas de aseguramiento de la clara comprensión de sus roles y responsabilidades por parte del personal de seguridad física y de la información?</t>
  </si>
  <si>
    <t xml:space="preserve">APO01.06</t>
  </si>
  <si>
    <t xml:space="preserve">Define information (data) and system ownership.</t>
  </si>
  <si>
    <t xml:space="preserve">La protección de los datos en reposo está avalada por sus dueños y estos toman parte en el proceso de decisión de cómo y de qué protegerlos?</t>
  </si>
  <si>
    <t xml:space="preserve">BAI02.01</t>
  </si>
  <si>
    <t xml:space="preserve">Define and maintain business functional and technical requirements.</t>
  </si>
  <si>
    <t xml:space="preserve">Las defensas aplicadas sobre los datos en reposo están alineadas con las funcionalidades requeridas por el negocio?</t>
  </si>
  <si>
    <t xml:space="preserve">BAI06.01</t>
  </si>
  <si>
    <t xml:space="preserve">Evaluate, prioritise and authorise change requests.</t>
  </si>
  <si>
    <t xml:space="preserve">En caso de requerirse un cambio sobre los permisos de acceso a datos en reposo, el mismo es debidmente analizado y autorizado por los dueños de los datos?</t>
  </si>
  <si>
    <t xml:space="preserve">DSS06.06</t>
  </si>
  <si>
    <t xml:space="preserve">Secure information assets.</t>
  </si>
  <si>
    <t xml:space="preserve">Los datos en reposo se encuentran adecuadamente protegidos en función de su grado de clasificación y no son accesibles más que mediante los procedimientos previstos?</t>
  </si>
  <si>
    <t xml:space="preserve">La protección de los datos en tránsito está avalada por sus dueños y estos toman parte en el proceso de decisión de cómo y de qué protegerlos?</t>
  </si>
  <si>
    <t xml:space="preserve">Las defensas aplicadas sobre los datos en tránsito están alineadas con las funcionalidades requeridas por el negocio?</t>
  </si>
  <si>
    <t xml:space="preserve">Además de los datos trasmitidos en forma electrónica, están debidamente protegidos todos los datos que sean transferidos de alguna otra forma (respaldos, impresos, etc.)?</t>
  </si>
  <si>
    <t xml:space="preserve">Los datos en tránsito se encuentran adecuadamente protegidos en función de su grado de clasificación y no son accesibles más que mediante los procedimientos previstos?</t>
  </si>
  <si>
    <t xml:space="preserve">BAI09.03</t>
  </si>
  <si>
    <t xml:space="preserve">Manage the asset life cycle.</t>
  </si>
  <si>
    <t xml:space="preserve">Se lleva un registro formal y documentado de todas las actividades de retiro, transferencia, (re)ingreso y eliminación, hechas sobre activos físicos de información?</t>
  </si>
  <si>
    <t xml:space="preserve">En el SGSI existente, se establecen políticas y procedimientos para monitorear periódica y regularmente las diferentes capacidades, como para asegurar la disponibilidad de los recursos, y hay quienes se encarguen de cumplir con los mismos?</t>
  </si>
  <si>
    <t xml:space="preserve">Los dueños de los datos son concientes de la problemática de la fuga de información y participan en la selección de defensas y sus características?</t>
  </si>
  <si>
    <t xml:space="preserve">DSS05.06</t>
  </si>
  <si>
    <t xml:space="preserve">Manage sensitive documents and output devices.</t>
  </si>
  <si>
    <t xml:space="preserve">Los activos de información muy sensibles están debidamente protegidos de fugas electrónicas, físicas, impresas o de cualquier otro tipo?</t>
  </si>
  <si>
    <t xml:space="preserve">Existe algún procedimiento automatizado que permita verificar la integridad de los datos críticos en forma periódica o a demanda?</t>
  </si>
  <si>
    <t xml:space="preserve">BAI07.04</t>
  </si>
  <si>
    <t xml:space="preserve">Establish a test environment.</t>
  </si>
  <si>
    <t xml:space="preserve">Existen y se usan entornos de desarrollo y pruebas, separados del de producción?</t>
  </si>
  <si>
    <t xml:space="preserve">¿Se utiliza alguna forma de verificación de integridad sobre el hardware?</t>
  </si>
  <si>
    <t xml:space="preserve">BAI10.01</t>
  </si>
  <si>
    <t xml:space="preserve">Establish and maintain a configuration model.</t>
  </si>
  <si>
    <t xml:space="preserve">¿Existen plantillas básicas de configuración para la seguridad de los distintos activos de información en uso?</t>
  </si>
  <si>
    <t xml:space="preserve">BAI10.02</t>
  </si>
  <si>
    <t xml:space="preserve">Establish and maintain a configuration repository and baseline.</t>
  </si>
  <si>
    <t xml:space="preserve">¿Existe un repositorio específico para las plantillas básicas de configuración?</t>
  </si>
  <si>
    <t xml:space="preserve">BAI10.05</t>
  </si>
  <si>
    <t xml:space="preserve">Verify and review integrity of the configuration repository.</t>
  </si>
  <si>
    <t xml:space="preserve">Se revisan periódicamente las plantillas básicas de configuración disponibles?</t>
  </si>
  <si>
    <t xml:space="preserve">¿Está establecido en alguna política cómo se implementan los ciclos de vida de los diferentes sistemas?</t>
  </si>
  <si>
    <t xml:space="preserve">Los cambios sobre las configuraciones de sistemas en general, ¿siguen un adecuado proceso documentado de gestión de cambio, con solicitud, análisis, autorización o denegación y resultado final?</t>
  </si>
  <si>
    <t xml:space="preserve">BAI01.06</t>
  </si>
  <si>
    <t xml:space="preserve">Monitor, control and report on the programme outcomes.</t>
  </si>
  <si>
    <t xml:space="preserve">¿Se generan reportes periódicos y sistemáticos sobre los cambios realizados?</t>
  </si>
  <si>
    <t xml:space="preserve">APO13.01 </t>
  </si>
  <si>
    <t xml:space="preserve">¿Se han establecido políticas y procedimientos relativos a la realización de respaldos de la información, así como a su verificación y pruebas de recuperación?</t>
  </si>
  <si>
    <t xml:space="preserve">¿Se han establecido políticas y procedimientos que aseguren escritorios limpios, oficinas protegidas, detección temprana de amenazas ambientales, destrucción adecuada de activos de información descartados?</t>
  </si>
  <si>
    <t xml:space="preserve">Cuando se eliminan datos, ya sean electrónicos o no, ¿la eliminación se hace según lo indicado en algún procedimiento específico?</t>
  </si>
  <si>
    <t xml:space="preserve">APO11.06</t>
  </si>
  <si>
    <t xml:space="preserve">Maintain continuous improvement.</t>
  </si>
  <si>
    <t xml:space="preserve">Se hacen revisiones periódicas de los procesos de protección, y se les mejora en la medida de lo posible y necesario?</t>
  </si>
  <si>
    <t xml:space="preserve">DSS04.05</t>
  </si>
  <si>
    <t xml:space="preserve">Review, maintain and improve the continuity plan.</t>
  </si>
  <si>
    <t xml:space="preserve">Los cambios que se hacen en los controles de protección en producción, son reflejados en los planes de continuidad del negocio?</t>
  </si>
  <si>
    <t xml:space="preserve">Se intercambia información de resultados de controles con algún grupo o comunidad especializada de la que se forme parte?</t>
  </si>
  <si>
    <t xml:space="preserve">DSS04.03</t>
  </si>
  <si>
    <t xml:space="preserve">Develop and implement a business continuity response.</t>
  </si>
  <si>
    <t xml:space="preserve">Existe un plan de continuidad de las operaciones que asegure la entrega de los servicios críticos de TI que dan soporte a las actividades críticas de la organización?</t>
  </si>
  <si>
    <t xml:space="preserve">DSS04.04</t>
  </si>
  <si>
    <t xml:space="preserve">Exercise, test and review the BCP.</t>
  </si>
  <si>
    <t xml:space="preserve">Se ejecutan pruebas regulares y documentadas del plan de continuidad de las operaciones?</t>
  </si>
  <si>
    <t xml:space="preserve">APO07.01</t>
  </si>
  <si>
    <t xml:space="preserve">Maintain adequate and appropriate staffing.</t>
  </si>
  <si>
    <t xml:space="preserve">Se atienden adecuadamente las necesidades de nuevo personal en lo relativo a seguridad de la información?</t>
  </si>
  <si>
    <t xml:space="preserve">Se establece la necesidad de tomar licencias anuales por parte de los funcionarios en general y se minimiza la asignación de tareas críticas a una única persona, para evitar una gran dependencia?</t>
  </si>
  <si>
    <t xml:space="preserve">Dentro de las prácticas habituales del área de RRHH se hace referencia clara a la  responsabilidad que cada funcionario tiene y el rol que desempeña, en lo que hace a la seguridad de la información?</t>
  </si>
  <si>
    <t xml:space="preserve">APO07.04</t>
  </si>
  <si>
    <t xml:space="preserve">Evaluate employee job performance.</t>
  </si>
  <si>
    <t xml:space="preserve">Se evalúa periódicamente el desempeño de los funcionarios en cuanto a su postura ante la seguridad de la información?</t>
  </si>
  <si>
    <t xml:space="preserve">APO07.05</t>
  </si>
  <si>
    <t xml:space="preserve">Plan and track the usage of IT and business human resources.</t>
  </si>
  <si>
    <t xml:space="preserve">Se anticipa la necesidad de personal vinculado a TI y a la seguridad de la información y se hace que la misma sea parte de los planes globales de la organización?</t>
  </si>
  <si>
    <t xml:space="preserve">Existe un programa para la detección de vulnerabilidades, o al menos se atienden en tiempo y forma las reportadas por los fabricantes, registrando las pertinentes y haciendo un seguimiento documentado de sus resoluciones?</t>
  </si>
  <si>
    <t xml:space="preserve">Las acciones correctivas y de reparación o mantenimiento sobre los activos de información quedan formalmente registradas y documentadas?</t>
  </si>
  <si>
    <t xml:space="preserve">Existen procedimientos que establezcan reglas para el acceso remoto de los administradores?</t>
  </si>
  <si>
    <t xml:space="preserve">APO11.04</t>
  </si>
  <si>
    <t xml:space="preserve">Perform quality monitoring, control and reviews.</t>
  </si>
  <si>
    <t xml:space="preserve">Se revisa periódicamente que los registros de auditoría recolectados mantengan su pertinencia y sean almacenados y tratados adecuadamente para cumplir con su propósito?</t>
  </si>
  <si>
    <t xml:space="preserve">¿Existen procedimientos y controles para gestionar el uso de dispositivos extraíbles?</t>
  </si>
  <si>
    <t xml:space="preserve">¿Se han establecido políticas y procedimientos que determinen como se pueden utilizar los medios extraíbles?</t>
  </si>
  <si>
    <t xml:space="preserve">Se aplica el criterio de menor privilegio a la hora de dar acceso a los activos de información?</t>
  </si>
  <si>
    <t xml:space="preserve">Existen controles para proteger las comunicaciones en las redes? VPNs? Firewalls?</t>
  </si>
  <si>
    <t xml:space="preserve">¿Se han establecido políticas y procedimientos para la proteccion de las comunicaciones en general y en particular para el tráfico sobre redes?</t>
  </si>
  <si>
    <t xml:space="preserve">¿Se han definido e implementado mecanismos (tales como falla segura, balanceo de carga, hot swap) para cumplir con los requerimientos de resiliencia, tanto en casos de normalidad como en situaciones adversas?</t>
  </si>
  <si>
    <t xml:space="preserve">DSS03.01</t>
  </si>
  <si>
    <t xml:space="preserve">Identify and classify problems.</t>
  </si>
  <si>
    <t xml:space="preserve">¿Existe algún procedimiento sistematizado al que puedan recurrir los usuarios y estos están en conocimiento de su uso, para el reporte de eventos y situaciones anómalas en general?</t>
  </si>
  <si>
    <t xml:space="preserve">Dado el sistema de registro de eventos, se procede a su clasificación y posterior tratamiento y escalamiento si corresponde, y hay responsables claramente asignados?</t>
  </si>
  <si>
    <t xml:space="preserve">Se dispone de algún sistema central de monitoreo que abarque todas las zonas de red existentes, reciba sus eventos, sea capaz de detectar incidentes y disparar alarmas en consecuencia?</t>
  </si>
  <si>
    <t xml:space="preserve">En el análisis de riesgos, se toma en cuenta el impacto que los potenciales incidentes de seguridad podrían tener sobre los activos considerados?</t>
  </si>
  <si>
    <t xml:space="preserve">En los procedimientos que corresponda, están claramente expresados los umbrales a partir de los cuales las alarmas deberían ser disparadas, avisando de la ocurrencia de un posible incidente de seguridad?</t>
  </si>
  <si>
    <t xml:space="preserve">DSS05.07</t>
  </si>
  <si>
    <t xml:space="preserve">Monitor the infrastructure for security-related events.</t>
  </si>
  <si>
    <t xml:space="preserve">Se dispone de herramientas para la detección de actividad anómala sobre los servidores, puestos de trabajo y la red de comunicaciones?</t>
  </si>
  <si>
    <t xml:space="preserve">Se monitorea el acceso físico de personas a áreas en las que se dispone de equipos de procesamiento de datos en general o de comunicaciones?</t>
  </si>
  <si>
    <t xml:space="preserve">Se controla lo que pueden hacer los usuarios con sus puestos de trabajo, así como su actividad en Internet?</t>
  </si>
  <si>
    <t xml:space="preserve">DSS05.01</t>
  </si>
  <si>
    <t xml:space="preserve">Protect against malware.</t>
  </si>
  <si>
    <t xml:space="preserve">Se dispone de defensas que protejan del malware, tanto a nivel de puestos de trabajo, como de servidores, entornos virtuales, entornos de nube y perímetros locales?</t>
  </si>
  <si>
    <t xml:space="preserve">En caso de que la organización proporcione a algunos de sus funcionarios dispositivos móviles inteligentes, hay algún tipo de control sobre la actividad en los mismos, en cuanto a apps instaladas?</t>
  </si>
  <si>
    <t xml:space="preserve">APO07.06</t>
  </si>
  <si>
    <t xml:space="preserve">Manage contract staff.</t>
  </si>
  <si>
    <t xml:space="preserve">Existen acuerdos de confidencialidad y responsabilidad sobre las acciones realizadas sobre los activos de información de la organización, con todos los proveedores que de alguna forma interactúen con los mismos?</t>
  </si>
  <si>
    <t xml:space="preserve">Existen mecanismos que alerten sobre actividades no autorizadas, ya sea por parte de usuarios, dispositivos, programas, etc.?</t>
  </si>
  <si>
    <t xml:space="preserve">BAI03.10</t>
  </si>
  <si>
    <t xml:space="preserve">Maintain solutions.</t>
  </si>
  <si>
    <t xml:space="preserve">Se realizan periódicamente escaneos de vulnerabilidades mediante pruebas de penetración por parte de terceros especializados?</t>
  </si>
  <si>
    <t xml:space="preserve">Está claramente definido mediante un procedimiento que es lo que se debe hacer cuando se detecta algún tipo de malware en algún activo de información y quienes son responsables de hacerlo?</t>
  </si>
  <si>
    <t xml:space="preserve">Ninguno de los procedimientos de detección de actividades maliciosas entra en conflicto con alguna disposición legal o contractual existente?</t>
  </si>
  <si>
    <t xml:space="preserve">Existen procedimientos para verificar el funcionamiento de los controles, por ejemplo mediante la ejecución de pruebas de penetración?</t>
  </si>
  <si>
    <t xml:space="preserve">Ante la detección de incidentes confirmados de seguridad, se comunica al respecto de los mismos a las partes internas involucradas o potencialmente afectadas?</t>
  </si>
  <si>
    <t xml:space="preserve">Se hacen revisiones periódicas de los procesos de detección y se les mejora en la medida de lo posible y necesario?</t>
  </si>
  <si>
    <t xml:space="preserve">Los cambios que se hacen en los controles de detección en producción, son reflejados en los planes de continuidad del negocio?</t>
  </si>
  <si>
    <t xml:space="preserve">BAI01.10</t>
  </si>
  <si>
    <t xml:space="preserve">Manage programme and project risk.</t>
  </si>
  <si>
    <t xml:space="preserve">Están previstos planes de respuesta ante las situaciones más probables de ocurrir que puedan ser consideradas como incidentes de seguridad?</t>
  </si>
  <si>
    <t xml:space="preserve">Todos los involucrados en actividades de respuesta ante incidentes, son concientes de sus roles y responsabilidades?</t>
  </si>
  <si>
    <t xml:space="preserve">Todos los funcionarios están al tanto de los procedimientos para reportar eventos de seguridad?</t>
  </si>
  <si>
    <t xml:space="preserve">Los planes de respuesta se ajustan en forma constante a partir de los aprendizajes derivados tanto de las actividades normales como de las de alguna forma de recuperación?</t>
  </si>
  <si>
    <t xml:space="preserve">Los planes de respuesta incluyen el mantener al tanto a las partes afectadas por el incidente que los haya disparado?</t>
  </si>
  <si>
    <t xml:space="preserve">Se intercambia información de incidentes de seguridad con algún grupo o comunidad especializada de la que se forme parte?</t>
  </si>
  <si>
    <t xml:space="preserve">DSS02.07</t>
  </si>
  <si>
    <t xml:space="preserve">Track status and produce reports.</t>
  </si>
  <si>
    <t xml:space="preserve">Se hace un adecuado seguimiento de las detecciones realizadas por el sistema de detección de actividades anómalas en uso?</t>
  </si>
  <si>
    <t xml:space="preserve">Ante un incidente de seguridad, se busca llegar a comprender exactamente que es lo que sucedió?</t>
  </si>
  <si>
    <t xml:space="preserve">En los casos que lo ameritan, se hace un análisis forense sobre los activos de información que puedan haberse visto afectados por un incidente de seguridad?</t>
  </si>
  <si>
    <t xml:space="preserve">Las respuestas ante incidentes son consistentes con la magnitud de los mismos?</t>
  </si>
  <si>
    <t xml:space="preserve">¿Se han definido e implementado procedimientos para recibir, analizar y responder a vulnerabilidades reveladas a la organización por fuentes internas y/o externas (por ejemplo pruebas internas, boletines o investigadores de seguridad)?</t>
  </si>
  <si>
    <t xml:space="preserve">Hay medidas de contención prontas para ser accionadas en caso de detectarse un incidente de seguridad en curso, para evitar su propagación y como consecuencia daños mayores?</t>
  </si>
  <si>
    <t xml:space="preserve">Los controles de seguridad implementados han demostrado ser eficaces en cuanto a amortiguar los efectos de incidentes de seguridad de la información?</t>
  </si>
  <si>
    <t xml:space="preserve">Tras el análisis de vulnerabilidades que se hace periódicamente, se activa la mitigación o la aceptación de las nuevas detectadas, y se plasma en un documento con la aceptación por parte de las autoridades?</t>
  </si>
  <si>
    <t xml:space="preserve">BAI01.13</t>
  </si>
  <si>
    <t xml:space="preserve">Close a project or iteration.</t>
  </si>
  <si>
    <t xml:space="preserve">Al cierre de la remediación de un incidente de seguridad, se recogen conclusiones y se procura aprender de lo que sucedió, registrando como conocimiento lo que corresponda, para procurar evitar repeticiones futuras?</t>
  </si>
  <si>
    <t xml:space="preserve">Los planes de respuesta se actualizan a partir de los cambios en la infraestructura tecnológica y en las necesidades del negocio de la organización?</t>
  </si>
  <si>
    <t xml:space="preserve">DSS02.05</t>
  </si>
  <si>
    <t xml:space="preserve">Resolve and recover from incidents.</t>
  </si>
  <si>
    <t xml:space="preserve">Ante un incidente de seguridad, más allá de su magnitud, se siguen los pasos de recuperación previstos y se documentan los pasos dados y los resultados obtenidos?</t>
  </si>
  <si>
    <t xml:space="preserve">DSS03.04</t>
  </si>
  <si>
    <t xml:space="preserve">Resolve and close problems.</t>
  </si>
  <si>
    <t xml:space="preserve">En caso de un incidente que requiera activar el plan de recuperación, se investiga hasta el final la causa del mismo y se toman acciones para procurar evitar que se repita?</t>
  </si>
  <si>
    <t xml:space="preserve">Se introducen cambios en los planes de recuperación de operaciones a partir de los aprendizajes hechos durante el curso normal de las mismas? </t>
  </si>
  <si>
    <t xml:space="preserve">BAI07.08</t>
  </si>
  <si>
    <t xml:space="preserve">Perform a post-implementation review.</t>
  </si>
  <si>
    <t xml:space="preserve">A partir de las pruebas periódicas del plan de continuidad de las operaciones, se recogen elementos con los que mejorar el mismo, para evitar errores y situaciones no deseadas que se hayan detectado?</t>
  </si>
  <si>
    <t xml:space="preserve">EDM03.02</t>
  </si>
  <si>
    <t xml:space="preserve">Direct risk management.</t>
  </si>
  <si>
    <t xml:space="preserve">Ante la ocurrencia de un incidente de seguridad de la información, está previsto como manejar la comunicación del mismo a los medios y fundamentalmente a terceros afectados por el mismo?</t>
  </si>
  <si>
    <t xml:space="preserve">MEA03.02</t>
  </si>
  <si>
    <t xml:space="preserve">Optimise response to external requirements.</t>
  </si>
  <si>
    <t xml:space="preserve">Las políticas y procedimientos en práctica, establecen claramente que se debería hacer para tratar de reparar la reputación de la organización, en caso de que la misma se haya visto dañada como consecuencia de un incidente de seguridad de la información?</t>
  </si>
  <si>
    <t xml:space="preserve">Durante las tareas de recuperación tras un incidente, se informa de los avances a las autoridades y a las partes interesadas internas?</t>
  </si>
  <si>
    <t xml:space="preserve">MADUREZ DESEADA - NIST/CSF versión 1.1</t>
  </si>
  <si>
    <t xml:space="preserve">Madurez deseada</t>
  </si>
  <si>
    <t xml:space="preserve">Madurez deseada promedio</t>
  </si>
  <si>
    <t xml:space="preserve">%</t>
  </si>
  <si>
    <t xml:space="preserve">Puntaje</t>
  </si>
  <si>
    <r>
      <rPr>
        <b val="true"/>
        <sz val="12"/>
        <color rgb="FF333399"/>
        <rFont val="Calibri"/>
        <family val="0"/>
        <charset val="1"/>
      </rPr>
      <t xml:space="preserve">Gestión de Activos (ID.GA.)
</t>
    </r>
    <r>
      <rPr>
        <sz val="8"/>
        <color rgb="FF333399"/>
        <rFont val="Calibri"/>
        <family val="0"/>
        <charset val="1"/>
      </rPr>
      <t xml:space="preserve">Los datos, personal, dispositivos, sistemas e instalaciones que permiten a la organización alcanzar sus objetivos de negocio, se identifican y gestionan según su importancia relativa respecto a los objetivos y la estrategia de riesgo de la organización.</t>
    </r>
  </si>
  <si>
    <t xml:space="preserve">Inicial</t>
  </si>
  <si>
    <t xml:space="preserve">Definido</t>
  </si>
  <si>
    <t xml:space="preserve">Gestionado</t>
  </si>
  <si>
    <t xml:space="preserve">GENERAL</t>
  </si>
  <si>
    <r>
      <rPr>
        <b val="true"/>
        <sz val="12"/>
        <color rgb="FF333399"/>
        <rFont val="Calibri"/>
        <family val="0"/>
        <charset val="1"/>
      </rPr>
      <t xml:space="preserve">Ambiente del negocio (ID.AN.)
</t>
    </r>
    <r>
      <rPr>
        <sz val="8"/>
        <color rgb="FF333399"/>
        <rFont val="Calibri"/>
        <family val="0"/>
        <charset val="1"/>
      </rPr>
      <t xml:space="preserve">La misión de la organización, sus objetivos, interesados y actividades son comprendidos y priorizados; esta información es utilizada para apoyar la toma de decisiones sobre roles, responsabilidades y gestión de riesgos, relacionados con la ciberseguridad.</t>
    </r>
  </si>
  <si>
    <t xml:space="preserve">Identificar</t>
  </si>
  <si>
    <t xml:space="preserve">Proteger</t>
  </si>
  <si>
    <t xml:space="preserve">Detectar</t>
  </si>
  <si>
    <t xml:space="preserve">Responder</t>
  </si>
  <si>
    <t xml:space="preserve">Recuperar</t>
  </si>
  <si>
    <r>
      <rPr>
        <b val="true"/>
        <sz val="12"/>
        <color rgb="FF333399"/>
        <rFont val="Calibri"/>
        <family val="0"/>
        <charset val="1"/>
      </rPr>
      <t xml:space="preserve">Gobernanza (ID.GO.)
</t>
    </r>
    <r>
      <rPr>
        <sz val="8"/>
        <color rgb="FF333399"/>
        <rFont val="Calibri"/>
        <family val="0"/>
        <charset val="1"/>
      </rPr>
      <t xml:space="preserve">Las políticas, procedimientos y procesos para gestionar y monitorear los requisitos regulatorios, legales, ambientales y operativos de la organización, son comprendidos y la gestión de los riesgos de ciberseguridad.</t>
    </r>
  </si>
  <si>
    <t xml:space="preserve">GA - Gestión Activos</t>
  </si>
  <si>
    <t xml:space="preserve">AN - Ambiente Negocio</t>
  </si>
  <si>
    <r>
      <rPr>
        <b val="true"/>
        <sz val="12"/>
        <color rgb="FF333399"/>
        <rFont val="Calibri"/>
        <family val="0"/>
        <charset val="1"/>
      </rPr>
      <t xml:space="preserve">Evaluación de Riesgos (ID.ER.)
</t>
    </r>
    <r>
      <rPr>
        <sz val="8"/>
        <color rgb="FF333399"/>
        <rFont val="Calibri"/>
        <family val="0"/>
        <charset val="1"/>
      </rPr>
      <t xml:space="preserve">La organización comprende cuales son los riegos de ciberseguridad que enfrentan sus operaciones (incluyendo misión, funciones, imagen o reputación), activos e individuos.</t>
    </r>
  </si>
  <si>
    <t xml:space="preserve">GO - Gobernanza</t>
  </si>
  <si>
    <t xml:space="preserve">ER - Evaluación Riesgos</t>
  </si>
  <si>
    <t xml:space="preserve">GR - Gestión Riesgos</t>
  </si>
  <si>
    <t xml:space="preserve">CS - Cadena de Suministros</t>
  </si>
  <si>
    <r>
      <rPr>
        <b val="true"/>
        <sz val="12"/>
        <color rgb="FF333399"/>
        <rFont val="Calibri"/>
        <family val="0"/>
        <charset val="1"/>
      </rPr>
      <t xml:space="preserve">Estrategia de gestión de riesgos (ID.GR.)
</t>
    </r>
    <r>
      <rPr>
        <sz val="8"/>
        <color rgb="FF333399"/>
        <rFont val="Calibri"/>
        <family val="0"/>
        <charset val="1"/>
      </rPr>
      <t xml:space="preserve">Se establecen las prioridades, restricciones, tolerancia al riesgo y supuestos de la organización y se les utiliza para dar apoyo a la toma de decisiones sobre riesgos operativos.</t>
    </r>
  </si>
  <si>
    <r>
      <rPr>
        <b val="true"/>
        <sz val="12"/>
        <color rgb="FF333399"/>
        <rFont val="Calibri"/>
        <family val="0"/>
        <charset val="1"/>
      </rPr>
      <t xml:space="preserve">Gestión del riesgo en la cadena de suministros (ID.CS.)
</t>
    </r>
    <r>
      <rPr>
        <sz val="8"/>
        <color rgb="FF333399"/>
        <rFont val="Calibri"/>
        <family val="0"/>
        <charset val="1"/>
      </rPr>
      <t xml:space="preserve">Las prioridades, restricciones, tolerancia al riesgo y supuestos de la organización y se les utiliza para dar apoyo a la toma de decisiones asociadas con la gestión del riesgo en la cadena de suministros. La organización ha establecido e implementado los procesos para identificar, evaluar y gestionar los riesgos de la cadena de suministros.</t>
    </r>
  </si>
  <si>
    <r>
      <rPr>
        <b val="true"/>
        <sz val="12"/>
        <color rgb="FF333399"/>
        <rFont val="Calibri"/>
        <family val="0"/>
        <charset val="1"/>
      </rPr>
      <t xml:space="preserve">Gestión de Identidad, Autenticación y Control de acceso (PR.CA.)
</t>
    </r>
    <r>
      <rPr>
        <sz val="8"/>
        <color rgb="FF333399"/>
        <rFont val="Calibri"/>
        <family val="0"/>
        <charset val="1"/>
      </rPr>
      <t xml:space="preserve">El acceso a los activos físicos y lógicos e instalaciones asociadas, se limita a usuarios, procesos y dispositivos autorizados, y se le gestiona de acuerdo con el riesgo determinado para el acceso no autorizado a actividades y transacciones autorizadas.</t>
    </r>
  </si>
  <si>
    <r>
      <rPr>
        <b val="true"/>
        <sz val="12"/>
        <color rgb="FF333399"/>
        <rFont val="Calibri"/>
        <family val="0"/>
        <charset val="1"/>
      </rPr>
      <t xml:space="preserve">Concientización y formación (PR.CF.)
</t>
    </r>
    <r>
      <rPr>
        <sz val="8"/>
        <color rgb="FF333399"/>
        <rFont val="Calibri"/>
        <family val="0"/>
        <charset val="1"/>
      </rPr>
      <t xml:space="preserve">El personal de la organización y socios de negocios, reciben entrenamiento y concientización sobre cibeseguridad. Están adecuadamente entrenados para cumplir con sus obligaciones referentes a ciberseguridad de acuerdo con las políticas, procedimientos y acuerdos existentes.</t>
    </r>
  </si>
  <si>
    <t xml:space="preserve">CA - Control de Acceso</t>
  </si>
  <si>
    <r>
      <rPr>
        <b val="true"/>
        <sz val="12"/>
        <color rgb="FF333399"/>
        <rFont val="Calibri"/>
        <family val="0"/>
        <charset val="1"/>
      </rPr>
      <t xml:space="preserve">Seguridad de los datos (PR.SD.)
</t>
    </r>
    <r>
      <rPr>
        <sz val="8"/>
        <color rgb="FF333399"/>
        <rFont val="Calibri"/>
        <family val="0"/>
        <charset val="1"/>
      </rPr>
      <t xml:space="preserve">La información y los registros (datos) se gestionan de acuerdo con la estrategia de riesgo de la organización para proteger la confidencialidad, integridad y disponibilidad de la información.</t>
    </r>
  </si>
  <si>
    <t xml:space="preserve">CF - Concientización y Formación</t>
  </si>
  <si>
    <t xml:space="preserve">SD - Seguridad de los Datos</t>
  </si>
  <si>
    <t xml:space="preserve">PI - Protección de la Información</t>
  </si>
  <si>
    <t xml:space="preserve">MA - Mantenimiento</t>
  </si>
  <si>
    <t xml:space="preserve">TP - Tecnología de Protección</t>
  </si>
  <si>
    <r>
      <rPr>
        <b val="true"/>
        <sz val="12"/>
        <color rgb="FF333399"/>
        <rFont val="Calibri"/>
        <family val="0"/>
        <charset val="1"/>
      </rPr>
      <t xml:space="preserve">Procesos y procedimientos para la protección de la información (PR.PI.)
</t>
    </r>
    <r>
      <rPr>
        <sz val="8"/>
        <color rgb="FF333399"/>
        <rFont val="Calibri"/>
        <family val="0"/>
        <charset val="1"/>
      </rPr>
      <t xml:space="preserve">Las políticas (con propósito, alcance, roles, responsabilidades, compromisos de la dirección y coordinación entre unidades organizacionales), procesos y procedimientos de seguridad se mantienen y se les utiliza para gestionar la protección de los sistemas de información y los activos.</t>
    </r>
  </si>
  <si>
    <r>
      <rPr>
        <b val="true"/>
        <sz val="12"/>
        <color rgb="FF333399"/>
        <rFont val="Calibri"/>
        <family val="0"/>
        <charset val="1"/>
      </rPr>
      <t xml:space="preserve">Mantenimiento (PR.MA.)
</t>
    </r>
    <r>
      <rPr>
        <sz val="8"/>
        <color rgb="FF333399"/>
        <rFont val="Calibri"/>
        <family val="0"/>
        <charset val="1"/>
      </rPr>
      <t xml:space="preserve">El mantenimiento y las reparaciones de los componentes  de los sistemas de información y de control industrial se lleva a cabo en consonancia con las políticas y procedimientos.</t>
    </r>
  </si>
  <si>
    <r>
      <rPr>
        <b val="true"/>
        <sz val="12"/>
        <color rgb="FF333399"/>
        <rFont val="Calibri"/>
        <family val="0"/>
        <charset val="1"/>
      </rPr>
      <t xml:space="preserve">Tecnología de protección (PR.TP.)
</t>
    </r>
    <r>
      <rPr>
        <sz val="8"/>
        <color rgb="FF333399"/>
        <rFont val="Calibri"/>
        <family val="0"/>
        <charset val="1"/>
      </rPr>
      <t xml:space="preserve">Las soluciones técnicas de seguridad se gestionan para garantizar la seguridad y resistencia de los sistemas y activos de la organización, en consonancia con las políticas, procedimientos y acuerdos.</t>
    </r>
  </si>
  <si>
    <r>
      <rPr>
        <b val="true"/>
        <sz val="12"/>
        <color rgb="FF333399"/>
        <rFont val="Calibri"/>
        <family val="0"/>
        <charset val="1"/>
      </rPr>
      <t xml:space="preserve">Anomalías y eventos (DE.AE.)
</t>
    </r>
    <r>
      <rPr>
        <sz val="8"/>
        <color rgb="FF333399"/>
        <rFont val="Calibri"/>
        <family val="0"/>
        <charset val="1"/>
      </rPr>
      <t xml:space="preserve">La actividad anómala se detecta de forma oportuna y es claramente comprendido por la organización el potencial impacto de los eventos.</t>
    </r>
  </si>
  <si>
    <r>
      <rPr>
        <b val="true"/>
        <sz val="12"/>
        <color rgb="FF333399"/>
        <rFont val="Calibri"/>
        <family val="0"/>
        <charset val="1"/>
      </rPr>
      <t xml:space="preserve">Monitoreo continuo de la seguridad (DE.MC.)
</t>
    </r>
    <r>
      <rPr>
        <sz val="8"/>
        <color rgb="FF333399"/>
        <rFont val="Calibri"/>
        <family val="0"/>
        <charset val="1"/>
      </rPr>
      <t xml:space="preserve">Los sistemas y activos de información son monitoreados para identificar eventos de ciberseguridad y verificar la eficacia de las medidas de protección.</t>
    </r>
  </si>
  <si>
    <t xml:space="preserve">AE - Anomalías y Eventos</t>
  </si>
  <si>
    <t xml:space="preserve">MC - Monitoreo Continuo</t>
  </si>
  <si>
    <t xml:space="preserve">PD - Procesos de Detección</t>
  </si>
  <si>
    <r>
      <rPr>
        <b val="true"/>
        <sz val="12"/>
        <color rgb="FF333399"/>
        <rFont val="Calibri"/>
        <family val="0"/>
        <charset val="1"/>
      </rPr>
      <t xml:space="preserve">Procesos de detección (DE.PD.)
</t>
    </r>
    <r>
      <rPr>
        <sz val="8"/>
        <color rgb="FF333399"/>
        <rFont val="Calibri"/>
        <family val="0"/>
        <charset val="1"/>
      </rPr>
      <t xml:space="preserve">Se mantienen procesos y procedimientos de detección y se les prueba para asegurar una adecuada concientización sobre eventos anómalos.</t>
    </r>
  </si>
  <si>
    <r>
      <rPr>
        <b val="true"/>
        <sz val="12"/>
        <color rgb="FF333399"/>
        <rFont val="Calibri"/>
        <family val="0"/>
        <charset val="1"/>
      </rPr>
      <t xml:space="preserve">Planificación de la respuesta (RE.PR.)
</t>
    </r>
    <r>
      <rPr>
        <sz val="8"/>
        <color rgb="FF333399"/>
        <rFont val="Calibri"/>
        <family val="0"/>
        <charset val="1"/>
      </rPr>
      <t xml:space="preserve">Los procesos y procedimientos de respuesta se ejecutan y se mantienen de manera que se garantiza una respuesta oportuna ante los eventos de ciberseguridad detectados.</t>
    </r>
  </si>
  <si>
    <r>
      <rPr>
        <b val="true"/>
        <sz val="12"/>
        <color rgb="FF333399"/>
        <rFont val="Calibri"/>
        <family val="0"/>
        <charset val="1"/>
      </rPr>
      <t xml:space="preserve">Comunicaciones (RE.CO.)
</t>
    </r>
    <r>
      <rPr>
        <sz val="8"/>
        <color rgb="FF333399"/>
        <rFont val="Calibri"/>
        <family val="0"/>
        <charset val="1"/>
      </rPr>
      <t xml:space="preserve">Las actividades de respuesta se coordinan con las partes interesadas internas y externas, según corresponda
</t>
    </r>
  </si>
  <si>
    <t xml:space="preserve">PR - Planificación de la Respuesta</t>
  </si>
  <si>
    <t xml:space="preserve">CO - Comunicaciones</t>
  </si>
  <si>
    <r>
      <rPr>
        <b val="true"/>
        <sz val="12"/>
        <color rgb="FF333399"/>
        <rFont val="Calibri"/>
        <family val="0"/>
        <charset val="1"/>
      </rPr>
      <t xml:space="preserve">Análisis (RE.AN.)
</t>
    </r>
    <r>
      <rPr>
        <sz val="8"/>
        <color rgb="FF333399"/>
        <rFont val="Calibri"/>
        <family val="0"/>
        <charset val="1"/>
      </rPr>
      <t xml:space="preserve">Se efectúa análisis para asegurar una respuesta adecuada y para dar soporte a las actividades de recuperación.</t>
    </r>
  </si>
  <si>
    <t xml:space="preserve">AN - Análisis</t>
  </si>
  <si>
    <t xml:space="preserve">MI - Mitigación</t>
  </si>
  <si>
    <t xml:space="preserve">ME - Mejoras</t>
  </si>
  <si>
    <r>
      <rPr>
        <b val="true"/>
        <sz val="12"/>
        <color rgb="FF333399"/>
        <rFont val="Calibri"/>
        <family val="0"/>
        <charset val="1"/>
      </rPr>
      <t xml:space="preserve">Mitigación (RE.MI.)
</t>
    </r>
    <r>
      <rPr>
        <sz val="8"/>
        <color rgb="FF333399"/>
        <rFont val="Calibri"/>
        <family val="0"/>
        <charset val="1"/>
      </rPr>
      <t xml:space="preserve">Se ejecutan actividades para prevenir la expansión de un evento, mitigar sus efectos y erradicar el incidente
</t>
    </r>
  </si>
  <si>
    <r>
      <rPr>
        <b val="true"/>
        <sz val="12"/>
        <color rgb="FF333399"/>
        <rFont val="Calibri"/>
        <family val="0"/>
        <charset val="1"/>
      </rPr>
      <t xml:space="preserve">Mejoras (RE.ME.)
</t>
    </r>
    <r>
      <rPr>
        <sz val="8"/>
        <color rgb="FF333399"/>
        <rFont val="Calibri"/>
        <family val="0"/>
        <charset val="1"/>
      </rPr>
      <t xml:space="preserve">Las actividades de respuesta de la organización son mejoradas mediante la incorporación de lecciones aprendidas a partir de las actividades de detección y respuesta actuales y anteriores.</t>
    </r>
  </si>
  <si>
    <r>
      <rPr>
        <b val="true"/>
        <sz val="12"/>
        <color rgb="FF333399"/>
        <rFont val="Calibri"/>
        <family val="0"/>
        <charset val="1"/>
      </rPr>
      <t xml:space="preserve">Planificación de la recuperación (RC.PR.)
</t>
    </r>
    <r>
      <rPr>
        <sz val="8"/>
        <color rgb="FF333399"/>
        <rFont val="Calibri"/>
        <family val="0"/>
        <charset val="1"/>
      </rPr>
      <t xml:space="preserve">Los procesos y procedimientos de recuperación son ejecutados y mantenidos para asegurar la restauración oportuna de los sistemas o activos afectados por eventos de ciberseguridad.</t>
    </r>
  </si>
  <si>
    <r>
      <rPr>
        <b val="true"/>
        <sz val="12"/>
        <color rgb="FF333399"/>
        <rFont val="Calibri"/>
        <family val="0"/>
        <charset val="1"/>
      </rPr>
      <t xml:space="preserve">Mejoras (RC.ME.)
</t>
    </r>
    <r>
      <rPr>
        <sz val="8"/>
        <color rgb="FF333399"/>
        <rFont val="Calibri"/>
        <family val="0"/>
        <charset val="1"/>
      </rPr>
      <t xml:space="preserve">Se mejoran los planes y procesos de recuperación incorporando las lecciones aprendidas en actividades futuras.</t>
    </r>
  </si>
  <si>
    <t xml:space="preserve">PR - Planificación de la Recuperación</t>
  </si>
  <si>
    <r>
      <rPr>
        <b val="true"/>
        <sz val="12"/>
        <color rgb="FF333399"/>
        <rFont val="Calibri"/>
        <family val="0"/>
        <charset val="1"/>
      </rPr>
      <t xml:space="preserve">Comunicaciones (RC.CO.)
</t>
    </r>
    <r>
      <rPr>
        <sz val="8"/>
        <color rgb="FF333399"/>
        <rFont val="Calibri"/>
        <family val="0"/>
        <charset val="1"/>
      </rPr>
      <t xml:space="preserve">Las actividades de recuperación se coordinan con las partes interesadas internas y externas, tales como centros de coordinación, proveedores de servicios de Internet, propietarios de los sistemas atacantes, las víctimas, otros CSIRT y vendedores.</t>
    </r>
  </si>
  <si>
    <t xml:space="preserve">Página</t>
  </si>
  <si>
    <t xml:space="preserve">Gestión de Activos (ID.GA.)</t>
  </si>
  <si>
    <t xml:space="preserve">ID.GA-1</t>
  </si>
  <si>
    <t xml:space="preserve">Los dispositivos físicos y los sistemas de la organización están inventariados</t>
  </si>
  <si>
    <t xml:space="preserve">ID.GA-2</t>
  </si>
  <si>
    <t xml:space="preserve">Las plataformas de software y las aplicaciones de la organización están inventariadas</t>
  </si>
  <si>
    <t xml:space="preserve">ID.GA-6</t>
  </si>
  <si>
    <t xml:space="preserve">Están establecidos los roles y responsabilidades de ciberseguridad para todo el personal y terceros (proveedores, clientes, socios)</t>
  </si>
  <si>
    <t xml:space="preserve">ID.AN-3</t>
  </si>
  <si>
    <t xml:space="preserve">Se han establecido y se comunican las prioridades para la misión de la organización, sus objetivos y actividades</t>
  </si>
  <si>
    <t xml:space="preserve">Gobernanza (ID.GO.)</t>
  </si>
  <si>
    <t xml:space="preserve">ID.GO-1</t>
  </si>
  <si>
    <t xml:space="preserve">La política de seguridad de la información está establecida y es comunicada</t>
  </si>
  <si>
    <t xml:space="preserve">ID.GO-2</t>
  </si>
  <si>
    <t xml:space="preserve">Los roles y las responsabilidades de ciberseguridad están coordinados y se alinean con roles internos y socios externos</t>
  </si>
  <si>
    <t xml:space="preserve">ID.GO-3</t>
  </si>
  <si>
    <t xml:space="preserve">Los requisitos legales y regulatorios sobre la ciberseguridad, incluyendo las obligaciones de privacidad y las libertades civiles son comprendidos y se gestionan</t>
  </si>
  <si>
    <t xml:space="preserve">ID.ER-3</t>
  </si>
  <si>
    <t xml:space="preserve">Se identifican y documentan las amenazas, tanto internas como externas</t>
  </si>
  <si>
    <t xml:space="preserve">ID.ER-4</t>
  </si>
  <si>
    <t xml:space="preserve">Se han identificado los impactos potenciales sobre el negocio y sus probabilidades de ocurrencia</t>
  </si>
  <si>
    <t xml:space="preserve">ID.ER-5</t>
  </si>
  <si>
    <t xml:space="preserve">Las amenazas, vulnerabilidades, probabilidad de ocurrencia e impactos, se utilizan para determinar el riesgo</t>
  </si>
  <si>
    <t xml:space="preserve">ID.ER-6</t>
  </si>
  <si>
    <t xml:space="preserve">Se han identificado y priorizado las respuestas ante los riesgos</t>
  </si>
  <si>
    <t xml:space="preserve">Gestión de Identidad, Autenticación y Control de Acceso (PR.CA.)</t>
  </si>
  <si>
    <t xml:space="preserve">PR.CA-1</t>
  </si>
  <si>
    <t xml:space="preserve">Las identidades y credenciales para usuarios, dispositivos y procesos autorizados son creadas, gestionadas, verificadas, revocadas y auditadas.</t>
  </si>
  <si>
    <t xml:space="preserve">PR.CA-2</t>
  </si>
  <si>
    <t xml:space="preserve">Se gestiona y protege el acceso físico a los activos.</t>
  </si>
  <si>
    <t xml:space="preserve">PR.CA-3</t>
  </si>
  <si>
    <t xml:space="preserve">Se gestiona el acceso remoto.</t>
  </si>
  <si>
    <t xml:space="preserve">PR.CA-4</t>
  </si>
  <si>
    <t xml:space="preserve">Los permisos de acceso y las autorizaciones son gestionados, incorporando los principios de menor privilegio y segregación de funciones.</t>
  </si>
  <si>
    <t xml:space="preserve">Concientización y formación (PR.CF.)</t>
  </si>
  <si>
    <t xml:space="preserve">PR.CF-1</t>
  </si>
  <si>
    <t xml:space="preserve">Todos los usuarios están entrenados e informados</t>
  </si>
  <si>
    <t xml:space="preserve">PR.CF-4</t>
  </si>
  <si>
    <t xml:space="preserve">La gerencia ejecutiva comprende sus roles y responsabilidades</t>
  </si>
  <si>
    <t xml:space="preserve">PR.SD-5</t>
  </si>
  <si>
    <t xml:space="preserve">Se implementan medidas de protección contra fuga de datos</t>
  </si>
  <si>
    <t xml:space="preserve">PR.PI-4</t>
  </si>
  <si>
    <t xml:space="preserve">Se realizan y mantienen respaldos de la información y se les verifica regularmente</t>
  </si>
  <si>
    <t xml:space="preserve">PR.PI-5</t>
  </si>
  <si>
    <t xml:space="preserve">Se cumple con las políticas y reglamentaciones relacionadas con el medio ambiente físico operativo de los activos de la organización.</t>
  </si>
  <si>
    <t xml:space="preserve">Tecnología de protección (PR.TP.)</t>
  </si>
  <si>
    <t xml:space="preserve">PR.TP-1</t>
  </si>
  <si>
    <t xml:space="preserve">Los registros de auditoría (logs) están determinados, se documentan, implementan, y se revisan de acuerdo con la política</t>
  </si>
  <si>
    <t xml:space="preserve">PR.TP-3</t>
  </si>
  <si>
    <t xml:space="preserve">Se incorpora el principio de mínima funcionalidad mediante la configuración de los sistemas de modo que brinden únicamente sus funciones esenciales</t>
  </si>
  <si>
    <t xml:space="preserve">PR.TP-4</t>
  </si>
  <si>
    <t xml:space="preserve">Las redes de comunicaciones y control se encuentran protegidas</t>
  </si>
  <si>
    <t xml:space="preserve">DE.AE-1</t>
  </si>
  <si>
    <t xml:space="preserve">Se establece y gestiona una línea base esperada de operaciones de red y flujos de datos tanto para usuarios como para sistemas</t>
  </si>
  <si>
    <t xml:space="preserve">DE.AE-2</t>
  </si>
  <si>
    <t xml:space="preserve">Los eventos detectados son analizados para entender los objetivos y los métodos de ataque</t>
  </si>
  <si>
    <t xml:space="preserve">DE.AE-3</t>
  </si>
  <si>
    <t xml:space="preserve">Se recopilan y correlacionan datos de eventos provenientes de múltiples fuentes y sensores</t>
  </si>
  <si>
    <t xml:space="preserve">DE.MC-4</t>
  </si>
  <si>
    <t xml:space="preserve">Se detecta el código malicioso.</t>
  </si>
  <si>
    <t xml:space="preserve">DE.MC-6</t>
  </si>
  <si>
    <t xml:space="preserve">Se controla la actividad de los proveedores de servicios externos para detectar posibles eventos de ciberseguridad</t>
  </si>
  <si>
    <t xml:space="preserve">Planificación de la respuesta (RE.PR.)</t>
  </si>
  <si>
    <t xml:space="preserve">RE.PR-1</t>
  </si>
  <si>
    <t xml:space="preserve">El plan de respuesta se ejecuta durante o luego de un incidente</t>
  </si>
  <si>
    <t xml:space="preserve">Comunicaciones (RE.CO.)</t>
  </si>
  <si>
    <t xml:space="preserve">RE.CO-1</t>
  </si>
  <si>
    <t xml:space="preserve">El personal conoce sus roles y el orden de las operaciones cuando es necesaria una respuesta</t>
  </si>
  <si>
    <t xml:space="preserve">RE.AN-2</t>
  </si>
  <si>
    <t xml:space="preserve">El impacto del incidente es comprendido</t>
  </si>
  <si>
    <t xml:space="preserve">Mitigación (RE.MI.)</t>
  </si>
  <si>
    <t xml:space="preserve">RE.MI-1</t>
  </si>
  <si>
    <t xml:space="preserve">Los incidentes son contenidos</t>
  </si>
  <si>
    <t xml:space="preserve">RE.MI-2</t>
  </si>
  <si>
    <t xml:space="preserve">Los incidentes son mitigados</t>
  </si>
  <si>
    <t xml:space="preserve">Evaluación de Riesgos (ID.ER.)</t>
  </si>
  <si>
    <t xml:space="preserve">ID.GA-5</t>
  </si>
  <si>
    <t xml:space="preserve">Los activos (hardware, dispositivos, datos, tiempo, personal y software) se priorizan en base a su clasificación, criticidad y valor para el negocio</t>
  </si>
  <si>
    <t xml:space="preserve">ID.AN-5</t>
  </si>
  <si>
    <t xml:space="preserve">Se han establecido los requerimientos de resiliencia para soportar la entrega de los servicios críticos en cualquier situación operativa (bajo presión o ataque, en recuperación o en normalidad)</t>
  </si>
  <si>
    <t xml:space="preserve">ID.ER-1</t>
  </si>
  <si>
    <t xml:space="preserve">Se identifican y documentan las vulnerabilidades de los activos</t>
  </si>
  <si>
    <t xml:space="preserve">ID.ER-2</t>
  </si>
  <si>
    <t xml:space="preserve">Se recibe de parte de grupos, foros y fuentes especializadas, información e inteligencia sobre ciberamenazas</t>
  </si>
  <si>
    <t xml:space="preserve">PR.CA-5</t>
  </si>
  <si>
    <t xml:space="preserve">Se protege la integridad de la red aplicando segregación y segmentación cuando es apropiado</t>
  </si>
  <si>
    <t xml:space="preserve">PR.CA-6</t>
  </si>
  <si>
    <t xml:space="preserve">Las identidades son verificadas y vinculadas a las credenciales, y se les reconfirma durante las interacciones.</t>
  </si>
  <si>
    <t xml:space="preserve">PR.CA-7</t>
  </si>
  <si>
    <t xml:space="preserve">Los usuarios, dispositivos y demás activos son autenticados de forma acorde (uno o más factores) al riesgo de la transacción (seguridad y riesgos de privacidad del individuo y otros riesgos organizacionales).</t>
  </si>
  <si>
    <t xml:space="preserve">Seguridad de los datos (PR.SD.)</t>
  </si>
  <si>
    <t xml:space="preserve">PR.CF-2</t>
  </si>
  <si>
    <t xml:space="preserve">Los usuarios privilegiados comprenden sus roles y responsabilidades</t>
  </si>
  <si>
    <t xml:space="preserve">PR.CF-5</t>
  </si>
  <si>
    <t xml:space="preserve">El personal de seguridad física y de ciberseguridad comprende sus roles y responsabilidades</t>
  </si>
  <si>
    <t xml:space="preserve">PR.SD-1</t>
  </si>
  <si>
    <t xml:space="preserve">Los datos en reposo se encuentran protegidos</t>
  </si>
  <si>
    <t xml:space="preserve">PR.SD-2</t>
  </si>
  <si>
    <t xml:space="preserve">Los datos en tránsito se encuentran protegidos</t>
  </si>
  <si>
    <t xml:space="preserve">PR.SD-3</t>
  </si>
  <si>
    <t xml:space="preserve">Los activos se manejan formalmente durante su retiro de servicio, transferencia o eliminación definitiva</t>
  </si>
  <si>
    <t xml:space="preserve">PR.SD-7</t>
  </si>
  <si>
    <t xml:space="preserve">Los entornos de desarrollo y pruebas están separados del entorno de producción</t>
  </si>
  <si>
    <t xml:space="preserve">PR.SD-8</t>
  </si>
  <si>
    <t xml:space="preserve">Se utilizan mecanismos de verificación de integridad sobre el hardware.</t>
  </si>
  <si>
    <t xml:space="preserve">PR.PI-2</t>
  </si>
  <si>
    <t xml:space="preserve">Se implementa un ciclo de vida de desarrollo para gestionar los sistemas</t>
  </si>
  <si>
    <t xml:space="preserve">PR.PI-3</t>
  </si>
  <si>
    <t xml:space="preserve">Existen procesos de gestión del cambio para las configuraciones</t>
  </si>
  <si>
    <t xml:space="preserve">PR.PI-9</t>
  </si>
  <si>
    <t xml:space="preserve">Existen y se gestionan planes de respuesta a incidentes (Respuesta a Incidentes y Continuidad del Negocio) y planes de recuperación (Recuperación de incidentes y Recuperación de Desastres)</t>
  </si>
  <si>
    <t xml:space="preserve">PR.PI-10</t>
  </si>
  <si>
    <t xml:space="preserve">Los planes de respuesta y recuperación se testean regularmente</t>
  </si>
  <si>
    <t xml:space="preserve">PR.PI-11</t>
  </si>
  <si>
    <t xml:space="preserve">La ciberseguridad está considerada en las prácticas de RRHH (desvinculaciones, revisión de antecedentes).</t>
  </si>
  <si>
    <t xml:space="preserve">PR.PI-12</t>
  </si>
  <si>
    <t xml:space="preserve">Existe un plan de gestión de vulnerabilidades </t>
  </si>
  <si>
    <t xml:space="preserve">Monitoreo continuo de la seguridad (DE.MC.)</t>
  </si>
  <si>
    <t xml:space="preserve">PR.MA-2</t>
  </si>
  <si>
    <t xml:space="preserve">El mantenimiento a distancia de los activos de la organización se aprueba, registra y lleva a cabo de forma tal que se impide el acceso no autorizado</t>
  </si>
  <si>
    <t xml:space="preserve">PR.TP-2</t>
  </si>
  <si>
    <t xml:space="preserve">Los medios extraíbles se encuentran  protegidos y se restringe su uso de acuerdo con las políticas</t>
  </si>
  <si>
    <t xml:space="preserve">DE.MC-1</t>
  </si>
  <si>
    <t xml:space="preserve">Se monitorea la red para detectar potenciales eventos de ciberseguridad</t>
  </si>
  <si>
    <t xml:space="preserve">DE.MC-2</t>
  </si>
  <si>
    <t xml:space="preserve">Se monitorea el ambiente físico para detectar potenciales eventos de ciberseguridad.</t>
  </si>
  <si>
    <t xml:space="preserve">DE.MC-3</t>
  </si>
  <si>
    <t xml:space="preserve">Se monitorea la actividad del personal para detectar potenciales eventos de ciberseguridad.</t>
  </si>
  <si>
    <t xml:space="preserve">DE.MC-8</t>
  </si>
  <si>
    <t xml:space="preserve">Se realizan escaneos de vulnerabilidades.</t>
  </si>
  <si>
    <t xml:space="preserve">Análisis (RE.AN.)</t>
  </si>
  <si>
    <t xml:space="preserve">DE.PD-4</t>
  </si>
  <si>
    <t xml:space="preserve">La información de la detección de eventos es comunicada a las partes pertinentes</t>
  </si>
  <si>
    <t xml:space="preserve">Planificación de la recuperación (RC.PR.)</t>
  </si>
  <si>
    <t xml:space="preserve">RE.CO-2</t>
  </si>
  <si>
    <t xml:space="preserve">Los incidentes son reportados consistentemente con los criterios establecidos</t>
  </si>
  <si>
    <t xml:space="preserve">Comunicaciones (RC.CO.)</t>
  </si>
  <si>
    <t xml:space="preserve">RE.AN-1</t>
  </si>
  <si>
    <t xml:space="preserve">Se investigan las notificaciones de los sistemas de detección</t>
  </si>
  <si>
    <t xml:space="preserve">RC.PR-1</t>
  </si>
  <si>
    <t xml:space="preserve">El plan de recuperación se ejecuta durante o luego de un evento</t>
  </si>
  <si>
    <t xml:space="preserve">Ambiente del negocio (ID.AN.)</t>
  </si>
  <si>
    <t xml:space="preserve">RC.CO-1</t>
  </si>
  <si>
    <t xml:space="preserve">Se gestionan las relaciones públicas</t>
  </si>
  <si>
    <t xml:space="preserve">ID.GA-3</t>
  </si>
  <si>
    <t xml:space="preserve">Está mapeada toda la comunicación y los flujos de datos que existen dentro de la organización</t>
  </si>
  <si>
    <t xml:space="preserve">ID.AN-1</t>
  </si>
  <si>
    <t xml:space="preserve">El rol de la organización en la cadena global de suministros está identificado y es comunicado</t>
  </si>
  <si>
    <t xml:space="preserve">ID.AN-2</t>
  </si>
  <si>
    <t xml:space="preserve">El lugar que ocupa la organización en la infraestructura crítica y en su sector de industria está identificado y es comunicado</t>
  </si>
  <si>
    <t xml:space="preserve">Procesos y procedimientos para la protección de la información (PR.PI.)</t>
  </si>
  <si>
    <t xml:space="preserve">PR.SD-4</t>
  </si>
  <si>
    <t xml:space="preserve">Se mantiene una adecuada capacidad para asegurar la disponibilidad</t>
  </si>
  <si>
    <t xml:space="preserve">PR.SD-6</t>
  </si>
  <si>
    <t xml:space="preserve">Se realizan chequeos de integridad para verificar software, firmware e integridad de la información</t>
  </si>
  <si>
    <t xml:space="preserve">Mantenimiento (PR.MA.)</t>
  </si>
  <si>
    <t xml:space="preserve">PR.PI-1</t>
  </si>
  <si>
    <t xml:space="preserve">Existe una configuración básica para los sistemas de información y de control industrial, la misma es mantenida e incorpora principios de seguridad (concepto de mínima funcionalidad).</t>
  </si>
  <si>
    <t xml:space="preserve">PR.PI-6</t>
  </si>
  <si>
    <t xml:space="preserve">Los datos son eliminados de acuerdo a las políticas de seguridad</t>
  </si>
  <si>
    <t xml:space="preserve">PR.MA-1</t>
  </si>
  <si>
    <t xml:space="preserve">El mantenimiento y las reparaciones de los activos de la organización se llevan a cabo y es registrado en forma oportuna con herramientas aprobadas y controladas</t>
  </si>
  <si>
    <t xml:space="preserve">DE.AE-4</t>
  </si>
  <si>
    <t xml:space="preserve">Se determina el impacto de los eventos</t>
  </si>
  <si>
    <t xml:space="preserve">Procesos de detección (DE.PD.)</t>
  </si>
  <si>
    <t xml:space="preserve">DE.AE-5</t>
  </si>
  <si>
    <t xml:space="preserve">Se establecen los umbrales de alerta de incidentes</t>
  </si>
  <si>
    <t xml:space="preserve">DE.MC-5</t>
  </si>
  <si>
    <t xml:space="preserve">Se detecta el código móvil no autorizado.</t>
  </si>
  <si>
    <t xml:space="preserve">DE.PD-1</t>
  </si>
  <si>
    <t xml:space="preserve">Los roles y las responsabilidades de detección se encuentran definidos de forma tal de asegurar la imputabilidad.</t>
  </si>
  <si>
    <t xml:space="preserve">Mejoras (RE.ME.)</t>
  </si>
  <si>
    <t xml:space="preserve">RE.CO-4</t>
  </si>
  <si>
    <t xml:space="preserve">La coordinación con las partes interesadas se realiza consistentemente con los planes de respuesta</t>
  </si>
  <si>
    <t xml:space="preserve">RE.MI-3</t>
  </si>
  <si>
    <t xml:space="preserve">Las nuevas vulnerabilidades identificadas o bien se mitigan o se documentan como riesgos aceptados</t>
  </si>
  <si>
    <t xml:space="preserve">Mejoras (RC.ME.)</t>
  </si>
  <si>
    <t xml:space="preserve">RE.ME-1</t>
  </si>
  <si>
    <t xml:space="preserve">Los planes de respuesta incorporan lecciones aprendidas</t>
  </si>
  <si>
    <t xml:space="preserve">RE.ME-2</t>
  </si>
  <si>
    <t xml:space="preserve">Las estrategias de respuesta se actualizan</t>
  </si>
  <si>
    <t xml:space="preserve">RC.ME-1</t>
  </si>
  <si>
    <t xml:space="preserve">Los planes de recuperación incorporan lecciones aprendidas</t>
  </si>
  <si>
    <t xml:space="preserve">RC.ME-2</t>
  </si>
  <si>
    <t xml:space="preserve">Las estrategias de recuperación se actualizan</t>
  </si>
  <si>
    <t xml:space="preserve">RC.CO-3</t>
  </si>
  <si>
    <t xml:space="preserve">Se comunican las actividades de recuperación a las partes interesadas internas y externas, así como también a los equipos ejecutivos y de gestión</t>
  </si>
  <si>
    <t xml:space="preserve">ID.GA-4</t>
  </si>
  <si>
    <t xml:space="preserve">Los sistemas externos de información que se utilizan en la organización están identificados y catalogados</t>
  </si>
  <si>
    <t xml:space="preserve">Estrategia de gestión de riesgos (ID.GR.)</t>
  </si>
  <si>
    <t xml:space="preserve">ID.AN-4</t>
  </si>
  <si>
    <t xml:space="preserve">Se han definido las dependencias y funciones críticas para la entrega de los servicios críticos</t>
  </si>
  <si>
    <t xml:space="preserve">ID.GO-4</t>
  </si>
  <si>
    <t xml:space="preserve">Los procesos de gobernanza y gestión del riesgo toman en consideración los riesgos de ciberseguridad</t>
  </si>
  <si>
    <t xml:space="preserve">ID.GR-1</t>
  </si>
  <si>
    <t xml:space="preserve">Los procesos de gestión de riesgos están establecidos, son gestionados y son aprobados por todos los interesados de la organización</t>
  </si>
  <si>
    <t xml:space="preserve">ID.GR-2</t>
  </si>
  <si>
    <t xml:space="preserve">La tolerancia de la organización ante el riesgo está determinada y claramente expresada</t>
  </si>
  <si>
    <t xml:space="preserve">ID.GR-3</t>
  </si>
  <si>
    <t xml:space="preserve">La tolerancia de la organización ante el riesgo considera su rol dentro de la infraestructura crítica así como la evaluación de riesgos específicos del sector al que pertenece.</t>
  </si>
  <si>
    <t xml:space="preserve">PR.CF-3</t>
  </si>
  <si>
    <t xml:space="preserve">Interesados externos (proveedores, clientes, socios) comprenden sus roles y responsabilidades</t>
  </si>
  <si>
    <t xml:space="preserve">Anomalías y eventos (DE.AE.)</t>
  </si>
  <si>
    <t xml:space="preserve">PR.PI-7</t>
  </si>
  <si>
    <t xml:space="preserve">Existe una mejora continua para los procesos de protección.</t>
  </si>
  <si>
    <t xml:space="preserve">PR.TP-5</t>
  </si>
  <si>
    <t xml:space="preserve">Se implementan mecanismos (falla segura, balanceo de carga, hot swap) para cumplir con los requerimientos de resiliencia, tanto en casos de normalidad como en situaciones adversas.</t>
  </si>
  <si>
    <t xml:space="preserve">DE.MC-7</t>
  </si>
  <si>
    <t xml:space="preserve">Se realiza monitoreo para detectar personas, conexiones, dispositivos y software sin autorización.</t>
  </si>
  <si>
    <t xml:space="preserve">DE.PD-2</t>
  </si>
  <si>
    <t xml:space="preserve">Las actividades de detección cumplen con todos los requisitos aplicables.</t>
  </si>
  <si>
    <t xml:space="preserve">DE.PD-3</t>
  </si>
  <si>
    <t xml:space="preserve">Los procesos de detección son probados.</t>
  </si>
  <si>
    <t xml:space="preserve">DE.PD-5</t>
  </si>
  <si>
    <t xml:space="preserve">Los procesos de detección son mejorados continuamente</t>
  </si>
  <si>
    <t xml:space="preserve">RE.CO-3</t>
  </si>
  <si>
    <t xml:space="preserve">La información se comparte de acuerdo con los planes de respuesta</t>
  </si>
  <si>
    <t xml:space="preserve">RE.CO-5</t>
  </si>
  <si>
    <t xml:space="preserve">Se realiza intercambio de información voluntaria con partes interesadas externas para alcanzar una conciencia de ciberseguridad más amplia</t>
  </si>
  <si>
    <t xml:space="preserve">RE.AN-3</t>
  </si>
  <si>
    <t xml:space="preserve">Se realiza análisis forense</t>
  </si>
  <si>
    <t xml:space="preserve">RE.AN-4</t>
  </si>
  <si>
    <t xml:space="preserve">Los incidentes son categorizados de acuerdo con los planes de respuesta</t>
  </si>
  <si>
    <t xml:space="preserve">RE.AN-5</t>
  </si>
  <si>
    <t xml:space="preserve">Existen procedimientos para recibir, analizar y responder a vulnerabilidades reveladas a la organización por fuentes internas y/o externas (pruebas internas, boletines o investigadores de seguridad)</t>
  </si>
  <si>
    <t xml:space="preserve">RC.CO-2</t>
  </si>
  <si>
    <t xml:space="preserve">Se repara la reputación luego del evento</t>
  </si>
  <si>
    <t xml:space="preserve">PR.PI-8</t>
  </si>
  <si>
    <t xml:space="preserve">La eficacia de las tecnologías de protección se comparte con las partes apropiadas</t>
  </si>
  <si>
    <t xml:space="preserve">Id</t>
  </si>
  <si>
    <t xml:space="preserve">Objetivo del Requisito</t>
  </si>
  <si>
    <t xml:space="preserve">Establecer un proceso de evaluación de riesgo en base a una metodología que permita guiar a la organización por las buenas prácticas de la evaluación del riesgo a nivel tecnológico y de procesos, permitiendo establecer su apetito riesgo, la tolerancia sobre las desviaciones, calcular la probabilidad de ocurrencias y el impacto potencial sobre la materialización de las vulnerabilidades.</t>
  </si>
  <si>
    <t xml:space="preserve">Contribuir al cumplimiento de los objetivos de seguridad de la información, prevenir o reducir los efectos no deseados y lograr la mejora continua.</t>
  </si>
  <si>
    <t xml:space="preserve">Establecer un cronograma y plan de acción para mitigar los riesgos a corto y mediano plazo que se consideren inaceptables según la tolerancia al riesgo definida por la organización. Adicionalmente verificar que, una vez subsanados los riesgos con la aplicación de controles adicionales o compensatorios, los mismos se reducen a un nivel aceptable de exposición en relación a los efectos no deseados.</t>
  </si>
  <si>
    <t xml:space="preserve">Establecer objetivos anuales con relación a la Seguridad de la Información.</t>
  </si>
  <si>
    <t xml:space="preserve">La organización debe garantizar la mejora de la estrategia, políticas, procedimientos y controles que se hayan adoptado para adecuarse a los cambios organizacionales y/o de contexto que haya tenido o pueda afrontar el negocio.</t>
  </si>
  <si>
    <t xml:space="preserve">Proporcionar lineamientos de gestión en línea acorde a los objetivos de la organización, contemplando la normativa aplicable. Disponer de medidas para garantizar la confianza y seguridad de los sistemas y de la información en poder de la organización, así como proteger los activos de información y minimizar el impacto en los servicios causados por amenazas o incidentes de seguridad. Demostrar el compromiso de la Dirección con la seguridad de la información.</t>
  </si>
  <si>
    <t xml:space="preserve">Lograr liderazgo y guía en la implementación y mantenimiento del Sistema de Gestión de Seguridad de la Información.</t>
  </si>
  <si>
    <t xml:space="preserve">Contar con un equipo de personas con capacidad de decisión sobre los objetivos de la organización, que vele por la seguridad de la información, marque los lineamientos estratégicos en la materia y defina los objetivos anuales.</t>
  </si>
  <si>
    <t xml:space="preserve">Contribuir con las buenas prácticas de gestión y control del SGSI dentro de la organización definiendo un procedimiento documentado de contacto con autoridades (internas y externas), ante un incidente de seguridad de la información y, particularmente, ante un incidente de seguridad informática.</t>
  </si>
  <si>
    <t xml:space="preserve">Lograr que los temas relativos a seguridad de la información estén incluidos en todos los proyectos desde su inicio, independientemente del tipo de proyecto tratado.</t>
  </si>
  <si>
    <t xml:space="preserve">Garantizar la seguridad de la información de la organización en caso de utilizarse dispositivos móviles (al menos celulares, portables, tabletas) para uso laboral. Proteger la información de la organización, almacenada o accesible desde dispositivos móviles y evitar que éstos sean causa de distribución de software malicioso dentro de la organización o sean el origen de accesos no autorizados.</t>
  </si>
  <si>
    <t xml:space="preserve">Garantizar la seguridad de la información cuando se accede de forma remota a los sistemas de información de la organización tanto por personal interno como externo.</t>
  </si>
  <si>
    <t xml:space="preserve">Lograr que el personal comprenda sus responsabilidades de seguridad de la información y que apliquen la seguridad de la información de acuerdo a las políticas y los procedimientos establecidos.</t>
  </si>
  <si>
    <t xml:space="preserve">Lograr conciencia de las responsabilidades y buenas prácticas vinculadas a la seguridad de la información de acuerdo a las políticas de seguridad de la información de la organización.</t>
  </si>
  <si>
    <t xml:space="preserve">Garantizar la gestión de los activos asociados a la información y los sistemas e instalaciones para su procesamiento.</t>
  </si>
  <si>
    <t xml:space="preserve">Proteger y garantizar la confidencialidad, integridad y disponibilidad de la información durante todo el ciclo de vida de los activos.</t>
  </si>
  <si>
    <t xml:space="preserve">Garantizar que el personal, proveedores e interesados de la organización conozcan las reglas y tomen los recaudos necesarios para proteger los activos de la información de la organización.</t>
  </si>
  <si>
    <t xml:space="preserve">Evitar la divulgación, modificación y borrado de la información contenida en medios extraíbles, como forma de proteger la información de la organización.</t>
  </si>
  <si>
    <t xml:space="preserve">Garantizar la adecuada destrucción de la información y los medios de almacenamiento que la contienen, para proteger su confidencialidad.</t>
  </si>
  <si>
    <t xml:space="preserve">Gestionar y autorizar el acceso lógico a los activos de información (usuarios y usuarios privilegiados, aplicaciones, redes y servicios de red).</t>
  </si>
  <si>
    <t xml:space="preserve">Revisar y controlar periódicamente los derechos de acceso lógico a los activos de información (incluyendo los permisos de los usuarios privilegiados).</t>
  </si>
  <si>
    <t xml:space="preserve">Proteger la confidencialidad, autenticidad e integridad de la información digital.</t>
  </si>
  <si>
    <t xml:space="preserve">Lograr el cumplimiento con los lineamientos establecidos por la UCE y Agesic para el uso de firma electrónica avanzada.</t>
  </si>
  <si>
    <t xml:space="preserve">Minimizar el riesgo de acceso no autorizado a los centros de datos y áreas relacionadas (por ejemplo, recinto donde se almacenan los respaldos) y proteger las instalaciones y equipos contra robos, daños o mal uso.</t>
  </si>
  <si>
    <t xml:space="preserve">Garantizar la continuidad de las operaciones y reducir los efectos causados por desastres humanos o naturales a través de la implementación de controles ambientales en los centros de datos y áreas relacionadas (por ejemplo, recinto donde se almacenan los respaldos).</t>
  </si>
  <si>
    <t xml:space="preserve">Lograr una adecuada administración de los componentes críticos alojados en sitios o centros de datos.</t>
  </si>
  <si>
    <t xml:space="preserve">Prevenir y mitigar el riesgo de explotación de vulnerabilidades técnicas en los sistemas.</t>
  </si>
  <si>
    <t xml:space="preserve">Asegurar que los cambios no comprometan la seguridad. Lograr un adecuado control y seguimiento de los pedidos de cambio de los sistemas y configuraciones de componentes de la infraestructura, asegurar que los cambios están justificados y autorizados, que se llevan a cabo sin perjuicio de la calidad del servicio y se encuentran registrados, clasificados, documentados y probados de manera adecuada.</t>
  </si>
  <si>
    <t xml:space="preserve">Asegurar que la capacidad de servicios de TI y la infraestructura de TI, sean capaces de cumplir con los objetivos acordados de capacidad y desempeño de manera puntual y efectiva en términos económicos.</t>
  </si>
  <si>
    <t xml:space="preserve">Reducir los riesgos de accesos no autorizados o realización de cambios no autorizados en producción, evitar modificaciones no deseadas de archivos o sistemas, evitar fallas de los sistemas.</t>
  </si>
  <si>
    <t xml:space="preserve">Asegurar que la información y los sistemas informáticos que la procesan se encuentren protegidos contra software malicioso (por ejemplo: virus, gusanos, troyanos, spyware, adware intrusivo, crimeware, entre otros).</t>
  </si>
  <si>
    <t xml:space="preserve">Preservar la información de la organización o en poder de ésta y poder restaurarla en tiempo y forma en caso de necesidad.</t>
  </si>
  <si>
    <t xml:space="preserve">Conocer los eventos relevantes que se suceden en una aplicación o sistema, por ejemplo inicios de sesión, fallas en los sistemas, eventos de seguridad, etc. Asegurar la protección de los registros de eventos contra modificaciones y/o accesos no autorizados y asegurar los registros de auditoría.</t>
  </si>
  <si>
    <t xml:space="preserve">Garantizar la integridad y seguridad de los sistemas.</t>
  </si>
  <si>
    <t xml:space="preserve">Estandarizar la identificación de los portales Web institucionales de la Administración Central.</t>
  </si>
  <si>
    <t xml:space="preserve">Optimizar recursos y facilitar el acceso a la información a los ciudadanos.</t>
  </si>
  <si>
    <t xml:space="preserve">Unificar la forma de referenciar los dominios/subdominios.</t>
  </si>
  <si>
    <t xml:space="preserve">Establecer un criterio único para nombrar a los dominios/subdominios.</t>
  </si>
  <si>
    <t xml:space="preserve">Asegurar que la información de contacto de los responsables de los dominios y subdominio se encuentre actualizada y comunicada.</t>
  </si>
  <si>
    <t xml:space="preserve">Proteger la información de la organización.</t>
  </si>
  <si>
    <t xml:space="preserve">Proteger los correos electrónicos.</t>
  </si>
  <si>
    <t xml:space="preserve">Proteger la seguridad de los correos electrónicos, preservando la propiedad de la confidencialidad en los mensajes transmitidos desde y hacia el servidor de correos electrónicos, tanto para aquellas transferencias realizadas entre servidores de correo como las realizadas entre clientes de correo y servidores.</t>
  </si>
  <si>
    <t xml:space="preserve">Lograr que todo correo electrónico intercambiado entre servidores gub.uy se realice únicamente utilizando protocolos seguros, que no estén considerados obsoletos o vulnerables, los cuales hacen uso de cifrado robusto de datos.</t>
  </si>
  <si>
    <t xml:space="preserve">Lograr que todo correo intercambiado con servidores externos al ámbito gubernamental sea transmitido tratando de conservar la confidencialidad de los datos.</t>
  </si>
  <si>
    <t xml:space="preserve">Asegurar que siempre que un cliente de correo se conecte a un servidor para realizar la descarga o envío de correo electrónico lo pueda hacer únicamente a través de protocolos seguros.</t>
  </si>
  <si>
    <t xml:space="preserve">Proteger la confidencialidad de este tramo de la comunicación, entre el navegador del cliente y el servicio Web y para esto se requiere el uso de SSL y la implementación de certificados digitales válidos y emitidos por una Autoridad Certificadora de confianza.</t>
  </si>
  <si>
    <t xml:space="preserve">Asegurar la protección de la información en las redes.</t>
  </si>
  <si>
    <t xml:space="preserve">Mantener la seguridad de la información que se intercambia o transfiere dentro de la organización y con cualquier entidad externa a la misma. Establecer el marco en el cual se intercambiará información desde y con la organización.</t>
  </si>
  <si>
    <t xml:space="preserve">Aumentar los niveles de seguridad de las aplicaciones y/o portales expuestos a Internet.</t>
  </si>
  <si>
    <t xml:space="preserve">Garantizar que la seguridad de la información forma parte de los sistemas de información en todo el ciclo de vida de los proyectos y en las adquisiciones.</t>
  </si>
  <si>
    <t xml:space="preserve">Contar con acuerdos de niveles de servicios que permitan nivelar las expectativas y responder con la calidad establecida y en los tiempos establecidos.</t>
  </si>
  <si>
    <t xml:space="preserve">Establecer y asegurar el cumplimiento de los términos y condiciones de seguridad de la información de los contratos y acuerdos de nivel de servicio con los proveedores. Garantizar que los incidentes y problemas de seguridad de la información se manejan de forma adecuada. Asegurar que se gestiona adecuadamente la seguridad de la información frente a cambios en los servicios de los proveedores.</t>
  </si>
  <si>
    <t xml:space="preserve">Prevenir y mitigar el impacto de los incidentes de seguridad de la información.</t>
  </si>
  <si>
    <t xml:space="preserve">Lograr identificar el impacto y alcance de un evento y determinar si es un incidente.</t>
  </si>
  <si>
    <t xml:space="preserve">Asegurar que los incidentes de seguridad de la información se reportan a las personas adecuadas y en forma consistente de acuerdo a la política de gestión de incidentes. Determinar si es un incidente de seguridad informática a reportar al CERTuy o equipo de respuestas externo.</t>
  </si>
  <si>
    <t xml:space="preserve">GI.4 Lograr que todos los incidentes sean registrados oportunamente para evaluarlos, estudiarlos, contar con estadísticas y tomar las acciones necesarias en forma rápida y efectiva siguiendo los procedimientos establecidos.</t>
  </si>
  <si>
    <t xml:space="preserve">GI.5 Lograr acciones de respuestas coordinadas, rápidas y efectivas ante los incidentes de seguridad de la información. Asegurar que puede reanudar el nivel de seguridad normal para posteriormente dar comienzo a la recuperación.</t>
  </si>
  <si>
    <t xml:space="preserve">GI.6 Lograr que la organización identifique y capitalice las lecciones aprendidas luego de ocurrido un incidente retroalimentando la gestión de riesgos y los controles implementados.</t>
  </si>
  <si>
    <t xml:space="preserve">CO.1 Garantizar el normal funcionamiento de los centros de datos y operaciones.</t>
  </si>
  <si>
    <t xml:space="preserve">CO.2 Asegurar que la infraestructura de redes del centro de datos no tenga puntos únicos de falla, es decir, que la operativa del centro de datos pueda continuar aun ante la caída de un activo de red.</t>
  </si>
  <si>
    <t xml:space="preserve">CO.3 La organización debe brindar los recursos necesarios a las áreas encargadas de gestionar la continuidad para lograr hacer frente y/o estar preparada para situaciones adversas o crisis que puedan afectar la continuidad de las operaciones.</t>
  </si>
  <si>
    <t xml:space="preserve">CO.4 Preparar a la organización ante eventos anormales, disruptivos o desastres que puedan afectar sus operaciones, en principio, relacionadas a trámites en línea.</t>
  </si>
  <si>
    <t xml:space="preserve">CO.5 Definir métricas básicas para planificar la continuidad de las operaciones.</t>
  </si>
  <si>
    <t xml:space="preserve">CO.6 Difundir y comunicar la situación de crisis o incidentes que afectan a la ciberseguridad de la organización, a través de interlocutores formalmente autorizados.</t>
  </si>
  <si>
    <t xml:space="preserve">CN.1 Asegurar el cumplimiento normativo relacionado con la seguridad de la información y con los requisitos de seguridad.</t>
  </si>
  <si>
    <t xml:space="preserve">CN.2 Asegurar la conveniencia, adecuación y eficacia continua de la gestión de la seguridad de la información en la organización de acuerdo al presente marco.</t>
  </si>
  <si>
    <t xml:space="preserve">CN.3 Conocer y mitigar las vulnerabilidades existentes en los sistemas de información de la organización de acuerdo a los requisitos de seguridad de la información establecidos en la política.</t>
  </si>
  <si>
    <t xml:space="preserve">CN.4 Mantener el número óptimo de licencias para soportar de forma adecuada los requerimientos de las operaciones y documentar su uso.</t>
  </si>
</sst>
</file>

<file path=xl/styles.xml><?xml version="1.0" encoding="utf-8"?>
<styleSheet xmlns="http://schemas.openxmlformats.org/spreadsheetml/2006/main">
  <numFmts count="9">
    <numFmt numFmtId="164" formatCode="General"/>
    <numFmt numFmtId="165" formatCode="0.0"/>
    <numFmt numFmtId="166" formatCode="@"/>
    <numFmt numFmtId="167" formatCode="0.00"/>
    <numFmt numFmtId="168" formatCode="General"/>
    <numFmt numFmtId="169" formatCode="0.00\ %"/>
    <numFmt numFmtId="170" formatCode="mmm\-yy"/>
    <numFmt numFmtId="171" formatCode="dd\-mmm"/>
    <numFmt numFmtId="172" formatCode="0\ %"/>
  </numFmts>
  <fonts count="53">
    <font>
      <sz val="10"/>
      <color rgb="FF000000"/>
      <name val="Arial"/>
      <family val="0"/>
      <charset val="1"/>
    </font>
    <font>
      <sz val="10"/>
      <name val="Arial"/>
      <family val="0"/>
    </font>
    <font>
      <sz val="10"/>
      <name val="Arial"/>
      <family val="0"/>
    </font>
    <font>
      <sz val="10"/>
      <name val="Arial"/>
      <family val="0"/>
    </font>
    <font>
      <b val="true"/>
      <sz val="28"/>
      <color rgb="FF000000"/>
      <name val="Arial"/>
      <family val="0"/>
      <charset val="1"/>
    </font>
    <font>
      <b val="true"/>
      <sz val="12"/>
      <color rgb="FF000000"/>
      <name val="Arial"/>
      <family val="0"/>
      <charset val="1"/>
    </font>
    <font>
      <sz val="12"/>
      <color rgb="FF000000"/>
      <name val="Arial"/>
      <family val="0"/>
      <charset val="1"/>
    </font>
    <font>
      <b val="true"/>
      <sz val="14"/>
      <color rgb="FFFFFFFF"/>
      <name val="Helvetica Neue"/>
      <family val="0"/>
      <charset val="1"/>
    </font>
    <font>
      <b val="true"/>
      <sz val="16"/>
      <color rgb="FFFFFFFF"/>
      <name val="Helvetica Neue"/>
      <family val="0"/>
      <charset val="1"/>
    </font>
    <font>
      <b val="true"/>
      <sz val="20"/>
      <color rgb="FFFFFFFF"/>
      <name val="Helvetica Neue"/>
      <family val="0"/>
      <charset val="1"/>
    </font>
    <font>
      <sz val="10"/>
      <color rgb="FF000000"/>
      <name val="Helvetica Neue"/>
      <family val="0"/>
      <charset val="1"/>
    </font>
    <font>
      <b val="true"/>
      <sz val="12"/>
      <color rgb="FFFFFFFF"/>
      <name val="Helvetica Neue"/>
      <family val="0"/>
      <charset val="1"/>
    </font>
    <font>
      <sz val="10"/>
      <color rgb="FFFFFFFF"/>
      <name val="Helvetica Neue"/>
      <family val="0"/>
      <charset val="1"/>
    </font>
    <font>
      <b val="true"/>
      <sz val="10"/>
      <color rgb="FF000000"/>
      <name val="Helvetica Neue"/>
      <family val="0"/>
      <charset val="1"/>
    </font>
    <font>
      <b val="true"/>
      <sz val="10"/>
      <color rgb="FFFFFFFF"/>
      <name val="Helvetica Neue"/>
      <family val="0"/>
      <charset val="1"/>
    </font>
    <font>
      <b val="true"/>
      <sz val="12"/>
      <color rgb="FFFFFFFF"/>
      <name val="Arial"/>
      <family val="0"/>
      <charset val="1"/>
    </font>
    <font>
      <sz val="10"/>
      <color rgb="FF000000"/>
      <name val="Arial"/>
      <family val="2"/>
    </font>
    <font>
      <b val="true"/>
      <sz val="36"/>
      <color rgb="FF000000"/>
      <name val="Calibri"/>
      <family val="2"/>
    </font>
    <font>
      <sz val="14"/>
      <color rgb="FF1A1A1A"/>
      <name val="Calibri"/>
      <family val="2"/>
    </font>
    <font>
      <b val="true"/>
      <sz val="14"/>
      <color rgb="FF000000"/>
      <name val="Calibri"/>
      <family val="2"/>
    </font>
    <font>
      <sz val="12"/>
      <color rgb="FF000000"/>
      <name val="Calibri"/>
      <family val="2"/>
    </font>
    <font>
      <b val="true"/>
      <sz val="12"/>
      <color rgb="FF333399"/>
      <name val="Calibri"/>
      <family val="0"/>
      <charset val="1"/>
    </font>
    <font>
      <sz val="8"/>
      <color rgb="FF000000"/>
      <name val="Arial"/>
      <family val="0"/>
      <charset val="1"/>
    </font>
    <font>
      <sz val="11"/>
      <color rgb="FF000000"/>
      <name val="Arial"/>
      <family val="0"/>
      <charset val="1"/>
    </font>
    <font>
      <b val="true"/>
      <sz val="22"/>
      <color rgb="FF000000"/>
      <name val="Arial"/>
      <family val="0"/>
      <charset val="1"/>
    </font>
    <font>
      <b val="true"/>
      <sz val="10"/>
      <color rgb="FF000000"/>
      <name val="Arial"/>
      <family val="0"/>
      <charset val="1"/>
    </font>
    <font>
      <sz val="10"/>
      <color rgb="FF808080"/>
      <name val="Arial"/>
      <family val="0"/>
      <charset val="1"/>
    </font>
    <font>
      <b val="true"/>
      <sz val="24"/>
      <color rgb="FFFFFFFF"/>
      <name val="Helvetica Neue"/>
      <family val="0"/>
      <charset val="1"/>
    </font>
    <font>
      <b val="true"/>
      <sz val="12"/>
      <color rgb="FF333399"/>
      <name val="Arial"/>
      <family val="0"/>
      <charset val="1"/>
    </font>
    <font>
      <sz val="8"/>
      <color rgb="FF333399"/>
      <name val="Arial"/>
      <family val="0"/>
      <charset val="1"/>
    </font>
    <font>
      <sz val="14"/>
      <color rgb="FFFFFFFF"/>
      <name val="Helvetica Neue"/>
      <family val="0"/>
      <charset val="1"/>
    </font>
    <font>
      <b val="true"/>
      <sz val="24"/>
      <color rgb="FFFFFFFF"/>
      <name val="Arial"/>
      <family val="0"/>
      <charset val="1"/>
    </font>
    <font>
      <sz val="10"/>
      <color rgb="FF333399"/>
      <name val="Arial"/>
      <family val="0"/>
      <charset val="1"/>
    </font>
    <font>
      <b val="true"/>
      <sz val="20"/>
      <color rgb="FF000000"/>
      <name val="Arial"/>
      <family val="0"/>
      <charset val="1"/>
    </font>
    <font>
      <sz val="14"/>
      <color rgb="FF000000"/>
      <name val="Arial"/>
      <family val="0"/>
      <charset val="1"/>
    </font>
    <font>
      <b val="true"/>
      <sz val="28"/>
      <color rgb="FFFFFFFF"/>
      <name val="Arial"/>
      <family val="0"/>
      <charset val="1"/>
    </font>
    <font>
      <b val="true"/>
      <sz val="14"/>
      <color rgb="FF333399"/>
      <name val="Arial"/>
      <family val="0"/>
      <charset val="1"/>
    </font>
    <font>
      <sz val="14"/>
      <color rgb="FF333399"/>
      <name val="Arial"/>
      <family val="0"/>
      <charset val="1"/>
    </font>
    <font>
      <b val="true"/>
      <sz val="11"/>
      <color rgb="FF333399"/>
      <name val="Arial"/>
      <family val="0"/>
      <charset val="1"/>
    </font>
    <font>
      <sz val="9"/>
      <color rgb="FF333399"/>
      <name val="Arial"/>
      <family val="0"/>
      <charset val="1"/>
    </font>
    <font>
      <sz val="10"/>
      <color rgb="FF000000"/>
      <name val="Arial"/>
      <family val="0"/>
    </font>
    <font>
      <b val="true"/>
      <sz val="18"/>
      <color rgb="FF000000"/>
      <name val="Arial"/>
      <family val="0"/>
      <charset val="1"/>
    </font>
    <font>
      <b val="true"/>
      <sz val="8"/>
      <color rgb="FF000000"/>
      <name val="Arial"/>
      <family val="0"/>
      <charset val="1"/>
    </font>
    <font>
      <b val="true"/>
      <sz val="12"/>
      <color rgb="FFFFFFFF"/>
      <name val="Calibri"/>
      <family val="0"/>
      <charset val="1"/>
    </font>
    <font>
      <sz val="10"/>
      <color rgb="FF333399"/>
      <name val="Calibri"/>
      <family val="0"/>
      <charset val="1"/>
    </font>
    <font>
      <sz val="8"/>
      <color rgb="FF000000"/>
      <name val="Calibri"/>
      <family val="0"/>
      <charset val="1"/>
    </font>
    <font>
      <sz val="8"/>
      <color rgb="FF333399"/>
      <name val="Calibri"/>
      <family val="0"/>
      <charset val="1"/>
    </font>
    <font>
      <b val="true"/>
      <sz val="18"/>
      <color rgb="FFFFFFFF"/>
      <name val="Arial"/>
      <family val="0"/>
      <charset val="1"/>
    </font>
    <font>
      <b val="true"/>
      <sz val="16"/>
      <color rgb="FF757575"/>
      <name val="Arial"/>
      <family val="2"/>
    </font>
    <font>
      <b val="true"/>
      <sz val="18"/>
      <color rgb="FF757575"/>
      <name val="Arial"/>
      <family val="2"/>
    </font>
    <font>
      <b val="true"/>
      <sz val="11"/>
      <color rgb="FF000000"/>
      <name val="Calibri"/>
      <family val="0"/>
      <charset val="1"/>
    </font>
    <font>
      <sz val="11"/>
      <color rgb="FF000000"/>
      <name val="Calibri"/>
      <family val="0"/>
      <charset val="1"/>
    </font>
    <font>
      <sz val="9"/>
      <color rgb="FF000000"/>
      <name val="Calibri"/>
      <family val="0"/>
      <charset val="1"/>
    </font>
  </fonts>
  <fills count="30">
    <fill>
      <patternFill patternType="none"/>
    </fill>
    <fill>
      <patternFill patternType="gray125"/>
    </fill>
    <fill>
      <patternFill patternType="solid">
        <fgColor rgb="FFA5A5A5"/>
        <bgColor rgb="FFB7B7B7"/>
      </patternFill>
    </fill>
    <fill>
      <patternFill patternType="solid">
        <fgColor rgb="FFEF942B"/>
        <bgColor rgb="FFFF9900"/>
      </patternFill>
    </fill>
    <fill>
      <patternFill patternType="solid">
        <fgColor rgb="FF006532"/>
        <bgColor rgb="FF008080"/>
      </patternFill>
    </fill>
    <fill>
      <patternFill patternType="solid">
        <fgColor rgb="FF333366"/>
        <bgColor rgb="FF333399"/>
      </patternFill>
    </fill>
    <fill>
      <patternFill patternType="solid">
        <fgColor rgb="FF4F33B7"/>
        <bgColor rgb="FF333399"/>
      </patternFill>
    </fill>
    <fill>
      <patternFill patternType="solid">
        <fgColor rgb="FF3366CB"/>
        <bgColor rgb="FF2E75B5"/>
      </patternFill>
    </fill>
    <fill>
      <patternFill patternType="solid">
        <fgColor rgb="FFFFFFFF"/>
        <bgColor rgb="FFFEF2CB"/>
      </patternFill>
    </fill>
    <fill>
      <patternFill patternType="solid">
        <fgColor rgb="FFBFBFBF"/>
        <bgColor rgb="FFB7B7B7"/>
      </patternFill>
    </fill>
    <fill>
      <patternFill patternType="solid">
        <fgColor rgb="FF00B050"/>
        <bgColor rgb="FF008080"/>
      </patternFill>
    </fill>
    <fill>
      <patternFill patternType="solid">
        <fgColor rgb="FF2E75B5"/>
        <bgColor rgb="FF3366CB"/>
      </patternFill>
    </fill>
    <fill>
      <patternFill patternType="solid">
        <fgColor rgb="FF9CC2E5"/>
        <bgColor rgb="FFB7B7B7"/>
      </patternFill>
    </fill>
    <fill>
      <patternFill patternType="solid">
        <fgColor rgb="FFFFCC99"/>
        <bgColor rgb="FFF7CAAC"/>
      </patternFill>
    </fill>
    <fill>
      <patternFill patternType="solid">
        <fgColor rgb="FF9900FF"/>
        <bgColor rgb="FF800080"/>
      </patternFill>
    </fill>
    <fill>
      <patternFill patternType="solid">
        <fgColor rgb="FFCC99FF"/>
        <bgColor rgb="FFB7B7B7"/>
      </patternFill>
    </fill>
    <fill>
      <patternFill patternType="solid">
        <fgColor rgb="FFFF9900"/>
        <bgColor rgb="FFEF942B"/>
      </patternFill>
    </fill>
    <fill>
      <patternFill patternType="solid">
        <fgColor rgb="FFFFE598"/>
        <bgColor rgb="FFFFCC99"/>
      </patternFill>
    </fill>
    <fill>
      <patternFill patternType="solid">
        <fgColor rgb="FFFF0000"/>
        <bgColor rgb="FF800000"/>
      </patternFill>
    </fill>
    <fill>
      <patternFill patternType="solid">
        <fgColor rgb="FFF7CAAC"/>
        <bgColor rgb="FFFFCC99"/>
      </patternFill>
    </fill>
    <fill>
      <patternFill patternType="solid">
        <fgColor rgb="FF70AD47"/>
        <bgColor rgb="FF8B8B8B"/>
      </patternFill>
    </fill>
    <fill>
      <patternFill patternType="solid">
        <fgColor rgb="FFC5E0B3"/>
        <bgColor rgb="FFD9D9D9"/>
      </patternFill>
    </fill>
    <fill>
      <patternFill patternType="solid">
        <fgColor rgb="FFE7E6E6"/>
        <bgColor rgb="FFDEEAF6"/>
      </patternFill>
    </fill>
    <fill>
      <patternFill patternType="solid">
        <fgColor rgb="FFC55A11"/>
        <bgColor rgb="FFED7D31"/>
      </patternFill>
    </fill>
    <fill>
      <patternFill patternType="solid">
        <fgColor rgb="FFDEEAF6"/>
        <bgColor rgb="FFE7E6E6"/>
      </patternFill>
    </fill>
    <fill>
      <patternFill patternType="solid">
        <fgColor rgb="FF7F7F7F"/>
        <bgColor rgb="FF808080"/>
      </patternFill>
    </fill>
    <fill>
      <patternFill patternType="solid">
        <fgColor rgb="FFFFCCFF"/>
        <bgColor rgb="FFFBE4D5"/>
      </patternFill>
    </fill>
    <fill>
      <patternFill patternType="solid">
        <fgColor rgb="FFFEF2CB"/>
        <bgColor rgb="FFFBE4D4"/>
      </patternFill>
    </fill>
    <fill>
      <patternFill patternType="solid">
        <fgColor rgb="FFFBE4D5"/>
        <bgColor rgb="FFFBE4D4"/>
      </patternFill>
    </fill>
    <fill>
      <patternFill patternType="solid">
        <fgColor rgb="FFE2EFD9"/>
        <bgColor rgb="FFE7E6E6"/>
      </patternFill>
    </fill>
  </fills>
  <borders count="7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medium">
        <color rgb="FF000080"/>
      </left>
      <right/>
      <top style="medium">
        <color rgb="FF000080"/>
      </top>
      <bottom style="thin">
        <color rgb="FF000080"/>
      </bottom>
      <diagonal/>
    </border>
    <border diagonalUp="false" diagonalDown="false">
      <left style="thin">
        <color rgb="FF000080"/>
      </left>
      <right style="medium">
        <color rgb="FF000080"/>
      </right>
      <top style="medium">
        <color rgb="FF000080"/>
      </top>
      <bottom style="thin">
        <color rgb="FF000080"/>
      </bottom>
      <diagonal/>
    </border>
    <border diagonalUp="false" diagonalDown="false">
      <left style="medium">
        <color rgb="FF000080"/>
      </left>
      <right style="thin">
        <color rgb="FF000080"/>
      </right>
      <top style="medium">
        <color rgb="FF000080"/>
      </top>
      <bottom style="medium">
        <color rgb="FF000080"/>
      </bottom>
      <diagonal/>
    </border>
    <border diagonalUp="false" diagonalDown="false">
      <left/>
      <right/>
      <top style="thin">
        <color rgb="FF000080"/>
      </top>
      <bottom style="thin">
        <color rgb="FF000080"/>
      </bottom>
      <diagonal/>
    </border>
    <border diagonalUp="false" diagonalDown="false">
      <left style="thin">
        <color rgb="FF000080"/>
      </left>
      <right style="medium">
        <color rgb="FF000080"/>
      </right>
      <top style="thin">
        <color rgb="FF000080"/>
      </top>
      <bottom style="thin">
        <color rgb="FF000080"/>
      </bottom>
      <diagonal/>
    </border>
    <border diagonalUp="false" diagonalDown="false">
      <left/>
      <right/>
      <top style="thin">
        <color rgb="FF000080"/>
      </top>
      <bottom style="medium">
        <color rgb="FF000080"/>
      </bottom>
      <diagonal/>
    </border>
    <border diagonalUp="false" diagonalDown="false">
      <left style="thin">
        <color rgb="FF000080"/>
      </left>
      <right style="medium">
        <color rgb="FF000080"/>
      </right>
      <top style="thin">
        <color rgb="FF000080"/>
      </top>
      <bottom style="medium">
        <color rgb="FF000080"/>
      </bottom>
      <diagonal/>
    </border>
    <border diagonalUp="false" diagonalDown="false">
      <left/>
      <right/>
      <top/>
      <bottom style="thin">
        <color rgb="FF000080"/>
      </bottom>
      <diagonal/>
    </border>
    <border diagonalUp="false" diagonalDown="false">
      <left style="thin">
        <color rgb="FF000080"/>
      </left>
      <right style="medium">
        <color rgb="FF000080"/>
      </right>
      <top/>
      <bottom style="thin">
        <color rgb="FF000080"/>
      </bottom>
      <diagonal/>
    </border>
    <border diagonalUp="false" diagonalDown="false">
      <left style="thin"/>
      <right style="thin"/>
      <top style="thin"/>
      <bottom style="thin"/>
      <diagonal/>
    </border>
    <border diagonalUp="false" diagonalDown="false">
      <left/>
      <right/>
      <top/>
      <bottom style="medium"/>
      <diagonal/>
    </border>
    <border diagonalUp="false" diagonalDown="false">
      <left style="medium">
        <color rgb="FF000080"/>
      </left>
      <right style="thin">
        <color rgb="FF000080"/>
      </right>
      <top style="medium">
        <color rgb="FF000080"/>
      </top>
      <bottom style="thin">
        <color rgb="FF000080"/>
      </bottom>
      <diagonal/>
    </border>
    <border diagonalUp="false" diagonalDown="false">
      <left style="thin">
        <color rgb="FF000080"/>
      </left>
      <right style="thin">
        <color rgb="FF000080"/>
      </right>
      <top style="medium">
        <color rgb="FF000080"/>
      </top>
      <bottom style="thin">
        <color rgb="FF000080"/>
      </bottom>
      <diagonal/>
    </border>
    <border diagonalUp="false" diagonalDown="false">
      <left style="medium">
        <color rgb="FF000080"/>
      </left>
      <right style="thin">
        <color rgb="FF000080"/>
      </right>
      <top style="thin">
        <color rgb="FF000080"/>
      </top>
      <bottom style="thin">
        <color rgb="FF000080"/>
      </bottom>
      <diagonal/>
    </border>
    <border diagonalUp="false" diagonalDown="false">
      <left style="thin">
        <color rgb="FF000080"/>
      </left>
      <right style="thin">
        <color rgb="FF000080"/>
      </right>
      <top style="medium">
        <color rgb="FF000080"/>
      </top>
      <bottom style="medium">
        <color rgb="FF000080"/>
      </bottom>
      <diagonal/>
    </border>
    <border diagonalUp="false" diagonalDown="false">
      <left style="thin">
        <color rgb="FF000080"/>
      </left>
      <right/>
      <top style="medium">
        <color rgb="FF000080"/>
      </top>
      <bottom style="medium">
        <color rgb="FF000080"/>
      </bottom>
      <diagonal/>
    </border>
    <border diagonalUp="false" diagonalDown="false">
      <left style="medium">
        <color rgb="FF000080"/>
      </left>
      <right style="medium">
        <color rgb="FF000080"/>
      </right>
      <top style="medium">
        <color rgb="FF000080"/>
      </top>
      <bottom style="medium">
        <color rgb="FF000080"/>
      </bottom>
      <diagonal/>
    </border>
    <border diagonalUp="false" diagonalDown="false">
      <left style="medium">
        <color rgb="FF000080"/>
      </left>
      <right style="thin">
        <color rgb="FF000080"/>
      </right>
      <top style="thin">
        <color rgb="FF000080"/>
      </top>
      <bottom style="medium">
        <color rgb="FF000080"/>
      </bottom>
      <diagonal/>
    </border>
    <border diagonalUp="false" diagonalDown="false">
      <left style="thin">
        <color rgb="FF000080"/>
      </left>
      <right style="thin">
        <color rgb="FF000080"/>
      </right>
      <top style="thin">
        <color rgb="FF000080"/>
      </top>
      <bottom style="medium">
        <color rgb="FF000080"/>
      </bottom>
      <diagonal/>
    </border>
    <border diagonalUp="false" diagonalDown="false">
      <left style="medium">
        <color rgb="FF000080"/>
      </left>
      <right style="thin">
        <color rgb="FF000080"/>
      </right>
      <top/>
      <bottom style="thin">
        <color rgb="FF000080"/>
      </bottom>
      <diagonal/>
    </border>
    <border diagonalUp="false" diagonalDown="false">
      <left style="thin">
        <color rgb="FF000080"/>
      </left>
      <right style="thin">
        <color rgb="FF000080"/>
      </right>
      <top/>
      <bottom style="thin">
        <color rgb="FF000080"/>
      </bottom>
      <diagonal/>
    </border>
    <border diagonalUp="false" diagonalDown="false">
      <left style="thin">
        <color rgb="FF000080"/>
      </left>
      <right/>
      <top/>
      <bottom style="medium">
        <color rgb="FF000080"/>
      </bottom>
      <diagonal/>
    </border>
    <border diagonalUp="false" diagonalDown="false">
      <left style="thin">
        <color rgb="FF000080"/>
      </left>
      <right/>
      <top/>
      <bottom style="thin">
        <color rgb="FF000080"/>
      </bottom>
      <diagonal/>
    </border>
    <border diagonalUp="false" diagonalDown="false">
      <left style="thin">
        <color rgb="FF000080"/>
      </left>
      <right/>
      <top style="thin">
        <color rgb="FF000080"/>
      </top>
      <bottom style="medium">
        <color rgb="FF000080"/>
      </bottom>
      <diagonal/>
    </border>
    <border diagonalUp="false" diagonalDown="false">
      <left style="medium">
        <color rgb="FF000080"/>
      </left>
      <right style="thin">
        <color rgb="FF000080"/>
      </right>
      <top/>
      <bottom style="medium">
        <color rgb="FF000080"/>
      </bottom>
      <diagonal/>
    </border>
    <border diagonalUp="false" diagonalDown="false">
      <left style="thin">
        <color rgb="FF000080"/>
      </left>
      <right style="thin">
        <color rgb="FF000080"/>
      </right>
      <top/>
      <bottom style="medium">
        <color rgb="FF000080"/>
      </bottom>
      <diagonal/>
    </border>
    <border diagonalUp="false" diagonalDown="false">
      <left style="thin">
        <color rgb="FF000080"/>
      </left>
      <right style="thin">
        <color rgb="FF000080"/>
      </right>
      <top/>
      <bottom/>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top style="medium"/>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style="thin"/>
      <top/>
      <bottom/>
      <diagonal/>
    </border>
    <border diagonalUp="false" diagonalDown="false">
      <left style="medium"/>
      <right/>
      <top/>
      <bottom/>
      <diagonal/>
    </border>
    <border diagonalUp="false" diagonalDown="false">
      <left style="thin"/>
      <right style="thin"/>
      <top/>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style="thin"/>
      <right style="thin"/>
      <top style="medium"/>
      <bottom style="medium"/>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style="thin"/>
      <right style="thin"/>
      <top/>
      <bottom style="medium"/>
      <diagonal/>
    </border>
    <border diagonalUp="false" diagonalDown="false">
      <left style="thin"/>
      <right/>
      <top style="medium"/>
      <bottom style="mediu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medium"/>
      <right style="thin"/>
      <top/>
      <bottom/>
      <diagonal/>
    </border>
    <border diagonalUp="false" diagonalDown="false">
      <left/>
      <right/>
      <top style="medium"/>
      <bottom style="medium"/>
      <diagonal/>
    </border>
    <border diagonalUp="false" diagonalDown="false">
      <left style="thin"/>
      <right/>
      <top/>
      <bottom style="thin"/>
      <diagonal/>
    </border>
    <border diagonalUp="false" diagonalDown="false">
      <left style="thin"/>
      <right/>
      <top style="medium"/>
      <bottom/>
      <diagonal/>
    </border>
    <border diagonalUp="false" diagonalDown="false">
      <left style="thin"/>
      <right/>
      <top style="thin"/>
      <bottom/>
      <diagonal/>
    </border>
    <border diagonalUp="false" diagonalDown="false">
      <left style="medium"/>
      <right style="thin"/>
      <top/>
      <bottom style="medium"/>
      <diagonal/>
    </border>
    <border diagonalUp="false" diagonalDown="false">
      <left style="thin"/>
      <right/>
      <top/>
      <bottom style="mediu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5" fontId="8"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180" wrapText="tru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5" fontId="13" fillId="0" borderId="1" xfId="0" applyFont="true" applyBorder="true" applyAlignment="true" applyProtection="false">
      <alignment horizontal="center" vertical="bottom" textRotation="0" wrapText="fals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2" fillId="5" borderId="1" xfId="0" applyFont="true" applyBorder="true" applyAlignment="true" applyProtection="false">
      <alignment horizontal="center" vertical="center" textRotation="0" wrapText="false" indent="0" shrinkToFit="false"/>
      <protection locked="true" hidden="false"/>
    </xf>
    <xf numFmtId="164" fontId="12" fillId="6" borderId="1" xfId="0" applyFont="true" applyBorder="true" applyAlignment="true" applyProtection="false">
      <alignment horizontal="center" vertical="center" textRotation="0" wrapText="false" indent="0" shrinkToFit="false"/>
      <protection locked="true" hidden="false"/>
    </xf>
    <xf numFmtId="164" fontId="12" fillId="7" borderId="1"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2" xfId="0" applyFont="true" applyBorder="true" applyAlignment="true" applyProtection="false">
      <alignment horizontal="center" vertical="bottom" textRotation="0" wrapText="false" indent="0" shrinkToFit="false"/>
      <protection locked="true" hidden="false"/>
    </xf>
    <xf numFmtId="164" fontId="12" fillId="2" borderId="3" xfId="0" applyFont="true" applyBorder="true" applyAlignment="true" applyProtection="false">
      <alignment horizontal="center" vertical="center" textRotation="0" wrapText="false" indent="0" shrinkToFit="false"/>
      <protection locked="true" hidden="false"/>
    </xf>
    <xf numFmtId="164" fontId="14" fillId="3" borderId="4" xfId="0" applyFont="true" applyBorder="true" applyAlignment="true" applyProtection="false">
      <alignment horizontal="center" vertical="center" textRotation="9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5" fontId="13" fillId="0" borderId="6"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left" vertical="center" textRotation="0" wrapText="false" indent="0" shrinkToFit="false"/>
      <protection locked="true" hidden="false"/>
    </xf>
    <xf numFmtId="165" fontId="13" fillId="0" borderId="8" xfId="0" applyFont="true" applyBorder="true" applyAlignment="true" applyProtection="false">
      <alignment horizontal="center" vertical="center" textRotation="0" wrapText="false" indent="0" shrinkToFit="false"/>
      <protection locked="true" hidden="false"/>
    </xf>
    <xf numFmtId="164" fontId="14" fillId="4" borderId="4" xfId="0" applyFont="true" applyBorder="true" applyAlignment="true" applyProtection="false">
      <alignment horizontal="center" vertical="center" textRotation="90" wrapText="false" indent="0" shrinkToFit="false"/>
      <protection locked="true" hidden="false"/>
    </xf>
    <xf numFmtId="164" fontId="10" fillId="0" borderId="9" xfId="0" applyFont="true" applyBorder="true" applyAlignment="true" applyProtection="false">
      <alignment horizontal="left" vertical="center" textRotation="0" wrapText="false" indent="0" shrinkToFit="false"/>
      <protection locked="true" hidden="false"/>
    </xf>
    <xf numFmtId="165" fontId="13" fillId="0" borderId="1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180" wrapText="true" indent="0" shrinkToFit="false"/>
      <protection locked="true" hidden="false"/>
    </xf>
    <xf numFmtId="164" fontId="14" fillId="5" borderId="4" xfId="0" applyFont="true" applyBorder="true" applyAlignment="true" applyProtection="false">
      <alignment horizontal="center" vertical="center" textRotation="90" wrapText="false" indent="0" shrinkToFit="false"/>
      <protection locked="true" hidden="false"/>
    </xf>
    <xf numFmtId="164" fontId="14" fillId="6" borderId="4" xfId="0" applyFont="true" applyBorder="true" applyAlignment="true" applyProtection="false">
      <alignment horizontal="center" vertical="center" textRotation="90" wrapText="false" indent="0" shrinkToFit="false"/>
      <protection locked="true" hidden="false"/>
    </xf>
    <xf numFmtId="164" fontId="14" fillId="7" borderId="4" xfId="0" applyFont="true" applyBorder="true" applyAlignment="true" applyProtection="false">
      <alignment horizontal="center" vertical="center" textRotation="9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21" fillId="8" borderId="11" xfId="0" applyFont="true" applyBorder="true" applyAlignment="true" applyProtection="false">
      <alignment horizontal="center" vertical="center" textRotation="0" wrapText="false" indent="0" shrinkToFit="false"/>
      <protection locked="true" hidden="false"/>
    </xf>
    <xf numFmtId="164" fontId="22" fillId="0" borderId="11" xfId="0" applyFont="true" applyBorder="tru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center"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12" xfId="0" applyFont="true" applyBorder="tru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center" vertical="center" textRotation="0" wrapText="true" indent="0" shrinkToFit="false"/>
      <protection locked="true" hidden="false"/>
    </xf>
    <xf numFmtId="166" fontId="11" fillId="2" borderId="13" xfId="0" applyFont="true" applyBorder="true" applyAlignment="true" applyProtection="false">
      <alignment horizontal="center" vertical="center" textRotation="0" wrapText="true" indent="0" shrinkToFit="false"/>
      <protection locked="true" hidden="false"/>
    </xf>
    <xf numFmtId="166" fontId="11" fillId="2" borderId="14" xfId="0" applyFont="true" applyBorder="true" applyAlignment="true" applyProtection="false">
      <alignment horizontal="center" vertical="center" textRotation="0" wrapText="true" indent="0" shrinkToFit="false"/>
      <protection locked="true" hidden="false"/>
    </xf>
    <xf numFmtId="166" fontId="11" fillId="2" borderId="3" xfId="0" applyFont="true" applyBorder="true" applyAlignment="true" applyProtection="false">
      <alignment horizontal="center" vertical="center" textRotation="0" wrapText="true" indent="0" shrinkToFit="false"/>
      <protection locked="true" hidden="false"/>
    </xf>
    <xf numFmtId="164" fontId="10" fillId="0" borderId="15" xfId="0" applyFont="true" applyBorder="true" applyAlignment="true" applyProtection="false">
      <alignment horizontal="general" vertical="center" textRotation="0" wrapText="true" indent="0" shrinkToFit="false"/>
      <protection locked="true" hidden="false"/>
    </xf>
    <xf numFmtId="164" fontId="2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27" fillId="3" borderId="1" xfId="0" applyFont="true" applyBorder="true" applyAlignment="true" applyProtection="false">
      <alignment horizontal="center" vertical="center" textRotation="90" wrapText="true" indent="0" shrinkToFit="false"/>
      <protection locked="true" hidden="false"/>
    </xf>
    <xf numFmtId="164" fontId="28"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5" fontId="30" fillId="3" borderId="1" xfId="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general" vertical="center" textRotation="0" wrapText="true" indent="0" shrinkToFit="false"/>
      <protection locked="true" hidden="false"/>
    </xf>
    <xf numFmtId="167" fontId="13" fillId="9" borderId="1" xfId="0" applyFont="true" applyBorder="true" applyAlignment="true" applyProtection="false">
      <alignment horizontal="center" vertical="center" textRotation="0" wrapText="true" indent="0" shrinkToFit="false"/>
      <protection locked="true" hidden="false"/>
    </xf>
    <xf numFmtId="164" fontId="31" fillId="9" borderId="1" xfId="0" applyFont="true" applyBorder="true" applyAlignment="true" applyProtection="false">
      <alignment horizontal="center" vertical="center" textRotation="90" wrapText="true" indent="0" shrinkToFit="false"/>
      <protection locked="true" hidden="false"/>
    </xf>
    <xf numFmtId="164" fontId="27" fillId="4" borderId="1" xfId="0" applyFont="true" applyBorder="true" applyAlignment="true" applyProtection="false">
      <alignment horizontal="center" vertical="center" textRotation="90" wrapText="true" indent="0" shrinkToFit="false"/>
      <protection locked="true" hidden="false"/>
    </xf>
    <xf numFmtId="165" fontId="30" fillId="4" borderId="1" xfId="0" applyFont="true" applyBorder="true" applyAlignment="true" applyProtection="false">
      <alignment horizontal="center" vertical="center" textRotation="0" wrapText="true" indent="0" shrinkToFit="false"/>
      <protection locked="true" hidden="false"/>
    </xf>
    <xf numFmtId="164" fontId="27" fillId="5" borderId="1" xfId="0" applyFont="true" applyBorder="true" applyAlignment="true" applyProtection="false">
      <alignment horizontal="center" vertical="center" textRotation="90" wrapText="true" indent="0" shrinkToFit="false"/>
      <protection locked="true" hidden="false"/>
    </xf>
    <xf numFmtId="165" fontId="30" fillId="5" borderId="1" xfId="0" applyFont="true" applyBorder="true" applyAlignment="true" applyProtection="false">
      <alignment horizontal="center" vertical="center" textRotation="0" wrapText="true" indent="0" shrinkToFit="false"/>
      <protection locked="true" hidden="false"/>
    </xf>
    <xf numFmtId="164" fontId="27" fillId="6" borderId="1" xfId="0" applyFont="true" applyBorder="true" applyAlignment="true" applyProtection="false">
      <alignment horizontal="center" vertical="center" textRotation="90" wrapText="true" indent="0" shrinkToFit="false"/>
      <protection locked="true" hidden="false"/>
    </xf>
    <xf numFmtId="165" fontId="30" fillId="6" borderId="1" xfId="0" applyFont="true" applyBorder="true" applyAlignment="true" applyProtection="false">
      <alignment horizontal="center" vertical="center" textRotation="0" wrapText="true" indent="0" shrinkToFit="false"/>
      <protection locked="true" hidden="false"/>
    </xf>
    <xf numFmtId="164" fontId="27" fillId="7" borderId="1" xfId="0" applyFont="true" applyBorder="true" applyAlignment="true" applyProtection="false">
      <alignment horizontal="center" vertical="center" textRotation="90" wrapText="true" indent="0" shrinkToFit="false"/>
      <protection locked="true" hidden="false"/>
    </xf>
    <xf numFmtId="165" fontId="30" fillId="7"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2" borderId="4" xfId="0" applyFont="true" applyBorder="true" applyAlignment="true" applyProtection="false">
      <alignment horizontal="center" vertical="center" textRotation="90" wrapText="true" indent="0" shrinkToFit="false"/>
      <protection locked="true" hidden="false"/>
    </xf>
    <xf numFmtId="164" fontId="11" fillId="2" borderId="16" xfId="0" applyFont="true" applyBorder="true" applyAlignment="true" applyProtection="false">
      <alignment horizontal="center" vertical="center" textRotation="90" wrapText="true" indent="0" shrinkToFit="false"/>
      <protection locked="true" hidden="false"/>
    </xf>
    <xf numFmtId="164" fontId="11" fillId="2" borderId="16" xfId="0" applyFont="true" applyBorder="true" applyAlignment="true" applyProtection="false">
      <alignment horizontal="center" vertical="center" textRotation="0" wrapText="false" indent="0" shrinkToFit="false"/>
      <protection locked="true" hidden="false"/>
    </xf>
    <xf numFmtId="164" fontId="11" fillId="2" borderId="16" xfId="0" applyFont="true" applyBorder="true" applyAlignment="true" applyProtection="false">
      <alignment horizontal="center" vertical="center" textRotation="0" wrapText="true" indent="0" shrinkToFit="false"/>
      <protection locked="true" hidden="false"/>
    </xf>
    <xf numFmtId="164" fontId="10" fillId="2" borderId="17" xfId="0" applyFont="true" applyBorder="true" applyAlignment="true" applyProtection="false">
      <alignment horizontal="center" vertical="center" textRotation="0" wrapText="true" indent="0" shrinkToFit="false"/>
      <protection locked="true" hidden="false"/>
    </xf>
    <xf numFmtId="164" fontId="10" fillId="9" borderId="18" xfId="0" applyFont="true" applyBorder="true" applyAlignment="true" applyProtection="false">
      <alignment horizontal="center" vertical="center" textRotation="0" wrapText="true" indent="0" shrinkToFit="false"/>
      <protection locked="true" hidden="false"/>
    </xf>
    <xf numFmtId="164" fontId="14" fillId="3" borderId="13" xfId="0" applyFont="true" applyBorder="true" applyAlignment="true" applyProtection="false">
      <alignment horizontal="center" vertical="center" textRotation="0" wrapText="false" indent="0" shrinkToFit="false"/>
      <protection locked="true" hidden="false"/>
    </xf>
    <xf numFmtId="164" fontId="14" fillId="3" borderId="14" xfId="0" applyFont="true" applyBorder="true" applyAlignment="true" applyProtection="false">
      <alignment horizontal="center" vertical="center" textRotation="0" wrapText="false" indent="0" shrinkToFit="false"/>
      <protection locked="true" hidden="false"/>
    </xf>
    <xf numFmtId="168" fontId="10" fillId="0" borderId="14" xfId="0" applyFont="true" applyBorder="true" applyAlignment="true" applyProtection="false">
      <alignment horizontal="left" vertical="center" textRotation="0" wrapText="true" indent="0" shrinkToFit="false"/>
      <protection locked="true" hidden="false"/>
    </xf>
    <xf numFmtId="168" fontId="10" fillId="0" borderId="14" xfId="0" applyFont="true" applyBorder="true" applyAlignment="true" applyProtection="false">
      <alignment horizontal="center" vertical="center" textRotation="0" wrapText="true" indent="0" shrinkToFit="false"/>
      <protection locked="true" hidden="false"/>
    </xf>
    <xf numFmtId="167" fontId="10" fillId="0" borderId="17" xfId="0" applyFont="true" applyBorder="true" applyAlignment="true" applyProtection="false">
      <alignment horizontal="center" vertical="center" textRotation="0" wrapText="false" indent="0" shrinkToFit="false"/>
      <protection locked="true" hidden="false"/>
    </xf>
    <xf numFmtId="165" fontId="10" fillId="0" borderId="18" xfId="0" applyFont="true" applyBorder="true" applyAlignment="true" applyProtection="false">
      <alignment horizontal="center" vertical="center" textRotation="0" wrapText="false" indent="0" shrinkToFit="false"/>
      <protection locked="true" hidden="false"/>
    </xf>
    <xf numFmtId="164" fontId="14" fillId="3" borderId="15" xfId="0" applyFont="true" applyBorder="true" applyAlignment="true" applyProtection="false">
      <alignment horizontal="center" vertical="center" textRotation="0" wrapText="false" indent="0" shrinkToFit="false"/>
      <protection locked="true" hidden="false"/>
    </xf>
    <xf numFmtId="164" fontId="14" fillId="3" borderId="1" xfId="0" applyFont="true" applyBorder="true" applyAlignment="true" applyProtection="false">
      <alignment horizontal="center" vertical="center" textRotation="0" wrapText="false" indent="0" shrinkToFit="false"/>
      <protection locked="true" hidden="false"/>
    </xf>
    <xf numFmtId="168" fontId="10" fillId="0" borderId="1" xfId="0" applyFont="true" applyBorder="true" applyAlignment="true" applyProtection="false">
      <alignment horizontal="left" vertical="center" textRotation="0" wrapText="true" indent="0" shrinkToFit="false"/>
      <protection locked="true" hidden="false"/>
    </xf>
    <xf numFmtId="168" fontId="10" fillId="0" borderId="1" xfId="0" applyFont="true" applyBorder="true" applyAlignment="true" applyProtection="false">
      <alignment horizontal="center" vertical="center" textRotation="0" wrapText="true" indent="0" shrinkToFit="false"/>
      <protection locked="true" hidden="false"/>
    </xf>
    <xf numFmtId="164" fontId="14" fillId="3" borderId="19" xfId="0" applyFont="true" applyBorder="true" applyAlignment="true" applyProtection="false">
      <alignment horizontal="center" vertical="center" textRotation="0" wrapText="false" indent="0" shrinkToFit="false"/>
      <protection locked="true" hidden="false"/>
    </xf>
    <xf numFmtId="164" fontId="14" fillId="3" borderId="20" xfId="0" applyFont="true" applyBorder="true" applyAlignment="true" applyProtection="false">
      <alignment horizontal="center" vertical="center" textRotation="0" wrapText="false" indent="0" shrinkToFit="false"/>
      <protection locked="true" hidden="false"/>
    </xf>
    <xf numFmtId="168" fontId="10" fillId="0" borderId="20" xfId="0" applyFont="true" applyBorder="true" applyAlignment="true" applyProtection="false">
      <alignment horizontal="left" vertical="center" textRotation="0" wrapText="true" indent="0" shrinkToFit="false"/>
      <protection locked="true" hidden="false"/>
    </xf>
    <xf numFmtId="168" fontId="10" fillId="0" borderId="20" xfId="0" applyFont="true" applyBorder="true" applyAlignment="true" applyProtection="false">
      <alignment horizontal="center" vertical="center" textRotation="0" wrapText="true" indent="0" shrinkToFit="false"/>
      <protection locked="true" hidden="false"/>
    </xf>
    <xf numFmtId="164" fontId="14" fillId="3" borderId="4" xfId="0" applyFont="true" applyBorder="true" applyAlignment="true" applyProtection="false">
      <alignment horizontal="center" vertical="center" textRotation="0" wrapText="false" indent="0" shrinkToFit="false"/>
      <protection locked="true" hidden="false"/>
    </xf>
    <xf numFmtId="164" fontId="14" fillId="3" borderId="16" xfId="0" applyFont="true" applyBorder="true" applyAlignment="true" applyProtection="false">
      <alignment horizontal="center" vertical="center" textRotation="0" wrapText="false" indent="0" shrinkToFit="false"/>
      <protection locked="true" hidden="false"/>
    </xf>
    <xf numFmtId="168" fontId="10" fillId="0" borderId="16" xfId="0" applyFont="true" applyBorder="true" applyAlignment="true" applyProtection="false">
      <alignment horizontal="left" vertical="center" textRotation="0" wrapText="true" indent="0" shrinkToFit="false"/>
      <protection locked="true" hidden="false"/>
    </xf>
    <xf numFmtId="168" fontId="10" fillId="0" borderId="16" xfId="0" applyFont="true" applyBorder="true" applyAlignment="true" applyProtection="false">
      <alignment horizontal="center" vertical="center" textRotation="0" wrapText="true" indent="0" shrinkToFit="false"/>
      <protection locked="true" hidden="false"/>
    </xf>
    <xf numFmtId="164" fontId="14" fillId="3" borderId="21" xfId="0" applyFont="true" applyBorder="true" applyAlignment="true" applyProtection="false">
      <alignment horizontal="center" vertical="center" textRotation="0" wrapText="false" indent="0" shrinkToFit="false"/>
      <protection locked="true" hidden="false"/>
    </xf>
    <xf numFmtId="164" fontId="14" fillId="3" borderId="22" xfId="0" applyFont="true" applyBorder="true" applyAlignment="true" applyProtection="false">
      <alignment horizontal="center" vertical="center" textRotation="0" wrapText="false" indent="0" shrinkToFit="false"/>
      <protection locked="true" hidden="false"/>
    </xf>
    <xf numFmtId="168" fontId="10" fillId="0" borderId="22" xfId="0" applyFont="true" applyBorder="true" applyAlignment="true" applyProtection="false">
      <alignment horizontal="left" vertical="center" textRotation="0" wrapText="true" indent="0" shrinkToFit="false"/>
      <protection locked="true" hidden="false"/>
    </xf>
    <xf numFmtId="168" fontId="10" fillId="0" borderId="22" xfId="0" applyFont="true" applyBorder="true" applyAlignment="true" applyProtection="false">
      <alignment horizontal="center" vertical="center" textRotation="0" wrapText="true" indent="0" shrinkToFit="false"/>
      <protection locked="true" hidden="false"/>
    </xf>
    <xf numFmtId="167" fontId="10" fillId="0" borderId="23" xfId="0" applyFont="true" applyBorder="true" applyAlignment="true" applyProtection="false">
      <alignment horizontal="center" vertical="center" textRotation="0" wrapText="false" indent="0" shrinkToFit="false"/>
      <protection locked="true" hidden="false"/>
    </xf>
    <xf numFmtId="164" fontId="10" fillId="2" borderId="16" xfId="0" applyFont="true" applyBorder="true" applyAlignment="true" applyProtection="false">
      <alignment horizontal="left" vertical="center" textRotation="0" wrapText="true" indent="0" shrinkToFit="false"/>
      <protection locked="true" hidden="false"/>
    </xf>
    <xf numFmtId="169" fontId="10" fillId="0" borderId="17" xfId="0" applyFont="true" applyBorder="true" applyAlignment="true" applyProtection="false">
      <alignment horizontal="center" vertical="center" textRotation="0" wrapText="false" indent="0" shrinkToFit="false"/>
      <protection locked="true" hidden="false"/>
    </xf>
    <xf numFmtId="164" fontId="10" fillId="2" borderId="22" xfId="0" applyFont="true" applyBorder="true" applyAlignment="true" applyProtection="false">
      <alignment horizontal="left" vertical="center" textRotation="0" wrapText="true" indent="0" shrinkToFit="false"/>
      <protection locked="true" hidden="false"/>
    </xf>
    <xf numFmtId="169" fontId="10" fillId="0" borderId="24" xfId="0" applyFont="true" applyBorder="true" applyAlignment="true" applyProtection="false">
      <alignment horizontal="center" vertical="center" textRotation="0" wrapText="false" indent="0" shrinkToFit="false"/>
      <protection locked="true" hidden="false"/>
    </xf>
    <xf numFmtId="167" fontId="10" fillId="0" borderId="25" xfId="0" applyFont="true" applyBorder="true" applyAlignment="true" applyProtection="false">
      <alignment horizontal="center" vertical="center" textRotation="0" wrapText="false" indent="0" shrinkToFit="false"/>
      <protection locked="true" hidden="false"/>
    </xf>
    <xf numFmtId="168" fontId="10" fillId="10" borderId="14" xfId="0" applyFont="true" applyBorder="true" applyAlignment="true" applyProtection="false">
      <alignment horizontal="center" vertical="center" textRotation="0" wrapText="true" indent="0" shrinkToFit="false"/>
      <protection locked="true" hidden="false"/>
    </xf>
    <xf numFmtId="164" fontId="14" fillId="3" borderId="26" xfId="0" applyFont="true" applyBorder="true" applyAlignment="true" applyProtection="false">
      <alignment horizontal="center" vertical="center" textRotation="0" wrapText="false" indent="0" shrinkToFit="false"/>
      <protection locked="true" hidden="false"/>
    </xf>
    <xf numFmtId="164" fontId="14" fillId="3" borderId="27" xfId="0" applyFont="true" applyBorder="true" applyAlignment="true" applyProtection="false">
      <alignment horizontal="center" vertical="center" textRotation="0" wrapText="false" indent="0" shrinkToFit="false"/>
      <protection locked="true" hidden="false"/>
    </xf>
    <xf numFmtId="168" fontId="10" fillId="0" borderId="27" xfId="0" applyFont="true" applyBorder="true" applyAlignment="true" applyProtection="false">
      <alignment horizontal="left" vertical="center" textRotation="0" wrapText="true" indent="0" shrinkToFit="false"/>
      <protection locked="true" hidden="false"/>
    </xf>
    <xf numFmtId="168" fontId="10" fillId="0" borderId="27" xfId="0" applyFont="true" applyBorder="true" applyAlignment="true" applyProtection="false">
      <alignment horizontal="center" vertical="center" textRotation="0" wrapText="true" indent="0" shrinkToFit="false"/>
      <protection locked="true" hidden="false"/>
    </xf>
    <xf numFmtId="164" fontId="14" fillId="4" borderId="13" xfId="0" applyFont="true" applyBorder="true" applyAlignment="true" applyProtection="false">
      <alignment horizontal="center" vertical="center" textRotation="0" wrapText="false" indent="0" shrinkToFit="false"/>
      <protection locked="true" hidden="false"/>
    </xf>
    <xf numFmtId="164" fontId="14" fillId="4" borderId="14" xfId="0" applyFont="true" applyBorder="true" applyAlignment="true" applyProtection="false">
      <alignment horizontal="center" vertical="center" textRotation="0" wrapText="false" indent="0" shrinkToFit="false"/>
      <protection locked="true" hidden="false"/>
    </xf>
    <xf numFmtId="164" fontId="14" fillId="4" borderId="19" xfId="0" applyFont="true" applyBorder="true" applyAlignment="true" applyProtection="false">
      <alignment horizontal="center" vertical="center" textRotation="0" wrapText="false" indent="0" shrinkToFit="false"/>
      <protection locked="true" hidden="false"/>
    </xf>
    <xf numFmtId="164" fontId="14" fillId="4" borderId="20" xfId="0" applyFont="true" applyBorder="true" applyAlignment="true" applyProtection="false">
      <alignment horizontal="center" vertical="center" textRotation="0" wrapText="false" indent="0" shrinkToFit="false"/>
      <protection locked="true" hidden="false"/>
    </xf>
    <xf numFmtId="164" fontId="14" fillId="4" borderId="4" xfId="0" applyFont="true" applyBorder="true" applyAlignment="true" applyProtection="false">
      <alignment horizontal="center" vertical="center" textRotation="0" wrapText="false" indent="0" shrinkToFit="false"/>
      <protection locked="true" hidden="false"/>
    </xf>
    <xf numFmtId="164" fontId="14" fillId="4" borderId="16" xfId="0" applyFont="true" applyBorder="true" applyAlignment="true" applyProtection="false">
      <alignment horizontal="center" vertical="center" textRotation="0" wrapText="false" indent="0" shrinkToFit="false"/>
      <protection locked="true" hidden="false"/>
    </xf>
    <xf numFmtId="164" fontId="14" fillId="4" borderId="21" xfId="0" applyFont="true" applyBorder="true" applyAlignment="true" applyProtection="false">
      <alignment horizontal="center" vertical="center" textRotation="0" wrapText="false" indent="0" shrinkToFit="false"/>
      <protection locked="true" hidden="false"/>
    </xf>
    <xf numFmtId="164" fontId="14" fillId="4" borderId="22" xfId="0" applyFont="true" applyBorder="true" applyAlignment="true" applyProtection="false">
      <alignment horizontal="center" vertical="center" textRotation="0" wrapText="false" indent="0" shrinkToFit="false"/>
      <protection locked="true" hidden="false"/>
    </xf>
    <xf numFmtId="164" fontId="14" fillId="4" borderId="26" xfId="0" applyFont="true" applyBorder="true" applyAlignment="true" applyProtection="false">
      <alignment horizontal="center" vertical="center" textRotation="0" wrapText="false" indent="0" shrinkToFit="false"/>
      <protection locked="true" hidden="false"/>
    </xf>
    <xf numFmtId="164" fontId="14" fillId="4" borderId="27" xfId="0" applyFont="true" applyBorder="true" applyAlignment="true" applyProtection="false">
      <alignment horizontal="center" vertical="center" textRotation="0" wrapText="false" indent="0" shrinkToFit="false"/>
      <protection locked="true" hidden="false"/>
    </xf>
    <xf numFmtId="164" fontId="14" fillId="4" borderId="15" xfId="0" applyFont="true" applyBorder="true" applyAlignment="true" applyProtection="false">
      <alignment horizontal="center" vertical="center" textRotation="0" wrapText="false" indent="0" shrinkToFit="false"/>
      <protection locked="true" hidden="false"/>
    </xf>
    <xf numFmtId="164" fontId="14" fillId="4" borderId="1" xfId="0" applyFont="true" applyBorder="true" applyAlignment="true" applyProtection="false">
      <alignment horizontal="center" vertical="center" textRotation="0" wrapText="false" indent="0" shrinkToFit="false"/>
      <protection locked="true" hidden="false"/>
    </xf>
    <xf numFmtId="164" fontId="14" fillId="4" borderId="28" xfId="0" applyFont="true" applyBorder="true" applyAlignment="true" applyProtection="false">
      <alignment horizontal="center" vertical="center" textRotation="0" wrapText="false" indent="0" shrinkToFit="false"/>
      <protection locked="true" hidden="false"/>
    </xf>
    <xf numFmtId="168" fontId="10" fillId="0" borderId="28" xfId="0" applyFont="true" applyBorder="true" applyAlignment="true" applyProtection="false">
      <alignment horizontal="left" vertical="center" textRotation="0" wrapText="true" indent="0" shrinkToFit="false"/>
      <protection locked="true" hidden="false"/>
    </xf>
    <xf numFmtId="168" fontId="10" fillId="0" borderId="28" xfId="0" applyFont="true" applyBorder="true" applyAlignment="true" applyProtection="false">
      <alignment horizontal="center" vertical="center" textRotation="0" wrapText="true" indent="0" shrinkToFit="false"/>
      <protection locked="true" hidden="false"/>
    </xf>
    <xf numFmtId="164" fontId="14" fillId="5" borderId="4" xfId="0" applyFont="true" applyBorder="true" applyAlignment="true" applyProtection="false">
      <alignment horizontal="center" vertical="center" textRotation="0" wrapText="false" indent="0" shrinkToFit="false"/>
      <protection locked="true" hidden="false"/>
    </xf>
    <xf numFmtId="164" fontId="14" fillId="5" borderId="16" xfId="0" applyFont="true" applyBorder="true" applyAlignment="true" applyProtection="false">
      <alignment horizontal="center" vertical="center" textRotation="0" wrapText="false" indent="0" shrinkToFit="false"/>
      <protection locked="true" hidden="false"/>
    </xf>
    <xf numFmtId="164" fontId="14" fillId="5" borderId="21" xfId="0" applyFont="true" applyBorder="true" applyAlignment="true" applyProtection="false">
      <alignment horizontal="center" vertical="center" textRotation="0" wrapText="false" indent="0" shrinkToFit="false"/>
      <protection locked="true" hidden="false"/>
    </xf>
    <xf numFmtId="164" fontId="14" fillId="5" borderId="22" xfId="0" applyFont="true" applyBorder="true" applyAlignment="true" applyProtection="false">
      <alignment horizontal="center" vertical="center" textRotation="0" wrapText="false" indent="0" shrinkToFit="false"/>
      <protection locked="true" hidden="false"/>
    </xf>
    <xf numFmtId="164" fontId="14" fillId="5" borderId="15" xfId="0" applyFont="true" applyBorder="true" applyAlignment="true" applyProtection="false">
      <alignment horizontal="center" vertical="center"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4" fillId="5" borderId="19" xfId="0" applyFont="true" applyBorder="true" applyAlignment="true" applyProtection="false">
      <alignment horizontal="center" vertical="center" textRotation="0" wrapText="false" indent="0" shrinkToFit="false"/>
      <protection locked="true" hidden="false"/>
    </xf>
    <xf numFmtId="164" fontId="14" fillId="5" borderId="20" xfId="0" applyFont="true" applyBorder="true" applyAlignment="true" applyProtection="false">
      <alignment horizontal="center" vertical="center" textRotation="0" wrapText="false" indent="0" shrinkToFit="false"/>
      <protection locked="true" hidden="false"/>
    </xf>
    <xf numFmtId="164" fontId="14" fillId="5" borderId="26" xfId="0" applyFont="true" applyBorder="true" applyAlignment="true" applyProtection="false">
      <alignment horizontal="center" vertical="center" textRotation="0" wrapText="false" indent="0" shrinkToFit="false"/>
      <protection locked="true" hidden="false"/>
    </xf>
    <xf numFmtId="164" fontId="14" fillId="5" borderId="27" xfId="0" applyFont="true" applyBorder="true" applyAlignment="true" applyProtection="false">
      <alignment horizontal="center" vertical="center" textRotation="0" wrapText="false" indent="0" shrinkToFit="false"/>
      <protection locked="true" hidden="false"/>
    </xf>
    <xf numFmtId="164" fontId="14" fillId="5" borderId="13" xfId="0" applyFont="true" applyBorder="true" applyAlignment="true" applyProtection="false">
      <alignment horizontal="center" vertical="center" textRotation="0" wrapText="false" indent="0" shrinkToFit="false"/>
      <protection locked="true" hidden="false"/>
    </xf>
    <xf numFmtId="164" fontId="14" fillId="5" borderId="14" xfId="0" applyFont="true" applyBorder="true" applyAlignment="true" applyProtection="false">
      <alignment horizontal="center" vertical="center" textRotation="0" wrapText="false" indent="0" shrinkToFit="false"/>
      <protection locked="true" hidden="false"/>
    </xf>
    <xf numFmtId="164" fontId="14" fillId="6" borderId="4" xfId="0" applyFont="true" applyBorder="true" applyAlignment="true" applyProtection="false">
      <alignment horizontal="center" vertical="center" textRotation="0" wrapText="false" indent="0" shrinkToFit="false"/>
      <protection locked="true" hidden="false"/>
    </xf>
    <xf numFmtId="164" fontId="14" fillId="6" borderId="16" xfId="0" applyFont="true" applyBorder="true" applyAlignment="true" applyProtection="false">
      <alignment horizontal="center" vertical="center" textRotation="0" wrapText="true" indent="0" shrinkToFit="false"/>
      <protection locked="true" hidden="false"/>
    </xf>
    <xf numFmtId="165" fontId="10" fillId="0" borderId="18" xfId="0" applyFont="true" applyBorder="true" applyAlignment="false" applyProtection="false">
      <alignment horizontal="general" vertical="bottom" textRotation="0" wrapText="false" indent="0" shrinkToFit="false"/>
      <protection locked="true" hidden="false"/>
    </xf>
    <xf numFmtId="164" fontId="14" fillId="6" borderId="13" xfId="0" applyFont="true" applyBorder="true" applyAlignment="true" applyProtection="false">
      <alignment horizontal="center" vertical="center" textRotation="0" wrapText="false" indent="0" shrinkToFit="false"/>
      <protection locked="true" hidden="false"/>
    </xf>
    <xf numFmtId="164" fontId="14" fillId="6" borderId="14" xfId="0" applyFont="true" applyBorder="true" applyAlignment="true" applyProtection="false">
      <alignment horizontal="center" vertical="center" textRotation="0" wrapText="false" indent="0" shrinkToFit="false"/>
      <protection locked="true" hidden="false"/>
    </xf>
    <xf numFmtId="164" fontId="14" fillId="6" borderId="14" xfId="0" applyFont="true" applyBorder="true" applyAlignment="true" applyProtection="false">
      <alignment horizontal="center" vertical="center" textRotation="0" wrapText="true" indent="0" shrinkToFit="false"/>
      <protection locked="true" hidden="false"/>
    </xf>
    <xf numFmtId="164" fontId="14" fillId="6" borderId="15" xfId="0" applyFont="true" applyBorder="true" applyAlignment="true" applyProtection="false">
      <alignment horizontal="center" vertical="center" textRotation="0" wrapText="false" indent="0" shrinkToFit="false"/>
      <protection locked="true" hidden="false"/>
    </xf>
    <xf numFmtId="164" fontId="14" fillId="6" borderId="1" xfId="0" applyFont="true" applyBorder="true" applyAlignment="true" applyProtection="false">
      <alignment horizontal="center" vertical="center" textRotation="0" wrapText="fals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14" fillId="6" borderId="19" xfId="0" applyFont="true" applyBorder="true" applyAlignment="true" applyProtection="false">
      <alignment horizontal="center" vertical="center" textRotation="0" wrapText="false" indent="0" shrinkToFit="false"/>
      <protection locked="true" hidden="false"/>
    </xf>
    <xf numFmtId="164" fontId="14" fillId="6" borderId="20" xfId="0" applyFont="true" applyBorder="true" applyAlignment="true" applyProtection="false">
      <alignment horizontal="center" vertical="center" textRotation="0" wrapText="false" indent="0" shrinkToFit="false"/>
      <protection locked="true" hidden="false"/>
    </xf>
    <xf numFmtId="164" fontId="14" fillId="6" borderId="20" xfId="0" applyFont="true" applyBorder="true" applyAlignment="true" applyProtection="false">
      <alignment horizontal="center" vertical="center" textRotation="0" wrapText="true" indent="0" shrinkToFit="false"/>
      <protection locked="true" hidden="false"/>
    </xf>
    <xf numFmtId="164" fontId="14" fillId="6" borderId="21" xfId="0" applyFont="true" applyBorder="true" applyAlignment="true" applyProtection="false">
      <alignment horizontal="center" vertical="center" textRotation="0" wrapText="false" indent="0" shrinkToFit="false"/>
      <protection locked="true" hidden="false"/>
    </xf>
    <xf numFmtId="164" fontId="14" fillId="6" borderId="22" xfId="0" applyFont="true" applyBorder="true" applyAlignment="true" applyProtection="false">
      <alignment horizontal="center" vertical="center" textRotation="0" wrapText="false" indent="0" shrinkToFit="false"/>
      <protection locked="true" hidden="false"/>
    </xf>
    <xf numFmtId="164" fontId="14" fillId="6" borderId="22" xfId="0" applyFont="true" applyBorder="true" applyAlignment="true" applyProtection="false">
      <alignment horizontal="center" vertical="center" textRotation="0" wrapText="true" indent="0" shrinkToFit="false"/>
      <protection locked="true" hidden="false"/>
    </xf>
    <xf numFmtId="164" fontId="14" fillId="6" borderId="16" xfId="0" applyFont="true" applyBorder="true" applyAlignment="true" applyProtection="false">
      <alignment horizontal="center" vertical="center" textRotation="0" wrapText="false" indent="0" shrinkToFit="false"/>
      <protection locked="true" hidden="false"/>
    </xf>
    <xf numFmtId="164" fontId="14" fillId="6" borderId="26" xfId="0" applyFont="true" applyBorder="true" applyAlignment="true" applyProtection="false">
      <alignment horizontal="center" vertical="center" textRotation="0" wrapText="false" indent="0" shrinkToFit="false"/>
      <protection locked="true" hidden="false"/>
    </xf>
    <xf numFmtId="164" fontId="14" fillId="6" borderId="27" xfId="0" applyFont="true" applyBorder="true" applyAlignment="true" applyProtection="false">
      <alignment horizontal="center" vertical="center" textRotation="0" wrapText="false" indent="0" shrinkToFit="false"/>
      <protection locked="true" hidden="false"/>
    </xf>
    <xf numFmtId="164" fontId="14" fillId="6" borderId="27" xfId="0" applyFont="true" applyBorder="true" applyAlignment="true" applyProtection="false">
      <alignment horizontal="center" vertical="center" textRotation="0" wrapText="true" indent="0" shrinkToFit="false"/>
      <protection locked="true" hidden="false"/>
    </xf>
    <xf numFmtId="167" fontId="10" fillId="0" borderId="24" xfId="0" applyFont="true" applyBorder="true" applyAlignment="true" applyProtection="false">
      <alignment horizontal="center" vertical="center" textRotation="0" wrapText="false" indent="0" shrinkToFit="false"/>
      <protection locked="true" hidden="false"/>
    </xf>
    <xf numFmtId="164" fontId="14" fillId="7" borderId="13" xfId="0" applyFont="true" applyBorder="true" applyAlignment="true" applyProtection="false">
      <alignment horizontal="center" vertical="center" textRotation="0" wrapText="false" indent="0" shrinkToFit="false"/>
      <protection locked="true" hidden="false"/>
    </xf>
    <xf numFmtId="164" fontId="14" fillId="7" borderId="14" xfId="0" applyFont="true" applyBorder="true" applyAlignment="true" applyProtection="false">
      <alignment horizontal="center" vertical="center" textRotation="0" wrapText="false" indent="0" shrinkToFit="false"/>
      <protection locked="true" hidden="false"/>
    </xf>
    <xf numFmtId="164" fontId="14" fillId="7" borderId="15" xfId="0" applyFont="true" applyBorder="true" applyAlignment="true" applyProtection="false">
      <alignment horizontal="center" vertical="center" textRotation="0" wrapText="false" indent="0" shrinkToFit="false"/>
      <protection locked="true" hidden="false"/>
    </xf>
    <xf numFmtId="164" fontId="14" fillId="7" borderId="1" xfId="0" applyFont="true" applyBorder="true" applyAlignment="true" applyProtection="false">
      <alignment horizontal="center" vertical="center" textRotation="0" wrapText="false" indent="0" shrinkToFit="false"/>
      <protection locked="true" hidden="false"/>
    </xf>
    <xf numFmtId="164" fontId="14" fillId="7" borderId="19" xfId="0" applyFont="true" applyBorder="true" applyAlignment="true" applyProtection="false">
      <alignment horizontal="center" vertical="center" textRotation="0" wrapText="false" indent="0" shrinkToFit="false"/>
      <protection locked="true" hidden="false"/>
    </xf>
    <xf numFmtId="164" fontId="14" fillId="7" borderId="20" xfId="0" applyFont="true" applyBorder="true" applyAlignment="true" applyProtection="false">
      <alignment horizontal="center" vertical="center" textRotation="0" wrapText="false" indent="0" shrinkToFit="false"/>
      <protection locked="true" hidden="false"/>
    </xf>
    <xf numFmtId="164" fontId="14" fillId="7" borderId="4" xfId="0" applyFont="true" applyBorder="true" applyAlignment="true" applyProtection="false">
      <alignment horizontal="center" vertical="center" textRotation="0" wrapText="false" indent="0" shrinkToFit="false"/>
      <protection locked="true" hidden="false"/>
    </xf>
    <xf numFmtId="164" fontId="14" fillId="7" borderId="16" xfId="0" applyFont="true" applyBorder="true" applyAlignment="true" applyProtection="false">
      <alignment horizontal="center" vertical="center" textRotation="0" wrapText="false" indent="0" shrinkToFit="false"/>
      <protection locked="true" hidden="false"/>
    </xf>
    <xf numFmtId="164" fontId="14" fillId="7" borderId="26" xfId="0" applyFont="true" applyBorder="true" applyAlignment="true" applyProtection="false">
      <alignment horizontal="center" vertical="center" textRotation="0" wrapText="false" indent="0" shrinkToFit="false"/>
      <protection locked="true" hidden="false"/>
    </xf>
    <xf numFmtId="164" fontId="14" fillId="7" borderId="27" xfId="0" applyFont="true" applyBorder="true" applyAlignment="true" applyProtection="false">
      <alignment horizontal="center" vertical="center" textRotation="0" wrapText="false" indent="0" shrinkToFit="false"/>
      <protection locked="true" hidden="false"/>
    </xf>
    <xf numFmtId="164" fontId="33" fillId="0" borderId="12" xfId="0" applyFont="true" applyBorder="true" applyAlignment="true" applyProtection="false">
      <alignment horizontal="left" vertical="bottom" textRotation="0" wrapText="false" indent="0" shrinkToFit="false"/>
      <protection locked="true" hidden="false"/>
    </xf>
    <xf numFmtId="164" fontId="34" fillId="0" borderId="29" xfId="0" applyFont="true" applyBorder="true" applyAlignment="true" applyProtection="false">
      <alignment horizontal="center" vertical="center" textRotation="0" wrapText="true" indent="0" shrinkToFit="false"/>
      <protection locked="true" hidden="false"/>
    </xf>
    <xf numFmtId="164" fontId="34" fillId="0" borderId="30" xfId="0" applyFont="true" applyBorder="true" applyAlignment="true" applyProtection="false">
      <alignment horizontal="center" vertical="center" textRotation="0" wrapText="true" indent="0" shrinkToFit="false"/>
      <protection locked="true" hidden="false"/>
    </xf>
    <xf numFmtId="164" fontId="34" fillId="0" borderId="31" xfId="0" applyFont="true" applyBorder="true" applyAlignment="true" applyProtection="false">
      <alignment horizontal="center" vertical="center" textRotation="0" wrapText="true" indent="0" shrinkToFit="false"/>
      <protection locked="true" hidden="false"/>
    </xf>
    <xf numFmtId="164" fontId="34" fillId="0" borderId="32" xfId="0" applyFont="true" applyBorder="true" applyAlignment="true" applyProtection="false">
      <alignment horizontal="center" vertical="center" textRotation="0" wrapText="true" indent="0" shrinkToFit="false"/>
      <protection locked="true" hidden="false"/>
    </xf>
    <xf numFmtId="164" fontId="34" fillId="0" borderId="33" xfId="0" applyFont="true" applyBorder="true" applyAlignment="true" applyProtection="false">
      <alignment horizontal="general" vertical="center" textRotation="0" wrapText="true" indent="0" shrinkToFit="false"/>
      <protection locked="true" hidden="false"/>
    </xf>
    <xf numFmtId="164" fontId="34" fillId="0" borderId="34" xfId="0" applyFont="true" applyBorder="true" applyAlignment="true" applyProtection="false">
      <alignment horizontal="general" vertical="center" textRotation="0" wrapText="true" indent="0" shrinkToFit="false"/>
      <protection locked="true" hidden="false"/>
    </xf>
    <xf numFmtId="164" fontId="25" fillId="0" borderId="35" xfId="0" applyFont="true" applyBorder="true" applyAlignment="true" applyProtection="false">
      <alignment horizontal="center" vertical="center" textRotation="0" wrapText="true" indent="0" shrinkToFit="false"/>
      <protection locked="true" hidden="false"/>
    </xf>
    <xf numFmtId="164" fontId="25" fillId="0" borderId="11"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35" fillId="11" borderId="36" xfId="0" applyFont="true" applyBorder="true" applyAlignment="true" applyProtection="false">
      <alignment horizontal="center" vertical="center" textRotation="90" wrapText="true" indent="0" shrinkToFit="false"/>
      <protection locked="true" hidden="false"/>
    </xf>
    <xf numFmtId="164" fontId="36" fillId="12" borderId="11" xfId="0" applyFont="true" applyBorder="true" applyAlignment="true" applyProtection="false">
      <alignment horizontal="center" vertical="center" textRotation="0" wrapText="true" indent="0" shrinkToFit="false"/>
      <protection locked="true" hidden="false"/>
    </xf>
    <xf numFmtId="164" fontId="37" fillId="12" borderId="11" xfId="0" applyFont="true" applyBorder="true" applyAlignment="true" applyProtection="false">
      <alignment horizontal="left" vertical="center" textRotation="0" wrapText="true" indent="0" shrinkToFit="false"/>
      <protection locked="true" hidden="false"/>
    </xf>
    <xf numFmtId="164" fontId="37" fillId="0" borderId="11" xfId="0" applyFont="true" applyBorder="true" applyAlignment="true" applyProtection="false">
      <alignment horizontal="center" vertical="center" textRotation="0" wrapText="true" indent="0" shrinkToFit="false"/>
      <protection locked="true" hidden="false"/>
    </xf>
    <xf numFmtId="168" fontId="38" fillId="0" borderId="11" xfId="0" applyFont="true" applyBorder="true" applyAlignment="true" applyProtection="false">
      <alignment horizontal="center" vertical="center" textRotation="0" wrapText="true" indent="0" shrinkToFit="false"/>
      <protection locked="true" hidden="false"/>
    </xf>
    <xf numFmtId="164" fontId="39" fillId="0" borderId="11" xfId="0" applyFont="true" applyBorder="true" applyAlignment="true" applyProtection="false">
      <alignment horizontal="left" vertical="center" textRotation="0" wrapText="true" indent="0" shrinkToFit="false"/>
      <protection locked="true" hidden="false"/>
    </xf>
    <xf numFmtId="170" fontId="32" fillId="0" borderId="11" xfId="0" applyFont="true" applyBorder="true" applyAlignment="true" applyProtection="false">
      <alignment horizontal="center" vertical="center" textRotation="0" wrapText="true" indent="0" shrinkToFit="false"/>
      <protection locked="true" hidden="false"/>
    </xf>
    <xf numFmtId="171" fontId="32" fillId="0" borderId="11" xfId="0" applyFont="true" applyBorder="true" applyAlignment="true" applyProtection="false">
      <alignment horizontal="left" vertical="center" textRotation="0" wrapText="true" indent="0" shrinkToFit="false"/>
      <protection locked="true" hidden="false"/>
    </xf>
    <xf numFmtId="164" fontId="0" fillId="13" borderId="37"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39" fillId="0" borderId="38" xfId="0" applyFont="true" applyBorder="true" applyAlignment="true" applyProtection="false">
      <alignment horizontal="left" vertical="center" textRotation="0" wrapText="true" indent="0" shrinkToFit="false"/>
      <protection locked="true" hidden="false"/>
    </xf>
    <xf numFmtId="170" fontId="32" fillId="0" borderId="38" xfId="0" applyFont="true" applyBorder="true" applyAlignment="true" applyProtection="false">
      <alignment horizontal="center" vertical="center" textRotation="0" wrapText="true" indent="0" shrinkToFit="false"/>
      <protection locked="true" hidden="false"/>
    </xf>
    <xf numFmtId="171" fontId="32" fillId="0" borderId="38" xfId="0" applyFont="true" applyBorder="true" applyAlignment="true" applyProtection="false">
      <alignment horizontal="left" vertical="center" textRotation="0" wrapText="true" indent="0" shrinkToFit="false"/>
      <protection locked="true" hidden="false"/>
    </xf>
    <xf numFmtId="164" fontId="32" fillId="0" borderId="11" xfId="0" applyFont="true" applyBorder="true" applyAlignment="true" applyProtection="false">
      <alignment horizontal="left" vertical="center"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37" fillId="12" borderId="11" xfId="0" applyFont="true" applyBorder="true" applyAlignment="true" applyProtection="false">
      <alignment horizontal="center" vertical="center" textRotation="0" wrapText="true" indent="0" shrinkToFit="false"/>
      <protection locked="true" hidden="false"/>
    </xf>
    <xf numFmtId="164" fontId="37" fillId="12" borderId="38" xfId="0" applyFont="true" applyBorder="true" applyAlignment="true" applyProtection="false">
      <alignment horizontal="left" vertical="center" textRotation="0" wrapText="true" indent="0" shrinkToFit="false"/>
      <protection locked="true" hidden="false"/>
    </xf>
    <xf numFmtId="164" fontId="37" fillId="12" borderId="35" xfId="0" applyFont="true" applyBorder="true" applyAlignment="true" applyProtection="false">
      <alignment horizontal="left" vertical="center" textRotation="0" wrapText="true" indent="0" shrinkToFit="false"/>
      <protection locked="true" hidden="false"/>
    </xf>
    <xf numFmtId="164" fontId="36" fillId="12" borderId="38" xfId="0" applyFont="true" applyBorder="true" applyAlignment="true" applyProtection="false">
      <alignment horizontal="center" vertical="center" textRotation="0" wrapText="true" indent="0" shrinkToFit="false"/>
      <protection locked="true" hidden="false"/>
    </xf>
    <xf numFmtId="164" fontId="35" fillId="14" borderId="39" xfId="0" applyFont="true" applyBorder="true" applyAlignment="true" applyProtection="false">
      <alignment horizontal="center" vertical="center" textRotation="90" wrapText="true" indent="0" shrinkToFit="false"/>
      <protection locked="true" hidden="false"/>
    </xf>
    <xf numFmtId="164" fontId="36" fillId="15" borderId="11" xfId="0" applyFont="true" applyBorder="true" applyAlignment="true" applyProtection="false">
      <alignment horizontal="center" vertical="center" textRotation="0" wrapText="true" indent="0" shrinkToFit="false"/>
      <protection locked="true" hidden="false"/>
    </xf>
    <xf numFmtId="164" fontId="37" fillId="15" borderId="11" xfId="0" applyFont="true" applyBorder="true" applyAlignment="true" applyProtection="false">
      <alignment horizontal="left" vertical="center" textRotation="0" wrapText="true" indent="0" shrinkToFit="false"/>
      <protection locked="true" hidden="false"/>
    </xf>
    <xf numFmtId="164" fontId="37" fillId="15" borderId="11" xfId="0" applyFont="true" applyBorder="true" applyAlignment="true" applyProtection="false">
      <alignment horizontal="general" vertical="center" textRotation="0" wrapText="true" indent="0" shrinkToFit="false"/>
      <protection locked="true" hidden="false"/>
    </xf>
    <xf numFmtId="164" fontId="37" fillId="15" borderId="35" xfId="0" applyFont="true" applyBorder="true" applyAlignment="true" applyProtection="false">
      <alignment horizontal="general" vertical="center" textRotation="0" wrapText="true" indent="0" shrinkToFit="false"/>
      <protection locked="true" hidden="false"/>
    </xf>
    <xf numFmtId="164" fontId="37" fillId="0" borderId="35" xfId="0" applyFont="true" applyBorder="true" applyAlignment="true" applyProtection="false">
      <alignment horizontal="center" vertical="center" textRotation="0" wrapText="true" indent="0" shrinkToFit="false"/>
      <protection locked="true" hidden="false"/>
    </xf>
    <xf numFmtId="164" fontId="35" fillId="16" borderId="40" xfId="0" applyFont="true" applyBorder="true" applyAlignment="true" applyProtection="false">
      <alignment horizontal="center" vertical="center" textRotation="90" wrapText="true" indent="0" shrinkToFit="false"/>
      <protection locked="true" hidden="false"/>
    </xf>
    <xf numFmtId="164" fontId="36" fillId="17" borderId="11" xfId="0" applyFont="true" applyBorder="true" applyAlignment="true" applyProtection="false">
      <alignment horizontal="center" vertical="center" textRotation="0" wrapText="true" indent="0" shrinkToFit="false"/>
      <protection locked="true" hidden="false"/>
    </xf>
    <xf numFmtId="164" fontId="37" fillId="17" borderId="11" xfId="0" applyFont="true" applyBorder="true" applyAlignment="true" applyProtection="false">
      <alignment horizontal="left" vertical="center" textRotation="0" wrapText="true" indent="0" shrinkToFit="false"/>
      <protection locked="true" hidden="false"/>
    </xf>
    <xf numFmtId="164" fontId="35" fillId="18" borderId="0" xfId="0" applyFont="true" applyBorder="true" applyAlignment="true" applyProtection="false">
      <alignment horizontal="center" vertical="center" textRotation="90" wrapText="true" indent="0" shrinkToFit="false"/>
      <protection locked="true" hidden="false"/>
    </xf>
    <xf numFmtId="164" fontId="36" fillId="19" borderId="11" xfId="0" applyFont="true" applyBorder="true" applyAlignment="true" applyProtection="false">
      <alignment horizontal="center" vertical="center" textRotation="0" wrapText="true" indent="0" shrinkToFit="false"/>
      <protection locked="true" hidden="false"/>
    </xf>
    <xf numFmtId="164" fontId="37" fillId="19" borderId="11" xfId="0" applyFont="true" applyBorder="true" applyAlignment="true" applyProtection="false">
      <alignment horizontal="left" vertical="center" textRotation="0" wrapText="true" indent="0" shrinkToFit="false"/>
      <protection locked="true" hidden="false"/>
    </xf>
    <xf numFmtId="164" fontId="35" fillId="20" borderId="0" xfId="0" applyFont="true" applyBorder="true" applyAlignment="true" applyProtection="false">
      <alignment horizontal="center" vertical="center" textRotation="90" wrapText="true" indent="0" shrinkToFit="false"/>
      <protection locked="true" hidden="false"/>
    </xf>
    <xf numFmtId="164" fontId="36" fillId="21" borderId="38" xfId="0" applyFont="true" applyBorder="true" applyAlignment="true" applyProtection="false">
      <alignment horizontal="center" vertical="center" textRotation="0" wrapText="true" indent="0" shrinkToFit="false"/>
      <protection locked="true" hidden="false"/>
    </xf>
    <xf numFmtId="164" fontId="37" fillId="21" borderId="11" xfId="0" applyFont="true" applyBorder="true" applyAlignment="true" applyProtection="false">
      <alignment horizontal="left" vertical="center" textRotation="0" wrapText="true" indent="0" shrinkToFit="false"/>
      <protection locked="true" hidden="false"/>
    </xf>
    <xf numFmtId="164" fontId="36" fillId="21" borderId="11" xfId="0" applyFont="true" applyBorder="true" applyAlignment="true" applyProtection="false">
      <alignment horizontal="center" vertical="center" textRotation="0" wrapText="tru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34" fillId="0" borderId="41" xfId="0" applyFont="true" applyBorder="true" applyAlignment="true" applyProtection="false">
      <alignment horizontal="general" vertical="center"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42" fillId="9" borderId="11" xfId="0" applyFont="true" applyBorder="true" applyAlignment="true" applyProtection="false">
      <alignment horizontal="center" vertical="center" textRotation="0" wrapText="false" indent="0" shrinkToFit="false"/>
      <protection locked="true" hidden="false"/>
    </xf>
    <xf numFmtId="164" fontId="42" fillId="9" borderId="38" xfId="0" applyFont="true" applyBorder="true" applyAlignment="true" applyProtection="false">
      <alignment horizontal="center" vertical="center" textRotation="90" wrapText="true" indent="0" shrinkToFit="false"/>
      <protection locked="true" hidden="false"/>
    </xf>
    <xf numFmtId="164" fontId="42" fillId="9" borderId="38" xfId="0" applyFont="true" applyBorder="true" applyAlignment="true" applyProtection="false">
      <alignment horizontal="center" vertical="center" textRotation="0" wrapText="true" indent="0" shrinkToFit="false"/>
      <protection locked="true" hidden="false"/>
    </xf>
    <xf numFmtId="164" fontId="0" fillId="0" borderId="42" xfId="0" applyFont="true" applyBorder="true" applyAlignment="true" applyProtection="false">
      <alignment horizontal="center" vertical="bottom" textRotation="0" wrapText="false" indent="0" shrinkToFit="false"/>
      <protection locked="true" hidden="false"/>
    </xf>
    <xf numFmtId="164" fontId="5" fillId="9" borderId="38" xfId="0" applyFont="true" applyBorder="true" applyAlignment="true" applyProtection="false">
      <alignment horizontal="center" vertical="center" textRotation="0" wrapText="false" indent="0" shrinkToFit="false"/>
      <protection locked="true" hidden="false"/>
    </xf>
    <xf numFmtId="164" fontId="43" fillId="11" borderId="29" xfId="0" applyFont="true" applyBorder="true" applyAlignment="true" applyProtection="false">
      <alignment horizontal="center" vertical="center" textRotation="0" wrapText="false" indent="0" shrinkToFit="false"/>
      <protection locked="true" hidden="false"/>
    </xf>
    <xf numFmtId="164" fontId="21" fillId="12" borderId="43" xfId="0" applyFont="true" applyBorder="true" applyAlignment="true" applyProtection="false">
      <alignment horizontal="center" vertical="center" textRotation="0" wrapText="false" indent="0" shrinkToFit="false"/>
      <protection locked="true" hidden="false"/>
    </xf>
    <xf numFmtId="164" fontId="21" fillId="12" borderId="44" xfId="0" applyFont="true" applyBorder="true" applyAlignment="true" applyProtection="false">
      <alignment horizontal="center" vertical="center" textRotation="0" wrapText="false" indent="0" shrinkToFit="false"/>
      <protection locked="true" hidden="false"/>
    </xf>
    <xf numFmtId="164" fontId="44" fillId="12" borderId="45" xfId="0" applyFont="true" applyBorder="true" applyAlignment="true" applyProtection="false">
      <alignment horizontal="general" vertical="center" textRotation="0" wrapText="true" indent="0" shrinkToFit="false"/>
      <protection locked="true" hidden="false"/>
    </xf>
    <xf numFmtId="164" fontId="45" fillId="0" borderId="31" xfId="0" applyFont="true" applyBorder="true" applyAlignment="true" applyProtection="false">
      <alignment horizontal="left" vertical="top" textRotation="0" wrapText="true" indent="0" shrinkToFit="false"/>
      <protection locked="true" hidden="false"/>
    </xf>
    <xf numFmtId="164" fontId="22" fillId="0" borderId="46" xfId="0" applyFont="true" applyBorder="true" applyAlignment="true" applyProtection="false">
      <alignment horizontal="left" vertical="center" textRotation="0" wrapText="true" indent="0" shrinkToFit="false"/>
      <protection locked="true" hidden="false"/>
    </xf>
    <xf numFmtId="164" fontId="22" fillId="0" borderId="30" xfId="0" applyFont="true" applyBorder="true" applyAlignment="true" applyProtection="false">
      <alignment horizontal="center" vertical="center" textRotation="0" wrapText="true" indent="0" shrinkToFit="false"/>
      <protection locked="true" hidden="false"/>
    </xf>
    <xf numFmtId="172" fontId="22" fillId="0" borderId="30" xfId="0" applyFont="true" applyBorder="true" applyAlignment="true" applyProtection="false">
      <alignment horizontal="center" vertical="center" textRotation="0" wrapText="true" indent="0" shrinkToFit="false"/>
      <protection locked="true" hidden="false"/>
    </xf>
    <xf numFmtId="172" fontId="0" fillId="0" borderId="30" xfId="0" applyFont="true" applyBorder="true" applyAlignment="true" applyProtection="false">
      <alignment horizontal="center" vertical="center" textRotation="0" wrapText="false" indent="0" shrinkToFit="false"/>
      <protection locked="true" hidden="false"/>
    </xf>
    <xf numFmtId="169" fontId="25" fillId="22" borderId="47" xfId="0" applyFont="true" applyBorder="true" applyAlignment="true" applyProtection="false">
      <alignment horizontal="center" vertical="center" textRotation="0" wrapText="false" indent="0" shrinkToFit="false"/>
      <protection locked="true" hidden="false"/>
    </xf>
    <xf numFmtId="164" fontId="0" fillId="0" borderId="48"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2" borderId="11" xfId="0" applyFont="true" applyBorder="true" applyAlignment="true" applyProtection="false">
      <alignment horizontal="center" vertical="center" textRotation="0" wrapText="true" indent="0" shrinkToFit="false"/>
      <protection locked="true" hidden="false"/>
    </xf>
    <xf numFmtId="164" fontId="0" fillId="22" borderId="11" xfId="0" applyFont="true" applyBorder="true" applyAlignment="true" applyProtection="false">
      <alignment horizontal="center" vertical="center" textRotation="0" wrapText="false" indent="0" shrinkToFit="false"/>
      <protection locked="true" hidden="false"/>
    </xf>
    <xf numFmtId="164" fontId="43" fillId="11" borderId="49" xfId="0" applyFont="true" applyBorder="true" applyAlignment="true" applyProtection="false">
      <alignment horizontal="center" vertical="center" textRotation="0" wrapText="false" indent="0" shrinkToFit="false"/>
      <protection locked="true" hidden="false"/>
    </xf>
    <xf numFmtId="164" fontId="21" fillId="12" borderId="50" xfId="0" applyFont="true" applyBorder="true" applyAlignment="true" applyProtection="false">
      <alignment horizontal="center" vertical="center" textRotation="0" wrapText="false" indent="0" shrinkToFit="false"/>
      <protection locked="true" hidden="false"/>
    </xf>
    <xf numFmtId="164" fontId="21" fillId="12" borderId="51" xfId="0" applyFont="true" applyBorder="true" applyAlignment="true" applyProtection="false">
      <alignment horizontal="center" vertical="center" textRotation="0" wrapText="false" indent="0" shrinkToFit="false"/>
      <protection locked="true" hidden="false"/>
    </xf>
    <xf numFmtId="164" fontId="44" fillId="12" borderId="52" xfId="0" applyFont="true" applyBorder="true" applyAlignment="true" applyProtection="false">
      <alignment horizontal="general" vertical="center" textRotation="0" wrapText="true" indent="0" shrinkToFit="false"/>
      <protection locked="true" hidden="false"/>
    </xf>
    <xf numFmtId="164" fontId="45" fillId="0" borderId="53" xfId="0" applyFont="true" applyBorder="true" applyAlignment="true" applyProtection="false">
      <alignment horizontal="left" vertical="top" textRotation="0" wrapText="true" indent="0" shrinkToFit="false"/>
      <protection locked="true" hidden="false"/>
    </xf>
    <xf numFmtId="164" fontId="22" fillId="0" borderId="49" xfId="0" applyFont="true" applyBorder="true" applyAlignment="true" applyProtection="false">
      <alignment horizontal="left" vertical="center" textRotation="0" wrapText="true" indent="0" shrinkToFit="false"/>
      <protection locked="true" hidden="false"/>
    </xf>
    <xf numFmtId="164" fontId="22" fillId="0" borderId="54" xfId="0" applyFont="true" applyBorder="true" applyAlignment="true" applyProtection="false">
      <alignment horizontal="center" vertical="center" textRotation="0" wrapText="true" indent="0" shrinkToFit="false"/>
      <protection locked="true" hidden="false"/>
    </xf>
    <xf numFmtId="172" fontId="22" fillId="0" borderId="54" xfId="0" applyFont="true" applyBorder="true" applyAlignment="true" applyProtection="false">
      <alignment horizontal="center" vertical="center" textRotation="0" wrapText="true" indent="0" shrinkToFit="false"/>
      <protection locked="true" hidden="false"/>
    </xf>
    <xf numFmtId="172" fontId="22" fillId="0" borderId="35" xfId="0" applyFont="true" applyBorder="true" applyAlignment="true" applyProtection="false">
      <alignment horizontal="center" vertical="center" textRotation="0" wrapText="true" indent="0" shrinkToFit="false"/>
      <protection locked="true" hidden="false"/>
    </xf>
    <xf numFmtId="172" fontId="0" fillId="0" borderId="54" xfId="0" applyFont="true" applyBorder="true" applyAlignment="true" applyProtection="false">
      <alignment horizontal="center" vertical="center"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72" fontId="0"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72" fontId="0" fillId="0" borderId="11" xfId="0" applyFont="true" applyBorder="true" applyAlignment="true" applyProtection="false">
      <alignment horizontal="center" vertical="center" textRotation="0" wrapText="true" indent="0" shrinkToFit="false"/>
      <protection locked="true" hidden="false"/>
    </xf>
    <xf numFmtId="169" fontId="25" fillId="22" borderId="55" xfId="0" applyFont="true" applyBorder="true" applyAlignment="true" applyProtection="false">
      <alignment horizontal="center" vertical="center" textRotation="0" wrapText="false" indent="0" shrinkToFit="false"/>
      <protection locked="true" hidden="false"/>
    </xf>
    <xf numFmtId="164" fontId="43" fillId="11" borderId="56" xfId="0" applyFont="true" applyBorder="true" applyAlignment="true" applyProtection="false">
      <alignment horizontal="center" vertical="center" textRotation="0" wrapText="false" indent="0" shrinkToFit="false"/>
      <protection locked="true" hidden="false"/>
    </xf>
    <xf numFmtId="164" fontId="21" fillId="12" borderId="38" xfId="0" applyFont="true" applyBorder="true" applyAlignment="true" applyProtection="false">
      <alignment horizontal="center" vertical="center" textRotation="0" wrapText="false" indent="0" shrinkToFit="false"/>
      <protection locked="true" hidden="false"/>
    </xf>
    <xf numFmtId="164" fontId="21" fillId="12" borderId="57" xfId="0" applyFont="true" applyBorder="true" applyAlignment="true" applyProtection="false">
      <alignment horizontal="center" vertical="center" textRotation="0" wrapText="false" indent="0" shrinkToFit="false"/>
      <protection locked="true" hidden="false"/>
    </xf>
    <xf numFmtId="164" fontId="44" fillId="12" borderId="39" xfId="0" applyFont="true" applyBorder="true" applyAlignment="true" applyProtection="false">
      <alignment horizontal="general" vertical="center" textRotation="0" wrapText="true" indent="0" shrinkToFit="false"/>
      <protection locked="true" hidden="false"/>
    </xf>
    <xf numFmtId="164" fontId="45" fillId="0" borderId="58" xfId="0" applyFont="true" applyBorder="true" applyAlignment="true" applyProtection="false">
      <alignment horizontal="left" vertical="top" textRotation="0" wrapText="true" indent="0" shrinkToFit="false"/>
      <protection locked="true" hidden="false"/>
    </xf>
    <xf numFmtId="164" fontId="22" fillId="0" borderId="59" xfId="0" applyFont="true" applyBorder="true" applyAlignment="true" applyProtection="false">
      <alignment horizontal="left" vertical="center" textRotation="0" wrapText="true" indent="0" shrinkToFit="false"/>
      <protection locked="true" hidden="false"/>
    </xf>
    <xf numFmtId="164" fontId="22" fillId="0" borderId="35" xfId="0" applyFont="true" applyBorder="true" applyAlignment="true" applyProtection="false">
      <alignment horizontal="center" vertical="center" textRotation="0" wrapText="true" indent="0" shrinkToFit="false"/>
      <protection locked="true" hidden="false"/>
    </xf>
    <xf numFmtId="172" fontId="0" fillId="0" borderId="35" xfId="0" applyFont="true" applyBorder="true" applyAlignment="true" applyProtection="false">
      <alignment horizontal="center" vertical="center" textRotation="0" wrapText="false" indent="0" shrinkToFit="false"/>
      <protection locked="true" hidden="false"/>
    </xf>
    <xf numFmtId="164" fontId="0" fillId="0" borderId="60" xfId="0" applyFont="true" applyBorder="true" applyAlignment="false" applyProtection="false">
      <alignment horizontal="general" vertical="bottom" textRotation="0" wrapText="false" indent="0" shrinkToFit="false"/>
      <protection locked="true" hidden="false"/>
    </xf>
    <xf numFmtId="164" fontId="43" fillId="11" borderId="61" xfId="0" applyFont="true" applyBorder="true" applyAlignment="true" applyProtection="false">
      <alignment horizontal="center" vertical="center" textRotation="0" wrapText="false" indent="0" shrinkToFit="false"/>
      <protection locked="true" hidden="false"/>
    </xf>
    <xf numFmtId="164" fontId="21" fillId="12" borderId="47" xfId="0" applyFont="true" applyBorder="true" applyAlignment="true" applyProtection="false">
      <alignment horizontal="center" vertical="center" textRotation="0" wrapText="false" indent="0" shrinkToFit="false"/>
      <protection locked="true" hidden="false"/>
    </xf>
    <xf numFmtId="164" fontId="21" fillId="12" borderId="62" xfId="0" applyFont="true" applyBorder="true" applyAlignment="true" applyProtection="false">
      <alignment horizontal="center" vertical="center" textRotation="0" wrapText="false" indent="0" shrinkToFit="false"/>
      <protection locked="true" hidden="false"/>
    </xf>
    <xf numFmtId="164" fontId="44" fillId="12" borderId="63" xfId="0" applyFont="true" applyBorder="true" applyAlignment="true" applyProtection="false">
      <alignment horizontal="general" vertical="center" textRotation="0" wrapText="true" indent="0" shrinkToFit="false"/>
      <protection locked="true" hidden="false"/>
    </xf>
    <xf numFmtId="164" fontId="45" fillId="0" borderId="55" xfId="0" applyFont="true" applyBorder="true" applyAlignment="true" applyProtection="false">
      <alignment horizontal="left" vertical="top" textRotation="0" wrapText="true" indent="0" shrinkToFit="false"/>
      <protection locked="true" hidden="false"/>
    </xf>
    <xf numFmtId="164" fontId="22" fillId="0" borderId="61" xfId="0" applyFont="true" applyBorder="true" applyAlignment="true" applyProtection="false">
      <alignment horizontal="left" vertical="center" textRotation="0" wrapText="true" indent="0" shrinkToFit="false"/>
      <protection locked="true" hidden="false"/>
    </xf>
    <xf numFmtId="164" fontId="22" fillId="0" borderId="47" xfId="0" applyFont="true" applyBorder="true" applyAlignment="true" applyProtection="false">
      <alignment horizontal="center" vertical="center" textRotation="0" wrapText="true" indent="0" shrinkToFit="false"/>
      <protection locked="true" hidden="false"/>
    </xf>
    <xf numFmtId="172" fontId="22" fillId="0" borderId="47" xfId="0" applyFont="true" applyBorder="true" applyAlignment="true" applyProtection="false">
      <alignment horizontal="center" vertical="center" textRotation="0" wrapText="true" indent="0" shrinkToFit="false"/>
      <protection locked="true" hidden="false"/>
    </xf>
    <xf numFmtId="172" fontId="0" fillId="0" borderId="47" xfId="0" applyFont="true" applyBorder="true" applyAlignment="true" applyProtection="false">
      <alignment horizontal="center" vertical="center" textRotation="0" wrapText="false" indent="0" shrinkToFit="false"/>
      <protection locked="true" hidden="false"/>
    </xf>
    <xf numFmtId="164" fontId="0" fillId="0" borderId="62" xfId="0" applyFont="true" applyBorder="true" applyAlignment="true" applyProtection="false">
      <alignment horizontal="general" vertical="bottom" textRotation="0" wrapText="tru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true" applyProtection="false">
      <alignment horizontal="general" vertical="bottom" textRotation="0" wrapText="true" indent="0" shrinkToFit="false"/>
      <protection locked="true" hidden="false"/>
    </xf>
    <xf numFmtId="164" fontId="43" fillId="11" borderId="64" xfId="0" applyFont="true" applyBorder="true" applyAlignment="true" applyProtection="false">
      <alignment horizontal="center" vertical="center" textRotation="0" wrapText="false" indent="0" shrinkToFit="false"/>
      <protection locked="true" hidden="false"/>
    </xf>
    <xf numFmtId="164" fontId="21" fillId="12" borderId="42" xfId="0" applyFont="true" applyBorder="true" applyAlignment="true" applyProtection="false">
      <alignment horizontal="center" vertical="center" textRotation="0" wrapText="false" indent="0" shrinkToFit="false"/>
      <protection locked="true" hidden="false"/>
    </xf>
    <xf numFmtId="164" fontId="44" fillId="12" borderId="43" xfId="0" applyFont="true" applyBorder="true" applyAlignment="true" applyProtection="false">
      <alignment horizontal="general" vertical="center" textRotation="0" wrapText="true" indent="0" shrinkToFit="false"/>
      <protection locked="true" hidden="false"/>
    </xf>
    <xf numFmtId="164" fontId="22" fillId="0" borderId="35" xfId="0" applyFont="true" applyBorder="true" applyAlignment="true" applyProtection="false">
      <alignment horizontal="left" vertical="center" textRotation="0" wrapText="tru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44" fillId="12" borderId="38" xfId="0" applyFont="true" applyBorder="true" applyAlignment="true" applyProtection="false">
      <alignment horizontal="general" vertical="center" textRotation="0" wrapText="true" indent="0" shrinkToFit="false"/>
      <protection locked="true" hidden="false"/>
    </xf>
    <xf numFmtId="164" fontId="44" fillId="12" borderId="50" xfId="0" applyFont="true" applyBorder="true" applyAlignment="true" applyProtection="false">
      <alignment horizontal="general" vertical="center" textRotation="0" wrapText="true" indent="0" shrinkToFit="false"/>
      <protection locked="true" hidden="false"/>
    </xf>
    <xf numFmtId="164" fontId="22" fillId="0" borderId="50" xfId="0" applyFont="true" applyBorder="true" applyAlignment="true" applyProtection="false">
      <alignment horizontal="left" vertical="center" textRotation="0" wrapText="true" indent="0" shrinkToFit="false"/>
      <protection locked="true" hidden="false"/>
    </xf>
    <xf numFmtId="164" fontId="22" fillId="0" borderId="30" xfId="0" applyFont="true" applyBorder="true" applyAlignment="true" applyProtection="false">
      <alignment horizontal="left" vertical="center" textRotation="0" wrapText="true" indent="0" shrinkToFit="false"/>
      <protection locked="true" hidden="false"/>
    </xf>
    <xf numFmtId="164" fontId="44" fillId="12" borderId="47" xfId="0" applyFont="true" applyBorder="true" applyAlignment="true" applyProtection="false">
      <alignment horizontal="general" vertical="center" textRotation="0" wrapText="true" indent="0" shrinkToFit="false"/>
      <protection locked="true" hidden="false"/>
    </xf>
    <xf numFmtId="164" fontId="0" fillId="0" borderId="65" xfId="0" applyFont="true" applyBorder="true" applyAlignment="false" applyProtection="false">
      <alignment horizontal="general" vertical="bottom" textRotation="0" wrapText="false" indent="0" shrinkToFit="false"/>
      <protection locked="true" hidden="false"/>
    </xf>
    <xf numFmtId="164" fontId="22" fillId="0" borderId="47" xfId="0" applyFont="true" applyBorder="true" applyAlignment="true" applyProtection="false">
      <alignment horizontal="left" vertical="center" textRotation="0" wrapText="true" indent="0" shrinkToFit="false"/>
      <protection locked="true" hidden="false"/>
    </xf>
    <xf numFmtId="164" fontId="45" fillId="0" borderId="66" xfId="0" applyFont="true" applyBorder="true" applyAlignment="true" applyProtection="false">
      <alignment horizontal="left" vertical="top" textRotation="0" wrapText="true" indent="0" shrinkToFit="false"/>
      <protection locked="true" hidden="false"/>
    </xf>
    <xf numFmtId="164" fontId="22" fillId="8" borderId="50" xfId="0" applyFont="true" applyBorder="true" applyAlignment="true" applyProtection="false">
      <alignment horizontal="left" vertical="center" textRotation="0" wrapText="true" indent="0" shrinkToFit="false"/>
      <protection locked="true" hidden="false"/>
    </xf>
    <xf numFmtId="164" fontId="45" fillId="0" borderId="55" xfId="0" applyFont="true" applyBorder="true" applyAlignment="true" applyProtection="false">
      <alignment horizontal="general" vertical="top" textRotation="0" wrapText="true" indent="0" shrinkToFit="false"/>
      <protection locked="true" hidden="false"/>
    </xf>
    <xf numFmtId="164" fontId="45" fillId="0" borderId="31" xfId="0" applyFont="true" applyBorder="true" applyAlignment="true" applyProtection="false">
      <alignment horizontal="general" vertical="top" textRotation="0" wrapText="true" indent="0" shrinkToFit="false"/>
      <protection locked="true" hidden="false"/>
    </xf>
    <xf numFmtId="164" fontId="45" fillId="0" borderId="58" xfId="0" applyFont="true" applyBorder="true" applyAlignment="true" applyProtection="false">
      <alignment horizontal="general" vertical="top" textRotation="0" wrapText="true" indent="0" shrinkToFit="false"/>
      <protection locked="true" hidden="false"/>
    </xf>
    <xf numFmtId="164" fontId="45" fillId="0" borderId="53" xfId="0" applyFont="true" applyBorder="true" applyAlignment="true" applyProtection="false">
      <alignment horizontal="general" vertical="top" textRotation="0" wrapText="true" indent="0" shrinkToFit="false"/>
      <protection locked="true" hidden="false"/>
    </xf>
    <xf numFmtId="164" fontId="22" fillId="0" borderId="43" xfId="0" applyFont="true" applyBorder="true" applyAlignment="true" applyProtection="false">
      <alignment horizontal="left" vertical="center" textRotation="0" wrapText="true" indent="0" shrinkToFit="false"/>
      <protection locked="true" hidden="false"/>
    </xf>
    <xf numFmtId="164" fontId="43" fillId="14" borderId="29" xfId="0" applyFont="true" applyBorder="true" applyAlignment="true" applyProtection="false">
      <alignment horizontal="center" vertical="center" textRotation="0" wrapText="false" indent="0" shrinkToFit="false"/>
      <protection locked="true" hidden="false"/>
    </xf>
    <xf numFmtId="164" fontId="21" fillId="15" borderId="43" xfId="0" applyFont="true" applyBorder="true" applyAlignment="true" applyProtection="false">
      <alignment horizontal="center" vertical="center" textRotation="0" wrapText="false" indent="0" shrinkToFit="false"/>
      <protection locked="true" hidden="false"/>
    </xf>
    <xf numFmtId="164" fontId="44" fillId="15" borderId="43" xfId="0" applyFont="true" applyBorder="true" applyAlignment="true" applyProtection="false">
      <alignment horizontal="general" vertical="center" textRotation="0" wrapText="true" indent="0" shrinkToFit="false"/>
      <protection locked="true" hidden="false"/>
    </xf>
    <xf numFmtId="164" fontId="43" fillId="14" borderId="49" xfId="0" applyFont="true" applyBorder="true" applyAlignment="true" applyProtection="false">
      <alignment horizontal="center" vertical="center" textRotation="0" wrapText="false" indent="0" shrinkToFit="false"/>
      <protection locked="true" hidden="false"/>
    </xf>
    <xf numFmtId="164" fontId="21" fillId="15" borderId="50" xfId="0" applyFont="true" applyBorder="true" applyAlignment="true" applyProtection="false">
      <alignment horizontal="center" vertical="center" textRotation="0" wrapText="false" indent="0" shrinkToFit="false"/>
      <protection locked="true" hidden="false"/>
    </xf>
    <xf numFmtId="164" fontId="44" fillId="15" borderId="50" xfId="0" applyFont="true" applyBorder="true" applyAlignment="true" applyProtection="false">
      <alignment horizontal="general" vertical="center" textRotation="0" wrapText="true" indent="0" shrinkToFit="false"/>
      <protection locked="true" hidden="false"/>
    </xf>
    <xf numFmtId="169" fontId="25" fillId="0" borderId="67" xfId="0" applyFont="true" applyBorder="true" applyAlignment="true" applyProtection="false">
      <alignment horizontal="center" vertical="center" textRotation="0" wrapText="false" indent="0" shrinkToFit="false"/>
      <protection locked="true" hidden="false"/>
    </xf>
    <xf numFmtId="164" fontId="43" fillId="14" borderId="56" xfId="0" applyFont="true" applyBorder="true" applyAlignment="true" applyProtection="false">
      <alignment horizontal="center" vertical="center" textRotation="0" wrapText="false" indent="0" shrinkToFit="false"/>
      <protection locked="true" hidden="false"/>
    </xf>
    <xf numFmtId="164" fontId="21" fillId="15" borderId="38" xfId="0" applyFont="true" applyBorder="true" applyAlignment="true" applyProtection="false">
      <alignment horizontal="center" vertical="center" textRotation="0" wrapText="false" indent="0" shrinkToFit="false"/>
      <protection locked="true" hidden="false"/>
    </xf>
    <xf numFmtId="164" fontId="44" fillId="15" borderId="38" xfId="0" applyFont="true" applyBorder="true" applyAlignment="true" applyProtection="false">
      <alignment horizontal="general" vertical="center" textRotation="0" wrapText="true" indent="0" shrinkToFit="false"/>
      <protection locked="true" hidden="false"/>
    </xf>
    <xf numFmtId="164" fontId="45" fillId="0" borderId="68" xfId="0" applyFont="true" applyBorder="true" applyAlignment="true" applyProtection="false">
      <alignment horizontal="general" vertical="top" textRotation="0" wrapText="true" indent="0" shrinkToFit="false"/>
      <protection locked="true" hidden="false"/>
    </xf>
    <xf numFmtId="164" fontId="22" fillId="0" borderId="38" xfId="0" applyFont="true" applyBorder="true" applyAlignment="true" applyProtection="false">
      <alignment horizontal="left" vertical="center" textRotation="0" wrapText="true" indent="0" shrinkToFit="false"/>
      <protection locked="true" hidden="false"/>
    </xf>
    <xf numFmtId="164" fontId="22" fillId="0" borderId="50" xfId="0" applyFont="true" applyBorder="true" applyAlignment="true" applyProtection="false">
      <alignment horizontal="center" vertical="center" textRotation="0" wrapText="true" indent="0" shrinkToFit="false"/>
      <protection locked="true" hidden="false"/>
    </xf>
    <xf numFmtId="172" fontId="22" fillId="0" borderId="42" xfId="0" applyFont="true" applyBorder="true" applyAlignment="true" applyProtection="false">
      <alignment horizontal="center" vertical="center" textRotation="0" wrapText="true" indent="0" shrinkToFit="false"/>
      <protection locked="true" hidden="false"/>
    </xf>
    <xf numFmtId="172" fontId="0" fillId="0" borderId="42" xfId="0" applyFont="true" applyBorder="true" applyAlignment="true" applyProtection="false">
      <alignment horizontal="center" vertical="center" textRotation="0" wrapText="false" indent="0" shrinkToFit="false"/>
      <protection locked="true" hidden="false"/>
    </xf>
    <xf numFmtId="164" fontId="43" fillId="14" borderId="61" xfId="0" applyFont="true" applyBorder="true" applyAlignment="true" applyProtection="false">
      <alignment horizontal="center" vertical="center" textRotation="0" wrapText="false" indent="0" shrinkToFit="false"/>
      <protection locked="true" hidden="false"/>
    </xf>
    <xf numFmtId="164" fontId="21" fillId="15" borderId="47" xfId="0" applyFont="true" applyBorder="true" applyAlignment="true" applyProtection="false">
      <alignment horizontal="center" vertical="center" textRotation="0" wrapText="false" indent="0" shrinkToFit="false"/>
      <protection locked="true" hidden="false"/>
    </xf>
    <xf numFmtId="164" fontId="44" fillId="15" borderId="47" xfId="0" applyFont="true" applyBorder="true" applyAlignment="true" applyProtection="false">
      <alignment horizontal="general" vertical="center" textRotation="0" wrapText="true" indent="0" shrinkToFit="false"/>
      <protection locked="true" hidden="false"/>
    </xf>
    <xf numFmtId="169" fontId="25" fillId="22" borderId="62" xfId="0" applyFont="true" applyBorder="true" applyAlignment="true" applyProtection="false">
      <alignment horizontal="center" vertical="center"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9" fontId="25" fillId="0" borderId="55" xfId="0" applyFont="true" applyBorder="true" applyAlignment="true" applyProtection="false">
      <alignment horizontal="center" vertical="center" textRotation="0" wrapText="false" indent="0" shrinkToFit="false"/>
      <protection locked="true" hidden="false"/>
    </xf>
    <xf numFmtId="169" fontId="25" fillId="22" borderId="67" xfId="0" applyFont="true" applyBorder="true" applyAlignment="true" applyProtection="false">
      <alignment horizontal="center" vertical="center" textRotation="0" wrapText="false" indent="0" shrinkToFit="false"/>
      <protection locked="true" hidden="false"/>
    </xf>
    <xf numFmtId="164" fontId="45" fillId="0" borderId="68" xfId="0" applyFont="true" applyBorder="true" applyAlignment="true" applyProtection="false">
      <alignment horizontal="left" vertical="top" textRotation="0" wrapText="true" indent="0" shrinkToFit="false"/>
      <protection locked="true" hidden="false"/>
    </xf>
    <xf numFmtId="169" fontId="25" fillId="0" borderId="62" xfId="0" applyFont="true" applyBorder="true" applyAlignment="true" applyProtection="false">
      <alignment horizontal="center" vertical="center" textRotation="0" wrapText="false" indent="0" shrinkToFit="false"/>
      <protection locked="true" hidden="false"/>
    </xf>
    <xf numFmtId="164" fontId="45" fillId="0" borderId="67" xfId="0" applyFont="true" applyBorder="true" applyAlignment="true" applyProtection="false">
      <alignment horizontal="left" vertical="top" textRotation="0" wrapText="true" indent="0" shrinkToFit="false"/>
      <protection locked="true" hidden="false"/>
    </xf>
    <xf numFmtId="164" fontId="22" fillId="0" borderId="55" xfId="0" applyFont="true" applyBorder="true" applyAlignment="true" applyProtection="false">
      <alignment horizontal="left" vertical="center" textRotation="0" wrapText="true" indent="0" shrinkToFit="false"/>
      <protection locked="true" hidden="false"/>
    </xf>
    <xf numFmtId="164" fontId="43" fillId="14" borderId="69" xfId="0" applyFont="true" applyBorder="true" applyAlignment="true" applyProtection="false">
      <alignment horizontal="center" vertical="center" textRotation="0" wrapText="false" indent="0" shrinkToFit="false"/>
      <protection locked="true" hidden="false"/>
    </xf>
    <xf numFmtId="164" fontId="21" fillId="15" borderId="54" xfId="0" applyFont="true" applyBorder="true" applyAlignment="true" applyProtection="false">
      <alignment horizontal="center" vertical="center" textRotation="0" wrapText="false" indent="0" shrinkToFit="false"/>
      <protection locked="true" hidden="false"/>
    </xf>
    <xf numFmtId="164" fontId="44" fillId="15" borderId="54" xfId="0" applyFont="true" applyBorder="true" applyAlignment="true" applyProtection="false">
      <alignment horizontal="general" vertical="center" textRotation="0" wrapText="true" indent="0" shrinkToFit="false"/>
      <protection locked="true" hidden="false"/>
    </xf>
    <xf numFmtId="164" fontId="45" fillId="0" borderId="70" xfId="0" applyFont="true" applyBorder="true" applyAlignment="true" applyProtection="false">
      <alignment horizontal="general" vertical="top" textRotation="0" wrapText="true" indent="0" shrinkToFit="false"/>
      <protection locked="true" hidden="false"/>
    </xf>
    <xf numFmtId="164" fontId="22" fillId="0" borderId="54" xfId="0" applyFont="true" applyBorder="true" applyAlignment="true" applyProtection="false">
      <alignment horizontal="left" vertical="center" textRotation="0" wrapText="true" indent="0" shrinkToFit="false"/>
      <protection locked="true" hidden="false"/>
    </xf>
    <xf numFmtId="164" fontId="43" fillId="16" borderId="61" xfId="0" applyFont="true" applyBorder="true" applyAlignment="true" applyProtection="false">
      <alignment horizontal="center" vertical="center" textRotation="0" wrapText="false" indent="0" shrinkToFit="false"/>
      <protection locked="true" hidden="false"/>
    </xf>
    <xf numFmtId="164" fontId="21" fillId="17" borderId="47" xfId="0" applyFont="true" applyBorder="true" applyAlignment="true" applyProtection="false">
      <alignment horizontal="center" vertical="center" textRotation="0" wrapText="false" indent="0" shrinkToFit="false"/>
      <protection locked="true" hidden="false"/>
    </xf>
    <xf numFmtId="164" fontId="44" fillId="17" borderId="47" xfId="0" applyFont="true" applyBorder="true" applyAlignment="true" applyProtection="false">
      <alignment horizontal="general" vertical="center" textRotation="0" wrapText="true" indent="0" shrinkToFit="false"/>
      <protection locked="true" hidden="false"/>
    </xf>
    <xf numFmtId="164" fontId="43" fillId="16" borderId="46" xfId="0" applyFont="true" applyBorder="true" applyAlignment="true" applyProtection="false">
      <alignment horizontal="center" vertical="center" textRotation="0" wrapText="false" indent="0" shrinkToFit="false"/>
      <protection locked="true" hidden="false"/>
    </xf>
    <xf numFmtId="164" fontId="21" fillId="17" borderId="43" xfId="0" applyFont="true" applyBorder="true" applyAlignment="true" applyProtection="false">
      <alignment horizontal="center" vertical="center" textRotation="0" wrapText="false" indent="0" shrinkToFit="false"/>
      <protection locked="true" hidden="false"/>
    </xf>
    <xf numFmtId="164" fontId="44" fillId="17" borderId="43" xfId="0" applyFont="true" applyBorder="true" applyAlignment="true" applyProtection="false">
      <alignment horizontal="general" vertical="center" textRotation="0" wrapText="true" indent="0" shrinkToFit="false"/>
      <protection locked="true" hidden="false"/>
    </xf>
    <xf numFmtId="164" fontId="43" fillId="16" borderId="49" xfId="0" applyFont="true" applyBorder="true" applyAlignment="true" applyProtection="false">
      <alignment horizontal="center" vertical="center" textRotation="0" wrapText="false" indent="0" shrinkToFit="false"/>
      <protection locked="true" hidden="false"/>
    </xf>
    <xf numFmtId="164" fontId="21" fillId="17" borderId="50" xfId="0" applyFont="true" applyBorder="true" applyAlignment="true" applyProtection="false">
      <alignment horizontal="center" vertical="center" textRotation="0" wrapText="false" indent="0" shrinkToFit="false"/>
      <protection locked="true" hidden="false"/>
    </xf>
    <xf numFmtId="164" fontId="44" fillId="17" borderId="50" xfId="0" applyFont="true" applyBorder="true" applyAlignment="true" applyProtection="false">
      <alignment horizontal="general" vertical="center" textRotation="0" wrapText="true" indent="0" shrinkToFit="false"/>
      <protection locked="true" hidden="false"/>
    </xf>
    <xf numFmtId="164" fontId="43" fillId="18" borderId="61" xfId="0" applyFont="true" applyBorder="true" applyAlignment="true" applyProtection="false">
      <alignment horizontal="center" vertical="center" textRotation="0" wrapText="false" indent="0" shrinkToFit="false"/>
      <protection locked="true" hidden="false"/>
    </xf>
    <xf numFmtId="164" fontId="21" fillId="19" borderId="47" xfId="0" applyFont="true" applyBorder="true" applyAlignment="true" applyProtection="false">
      <alignment horizontal="center" vertical="center" textRotation="0" wrapText="true" indent="0" shrinkToFit="false"/>
      <protection locked="true" hidden="false"/>
    </xf>
    <xf numFmtId="164" fontId="44" fillId="19" borderId="47" xfId="0" applyFont="true" applyBorder="true" applyAlignment="true" applyProtection="false">
      <alignment horizontal="general" vertical="center" textRotation="0" wrapText="true" indent="0" shrinkToFit="false"/>
      <protection locked="true" hidden="false"/>
    </xf>
    <xf numFmtId="164" fontId="21" fillId="19" borderId="47" xfId="0" applyFont="true" applyBorder="true" applyAlignment="true" applyProtection="false">
      <alignment horizontal="center" vertical="center" textRotation="0" wrapText="false" indent="0" shrinkToFit="false"/>
      <protection locked="true" hidden="false"/>
    </xf>
    <xf numFmtId="164" fontId="43" fillId="18" borderId="29" xfId="0" applyFont="true" applyBorder="true" applyAlignment="true" applyProtection="false">
      <alignment horizontal="center" vertical="center" textRotation="0" wrapText="false" indent="0" shrinkToFit="false"/>
      <protection locked="true" hidden="false"/>
    </xf>
    <xf numFmtId="164" fontId="21" fillId="19" borderId="43" xfId="0" applyFont="true" applyBorder="true" applyAlignment="true" applyProtection="false">
      <alignment horizontal="center" vertical="center" textRotation="0" wrapText="false" indent="0" shrinkToFit="false"/>
      <protection locked="true" hidden="false"/>
    </xf>
    <xf numFmtId="164" fontId="21" fillId="19" borderId="43" xfId="0" applyFont="true" applyBorder="true" applyAlignment="true" applyProtection="false">
      <alignment horizontal="center" vertical="center" textRotation="0" wrapText="true" indent="0" shrinkToFit="false"/>
      <protection locked="true" hidden="false"/>
    </xf>
    <xf numFmtId="164" fontId="44" fillId="19" borderId="43" xfId="0" applyFont="true" applyBorder="true" applyAlignment="true" applyProtection="false">
      <alignment horizontal="general" vertical="center" textRotation="0" wrapText="true" indent="0" shrinkToFit="false"/>
      <protection locked="true" hidden="false"/>
    </xf>
    <xf numFmtId="172" fontId="22" fillId="0" borderId="43" xfId="0" applyFont="true" applyBorder="true" applyAlignment="true" applyProtection="false">
      <alignment horizontal="center" vertical="center" textRotation="0" wrapText="true" indent="0" shrinkToFit="false"/>
      <protection locked="true" hidden="false"/>
    </xf>
    <xf numFmtId="172" fontId="0" fillId="0" borderId="43" xfId="0" applyFont="true" applyBorder="true" applyAlignment="true" applyProtection="false">
      <alignment horizontal="center" vertical="center"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43" fillId="20" borderId="46" xfId="0" applyFont="true" applyBorder="true" applyAlignment="true" applyProtection="false">
      <alignment horizontal="center" vertical="center" textRotation="0" wrapText="false" indent="0" shrinkToFit="false"/>
      <protection locked="true" hidden="false"/>
    </xf>
    <xf numFmtId="164" fontId="21" fillId="21" borderId="30" xfId="0" applyFont="true" applyBorder="true" applyAlignment="true" applyProtection="false">
      <alignment horizontal="center" vertical="center" textRotation="0" wrapText="false" indent="0" shrinkToFit="false"/>
      <protection locked="true" hidden="false"/>
    </xf>
    <xf numFmtId="164" fontId="44" fillId="21" borderId="30" xfId="0" applyFont="true" applyBorder="true" applyAlignment="true" applyProtection="false">
      <alignment horizontal="general" vertical="center" textRotation="0" wrapText="true" indent="0" shrinkToFit="false"/>
      <protection locked="true" hidden="false"/>
    </xf>
    <xf numFmtId="164" fontId="45" fillId="0" borderId="30" xfId="0" applyFont="true" applyBorder="true" applyAlignment="true" applyProtection="false">
      <alignment horizontal="left" vertical="top" textRotation="0" wrapText="true" indent="0" shrinkToFit="false"/>
      <protection locked="true" hidden="false"/>
    </xf>
    <xf numFmtId="164" fontId="43" fillId="20" borderId="49" xfId="0" applyFont="true" applyBorder="true" applyAlignment="true" applyProtection="false">
      <alignment horizontal="center" vertical="center" textRotation="0" wrapText="false" indent="0" shrinkToFit="false"/>
      <protection locked="true" hidden="false"/>
    </xf>
    <xf numFmtId="164" fontId="21" fillId="21" borderId="50" xfId="0" applyFont="true" applyBorder="true" applyAlignment="true" applyProtection="false">
      <alignment horizontal="center" vertical="center" textRotation="0" wrapText="false" indent="0" shrinkToFit="false"/>
      <protection locked="true" hidden="false"/>
    </xf>
    <xf numFmtId="164" fontId="44" fillId="21" borderId="50" xfId="0" applyFont="true" applyBorder="true" applyAlignment="true" applyProtection="false">
      <alignment horizontal="general" vertical="center" textRotation="0" wrapText="true" indent="0" shrinkToFit="false"/>
      <protection locked="true" hidden="false"/>
    </xf>
    <xf numFmtId="164" fontId="45" fillId="0" borderId="50" xfId="0" applyFont="true" applyBorder="true" applyAlignment="true" applyProtection="false">
      <alignment horizontal="left" vertical="top" textRotation="0" wrapText="true" indent="0" shrinkToFit="false"/>
      <protection locked="true" hidden="false"/>
    </xf>
    <xf numFmtId="164" fontId="43" fillId="20" borderId="69" xfId="0" applyFont="true" applyBorder="true" applyAlignment="true" applyProtection="false">
      <alignment horizontal="center" vertical="center" textRotation="0" wrapText="false" indent="0" shrinkToFit="false"/>
      <protection locked="true" hidden="false"/>
    </xf>
    <xf numFmtId="164" fontId="21" fillId="21" borderId="54" xfId="0" applyFont="true" applyBorder="true" applyAlignment="true" applyProtection="false">
      <alignment horizontal="center" vertical="center" textRotation="0" wrapText="false" indent="0" shrinkToFit="false"/>
      <protection locked="true" hidden="false"/>
    </xf>
    <xf numFmtId="164" fontId="44" fillId="21" borderId="54" xfId="0" applyFont="true" applyBorder="true" applyAlignment="true" applyProtection="false">
      <alignment horizontal="general" vertical="center" textRotation="0" wrapText="true" indent="0" shrinkToFit="false"/>
      <protection locked="true" hidden="false"/>
    </xf>
    <xf numFmtId="169" fontId="25" fillId="22" borderId="70" xfId="0" applyFont="true" applyBorder="true" applyAlignment="true" applyProtection="false">
      <alignment horizontal="center" vertical="center" textRotation="0" wrapText="false" indent="0" shrinkToFit="false"/>
      <protection locked="true" hidden="false"/>
    </xf>
    <xf numFmtId="164" fontId="43" fillId="20" borderId="61" xfId="0" applyFont="true" applyBorder="true" applyAlignment="true" applyProtection="false">
      <alignment horizontal="center" vertical="center" textRotation="0" wrapText="false" indent="0" shrinkToFit="false"/>
      <protection locked="true" hidden="false"/>
    </xf>
    <xf numFmtId="164" fontId="21" fillId="21" borderId="47" xfId="0" applyFont="true" applyBorder="true" applyAlignment="true" applyProtection="false">
      <alignment horizontal="center" vertical="center" textRotation="0" wrapText="false" indent="0" shrinkToFit="false"/>
      <protection locked="true" hidden="false"/>
    </xf>
    <xf numFmtId="164" fontId="44" fillId="21" borderId="47" xfId="0" applyFont="true" applyBorder="true" applyAlignment="true" applyProtection="false">
      <alignment horizontal="general" vertical="center" textRotation="0" wrapText="true" indent="0" shrinkToFit="false"/>
      <protection locked="true" hidden="false"/>
    </xf>
    <xf numFmtId="164" fontId="24" fillId="23" borderId="0" xfId="0" applyFont="true" applyBorder="true" applyAlignment="true" applyProtection="false">
      <alignment horizontal="center" vertical="center" textRotation="0" wrapText="false" indent="0" shrinkToFit="false"/>
      <protection locked="true" hidden="false"/>
    </xf>
    <xf numFmtId="164" fontId="25" fillId="9" borderId="11" xfId="0" applyFont="true" applyBorder="true" applyAlignment="true" applyProtection="false">
      <alignment horizontal="center" vertical="center" textRotation="0" wrapText="true" indent="0" shrinkToFit="false"/>
      <protection locked="true" hidden="false"/>
    </xf>
    <xf numFmtId="164" fontId="31" fillId="11" borderId="39" xfId="0" applyFont="true" applyBorder="true" applyAlignment="true" applyProtection="false">
      <alignment horizontal="center" vertical="center" textRotation="90" wrapText="true" indent="0" shrinkToFit="false"/>
      <protection locked="true" hidden="false"/>
    </xf>
    <xf numFmtId="164" fontId="21" fillId="12" borderId="11" xfId="0" applyFont="true" applyBorder="true" applyAlignment="true" applyProtection="false">
      <alignment horizontal="center" vertical="center" textRotation="0" wrapText="true" indent="0" shrinkToFit="false"/>
      <protection locked="true" hidden="false"/>
    </xf>
    <xf numFmtId="172" fontId="37" fillId="24" borderId="11" xfId="0" applyFont="true" applyBorder="true" applyAlignment="true" applyProtection="false">
      <alignment horizontal="center" vertical="center" textRotation="0" wrapText="true" indent="0" shrinkToFit="false"/>
      <protection locked="true" hidden="false"/>
    </xf>
    <xf numFmtId="168" fontId="36" fillId="0" borderId="11" xfId="0" applyFont="true" applyBorder="true" applyAlignment="true" applyProtection="false">
      <alignment horizontal="center" vertical="center" textRotation="0" wrapText="true" indent="0" shrinkToFit="false"/>
      <protection locked="true" hidden="false"/>
    </xf>
    <xf numFmtId="165" fontId="37" fillId="12" borderId="38" xfId="0" applyFont="true" applyBorder="true" applyAlignment="true" applyProtection="false">
      <alignment horizontal="center" vertical="center" textRotation="0" wrapText="true" indent="0" shrinkToFit="false"/>
      <protection locked="true" hidden="false"/>
    </xf>
    <xf numFmtId="165" fontId="39" fillId="12" borderId="11" xfId="0" applyFont="true" applyBorder="true" applyAlignment="true" applyProtection="false">
      <alignment horizontal="center" vertical="center" textRotation="90" wrapText="true" indent="0" shrinkToFit="false"/>
      <protection locked="true" hidden="false"/>
    </xf>
    <xf numFmtId="165" fontId="31" fillId="11" borderId="11" xfId="0" applyFont="true" applyBorder="true" applyAlignment="true" applyProtection="false">
      <alignment horizontal="center" vertical="center" textRotation="0" wrapText="true" indent="0" shrinkToFit="false"/>
      <protection locked="true" hidden="false"/>
    </xf>
    <xf numFmtId="165" fontId="15" fillId="11" borderId="11" xfId="0" applyFont="true" applyBorder="true" applyAlignment="true" applyProtection="false">
      <alignment horizontal="center" vertical="center" textRotation="90" wrapText="true" indent="0" shrinkToFit="false"/>
      <protection locked="true" hidden="false"/>
    </xf>
    <xf numFmtId="165" fontId="31" fillId="25" borderId="11" xfId="0" applyFont="true" applyBorder="true" applyAlignment="true" applyProtection="false">
      <alignment horizontal="center" vertical="center" textRotation="0" wrapText="true" indent="0" shrinkToFit="false"/>
      <protection locked="true" hidden="false"/>
    </xf>
    <xf numFmtId="165" fontId="47" fillId="25" borderId="11" xfId="0" applyFont="true" applyBorder="true" applyAlignment="true" applyProtection="false">
      <alignment horizontal="center" vertical="center" textRotation="90" wrapText="true" indent="0" shrinkToFit="false"/>
      <protection locked="true" hidden="false"/>
    </xf>
    <xf numFmtId="165" fontId="37" fillId="12" borderId="11" xfId="0" applyFont="true" applyBorder="true" applyAlignment="true" applyProtection="false">
      <alignment horizontal="center" vertical="center" textRotation="0" wrapText="true" indent="0" shrinkToFit="false"/>
      <protection locked="true" hidden="false"/>
    </xf>
    <xf numFmtId="165" fontId="0" fillId="0" borderId="11" xfId="0" applyFont="true" applyBorder="true" applyAlignment="true" applyProtection="false">
      <alignment horizontal="center" vertical="center" textRotation="0" wrapText="false" indent="0" shrinkToFit="false"/>
      <protection locked="true" hidden="false"/>
    </xf>
    <xf numFmtId="165" fontId="39" fillId="12" borderId="42" xfId="0" applyFont="true" applyBorder="true" applyAlignment="true" applyProtection="false">
      <alignment horizontal="center" vertical="center" textRotation="90" wrapText="true" indent="0" shrinkToFit="false"/>
      <protection locked="true" hidden="false"/>
    </xf>
    <xf numFmtId="164" fontId="31" fillId="11" borderId="40" xfId="0" applyFont="true" applyBorder="true" applyAlignment="true" applyProtection="false">
      <alignment horizontal="center" vertical="center" textRotation="90" wrapText="true" indent="0" shrinkToFit="false"/>
      <protection locked="true" hidden="false"/>
    </xf>
    <xf numFmtId="164" fontId="31" fillId="25" borderId="71" xfId="0" applyFont="true" applyBorder="true" applyAlignment="true" applyProtection="false">
      <alignment horizontal="center" vertical="center" textRotation="90" wrapText="true" indent="0" shrinkToFit="false"/>
      <protection locked="true" hidden="false"/>
    </xf>
    <xf numFmtId="164" fontId="31" fillId="14" borderId="39" xfId="0" applyFont="true" applyBorder="true" applyAlignment="true" applyProtection="false">
      <alignment horizontal="center" vertical="center" textRotation="90" wrapText="true" indent="0" shrinkToFit="false"/>
      <protection locked="true" hidden="false"/>
    </xf>
    <xf numFmtId="164" fontId="21" fillId="15" borderId="11" xfId="0" applyFont="true" applyBorder="true" applyAlignment="true" applyProtection="false">
      <alignment horizontal="center" vertical="center" textRotation="0" wrapText="true" indent="0" shrinkToFit="false"/>
      <protection locked="true" hidden="false"/>
    </xf>
    <xf numFmtId="172" fontId="37" fillId="26" borderId="11" xfId="0" applyFont="true" applyBorder="true" applyAlignment="true" applyProtection="false">
      <alignment horizontal="center" vertical="center" textRotation="0" wrapText="true" indent="0" shrinkToFit="false"/>
      <protection locked="true" hidden="false"/>
    </xf>
    <xf numFmtId="165" fontId="37" fillId="15" borderId="11" xfId="0" applyFont="true" applyBorder="true" applyAlignment="true" applyProtection="false">
      <alignment horizontal="center" vertical="center" textRotation="0" wrapText="true" indent="0" shrinkToFit="false"/>
      <protection locked="true" hidden="false"/>
    </xf>
    <xf numFmtId="165" fontId="39" fillId="15" borderId="11" xfId="0" applyFont="true" applyBorder="true" applyAlignment="true" applyProtection="false">
      <alignment horizontal="center" vertical="center" textRotation="90" wrapText="true" indent="0" shrinkToFit="false"/>
      <protection locked="true" hidden="false"/>
    </xf>
    <xf numFmtId="165" fontId="31" fillId="14" borderId="11" xfId="0" applyFont="true" applyBorder="true" applyAlignment="true" applyProtection="false">
      <alignment horizontal="center" vertical="center" textRotation="0" wrapText="true" indent="0" shrinkToFit="false"/>
      <protection locked="true" hidden="false"/>
    </xf>
    <xf numFmtId="165" fontId="15" fillId="14" borderId="11" xfId="0" applyFont="true" applyBorder="true" applyAlignment="true" applyProtection="false">
      <alignment horizontal="center" vertical="center" textRotation="90" wrapText="true" indent="0" shrinkToFit="false"/>
      <protection locked="true" hidden="false"/>
    </xf>
    <xf numFmtId="165" fontId="39" fillId="15" borderId="38" xfId="0" applyFont="true" applyBorder="true" applyAlignment="true" applyProtection="false">
      <alignment horizontal="center" vertical="center" textRotation="90" wrapText="true" indent="0" shrinkToFit="false"/>
      <protection locked="true" hidden="false"/>
    </xf>
    <xf numFmtId="164" fontId="31" fillId="14" borderId="40" xfId="0" applyFont="true" applyBorder="true" applyAlignment="true" applyProtection="false">
      <alignment horizontal="center" vertical="center" textRotation="90" wrapText="true" indent="0" shrinkToFit="false"/>
      <protection locked="true" hidden="false"/>
    </xf>
    <xf numFmtId="164" fontId="31" fillId="25" borderId="40" xfId="0" applyFont="true" applyBorder="true" applyAlignment="true" applyProtection="false">
      <alignment horizontal="center" vertical="center" textRotation="90" wrapText="true" indent="0" shrinkToFit="false"/>
      <protection locked="true" hidden="false"/>
    </xf>
    <xf numFmtId="164" fontId="31" fillId="16" borderId="40" xfId="0" applyFont="true" applyBorder="true" applyAlignment="true" applyProtection="false">
      <alignment horizontal="center" vertical="center" textRotation="90" wrapText="true" indent="0" shrinkToFit="false"/>
      <protection locked="true" hidden="false"/>
    </xf>
    <xf numFmtId="164" fontId="21" fillId="17" borderId="11" xfId="0" applyFont="true" applyBorder="true" applyAlignment="true" applyProtection="false">
      <alignment horizontal="center" vertical="center" textRotation="0" wrapText="true" indent="0" shrinkToFit="false"/>
      <protection locked="true" hidden="false"/>
    </xf>
    <xf numFmtId="164" fontId="44" fillId="17" borderId="38" xfId="0" applyFont="true" applyBorder="true" applyAlignment="true" applyProtection="false">
      <alignment horizontal="general" vertical="center" textRotation="0" wrapText="true" indent="0" shrinkToFit="false"/>
      <protection locked="true" hidden="false"/>
    </xf>
    <xf numFmtId="172" fontId="37" fillId="27" borderId="38" xfId="0" applyFont="true" applyBorder="true" applyAlignment="true" applyProtection="false">
      <alignment horizontal="center" vertical="center" textRotation="0" wrapText="true" indent="0" shrinkToFit="false"/>
      <protection locked="true" hidden="false"/>
    </xf>
    <xf numFmtId="165" fontId="37" fillId="17" borderId="11" xfId="0" applyFont="true" applyBorder="true" applyAlignment="true" applyProtection="false">
      <alignment horizontal="center" vertical="center" textRotation="0" wrapText="true" indent="0" shrinkToFit="false"/>
      <protection locked="true" hidden="false"/>
    </xf>
    <xf numFmtId="165" fontId="39" fillId="17" borderId="11" xfId="0" applyFont="true" applyBorder="true" applyAlignment="true" applyProtection="false">
      <alignment horizontal="center" vertical="center" textRotation="90" wrapText="true" indent="0" shrinkToFit="false"/>
      <protection locked="true" hidden="false"/>
    </xf>
    <xf numFmtId="165" fontId="31" fillId="16" borderId="38" xfId="0" applyFont="true" applyBorder="true" applyAlignment="true" applyProtection="false">
      <alignment horizontal="center" vertical="center" textRotation="0" wrapText="true" indent="0" shrinkToFit="false"/>
      <protection locked="true" hidden="false"/>
    </xf>
    <xf numFmtId="165" fontId="15" fillId="16" borderId="11" xfId="0" applyFont="true" applyBorder="true" applyAlignment="true" applyProtection="false">
      <alignment horizontal="center" vertical="center" textRotation="90" wrapText="true" indent="0" shrinkToFit="false"/>
      <protection locked="true" hidden="false"/>
    </xf>
    <xf numFmtId="164" fontId="31" fillId="18" borderId="0" xfId="0" applyFont="true" applyBorder="true" applyAlignment="true" applyProtection="false">
      <alignment horizontal="center" vertical="center" textRotation="90" wrapText="true" indent="0" shrinkToFit="false"/>
      <protection locked="true" hidden="false"/>
    </xf>
    <xf numFmtId="164" fontId="21" fillId="19" borderId="38" xfId="0" applyFont="true" applyBorder="true" applyAlignment="true" applyProtection="false">
      <alignment horizontal="center" vertical="center" textRotation="0" wrapText="true" indent="0" shrinkToFit="false"/>
      <protection locked="true" hidden="false"/>
    </xf>
    <xf numFmtId="164" fontId="44" fillId="19" borderId="38" xfId="0" applyFont="true" applyBorder="true" applyAlignment="true" applyProtection="false">
      <alignment horizontal="general" vertical="center" textRotation="0" wrapText="true" indent="0" shrinkToFit="false"/>
      <protection locked="true" hidden="false"/>
    </xf>
    <xf numFmtId="172" fontId="37" fillId="28" borderId="11" xfId="0" applyFont="true" applyBorder="true" applyAlignment="true" applyProtection="false">
      <alignment horizontal="center" vertical="center" textRotation="0" wrapText="true" indent="0" shrinkToFit="false"/>
      <protection locked="true" hidden="false"/>
    </xf>
    <xf numFmtId="165" fontId="37" fillId="19" borderId="11" xfId="0" applyFont="true" applyBorder="true" applyAlignment="true" applyProtection="false">
      <alignment horizontal="center" vertical="center" textRotation="0" wrapText="true" indent="0" shrinkToFit="false"/>
      <protection locked="true" hidden="false"/>
    </xf>
    <xf numFmtId="165" fontId="39" fillId="19" borderId="11" xfId="0" applyFont="true" applyBorder="true" applyAlignment="true" applyProtection="false">
      <alignment horizontal="center" vertical="center" textRotation="90" wrapText="true" indent="0" shrinkToFit="false"/>
      <protection locked="true" hidden="false"/>
    </xf>
    <xf numFmtId="165" fontId="31" fillId="18" borderId="38" xfId="0" applyFont="true" applyBorder="true" applyAlignment="true" applyProtection="false">
      <alignment horizontal="center" vertical="center" textRotation="0" wrapText="true" indent="0" shrinkToFit="false"/>
      <protection locked="true" hidden="false"/>
    </xf>
    <xf numFmtId="165" fontId="15" fillId="18" borderId="11" xfId="0" applyFont="true" applyBorder="true" applyAlignment="true" applyProtection="false">
      <alignment horizontal="center" vertical="center" textRotation="90" wrapText="true" indent="0" shrinkToFit="false"/>
      <protection locked="true" hidden="false"/>
    </xf>
    <xf numFmtId="164" fontId="21" fillId="19" borderId="11" xfId="0" applyFont="true" applyBorder="true" applyAlignment="true" applyProtection="false">
      <alignment horizontal="center" vertical="center" textRotation="0" wrapText="true" indent="0" shrinkToFit="false"/>
      <protection locked="true" hidden="false"/>
    </xf>
    <xf numFmtId="164" fontId="31" fillId="20" borderId="11" xfId="0" applyFont="true" applyBorder="true" applyAlignment="true" applyProtection="false">
      <alignment horizontal="center" vertical="center" textRotation="90" wrapText="true" indent="0" shrinkToFit="false"/>
      <protection locked="true" hidden="false"/>
    </xf>
    <xf numFmtId="164" fontId="21" fillId="21" borderId="38" xfId="0" applyFont="true" applyBorder="true" applyAlignment="true" applyProtection="false">
      <alignment horizontal="center" vertical="center" textRotation="0" wrapText="true" indent="0" shrinkToFit="false"/>
      <protection locked="true" hidden="false"/>
    </xf>
    <xf numFmtId="164" fontId="44" fillId="21" borderId="38" xfId="0" applyFont="true" applyBorder="true" applyAlignment="true" applyProtection="false">
      <alignment horizontal="general" vertical="center" textRotation="0" wrapText="true" indent="0" shrinkToFit="false"/>
      <protection locked="true" hidden="false"/>
    </xf>
    <xf numFmtId="172" fontId="37" fillId="29" borderId="11" xfId="0" applyFont="true" applyBorder="true" applyAlignment="true" applyProtection="false">
      <alignment horizontal="center" vertical="center" textRotation="0" wrapText="true" indent="0" shrinkToFit="false"/>
      <protection locked="true" hidden="false"/>
    </xf>
    <xf numFmtId="165" fontId="37" fillId="21" borderId="11" xfId="0" applyFont="true" applyBorder="true" applyAlignment="true" applyProtection="false">
      <alignment horizontal="center" vertical="center" textRotation="0" wrapText="true" indent="0" shrinkToFit="false"/>
      <protection locked="true" hidden="false"/>
    </xf>
    <xf numFmtId="165" fontId="39" fillId="21" borderId="11" xfId="0" applyFont="true" applyBorder="true" applyAlignment="true" applyProtection="false">
      <alignment horizontal="center" vertical="center" textRotation="90" wrapText="true" indent="0" shrinkToFit="false"/>
      <protection locked="true" hidden="false"/>
    </xf>
    <xf numFmtId="165" fontId="31" fillId="20" borderId="11" xfId="0" applyFont="true" applyBorder="true" applyAlignment="true" applyProtection="false">
      <alignment horizontal="center" vertical="center" textRotation="0" wrapText="true" indent="0" shrinkToFit="false"/>
      <protection locked="true" hidden="false"/>
    </xf>
    <xf numFmtId="165" fontId="15" fillId="20" borderId="11" xfId="0" applyFont="true" applyBorder="true" applyAlignment="true" applyProtection="false">
      <alignment horizontal="center" vertical="center" textRotation="90" wrapText="true" indent="0" shrinkToFit="false"/>
      <protection locked="true" hidden="false"/>
    </xf>
    <xf numFmtId="164" fontId="21" fillId="21" borderId="11" xfId="0" applyFont="true" applyBorder="true" applyAlignment="true" applyProtection="false">
      <alignment horizontal="center" vertical="center" textRotation="0" wrapText="true" indent="0" shrinkToFit="false"/>
      <protection locked="true" hidden="false"/>
    </xf>
    <xf numFmtId="164" fontId="44" fillId="21" borderId="11" xfId="0" applyFont="true" applyBorder="true" applyAlignment="true" applyProtection="false">
      <alignment horizontal="general" vertical="center" textRotation="0" wrapText="true" indent="0" shrinkToFit="false"/>
      <protection locked="true" hidden="false"/>
    </xf>
    <xf numFmtId="164" fontId="25" fillId="9" borderId="11" xfId="0" applyFont="true" applyBorder="true" applyAlignment="true" applyProtection="false">
      <alignment horizontal="center"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12" borderId="11" xfId="0" applyFont="true" applyBorder="true" applyAlignment="true" applyProtection="false">
      <alignment horizontal="center" vertical="center" textRotation="0" wrapText="false" indent="0" shrinkToFit="false"/>
      <protection locked="true" hidden="false"/>
    </xf>
    <xf numFmtId="164" fontId="22" fillId="12" borderId="11" xfId="0" applyFont="true" applyBorder="true" applyAlignment="true" applyProtection="false">
      <alignment horizontal="left" vertical="center" textRotation="0" wrapText="true" indent="0" shrinkToFit="false"/>
      <protection locked="true" hidden="false"/>
    </xf>
    <xf numFmtId="164" fontId="0" fillId="12" borderId="11" xfId="0" applyFont="true" applyBorder="true" applyAlignment="true" applyProtection="false">
      <alignment horizontal="center" vertical="center" textRotation="0" wrapText="true" indent="0" shrinkToFit="false"/>
      <protection locked="true" hidden="false"/>
    </xf>
    <xf numFmtId="164" fontId="0" fillId="14" borderId="0" xfId="0" applyFont="true" applyBorder="tru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11" xfId="0" applyFont="true" applyBorder="true" applyAlignment="true" applyProtection="false">
      <alignment horizontal="center" vertical="center" textRotation="0" wrapText="false" indent="0" shrinkToFit="false"/>
      <protection locked="true" hidden="false"/>
    </xf>
    <xf numFmtId="164" fontId="22" fillId="15" borderId="11" xfId="0" applyFont="true" applyBorder="true" applyAlignment="true" applyProtection="false">
      <alignment horizontal="left" vertical="center" textRotation="0" wrapText="true" indent="0" shrinkToFit="false"/>
      <protection locked="true" hidden="false"/>
    </xf>
    <xf numFmtId="164" fontId="0" fillId="15" borderId="11" xfId="0" applyFont="true" applyBorder="true" applyAlignment="true" applyProtection="false">
      <alignment horizontal="center" vertical="center" textRotation="0" wrapText="true" indent="0" shrinkToFit="false"/>
      <protection locked="true" hidden="false"/>
    </xf>
    <xf numFmtId="164" fontId="0" fillId="17" borderId="11"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left" vertical="center" textRotation="0" wrapText="true" indent="0" shrinkToFit="false"/>
      <protection locked="true" hidden="false"/>
    </xf>
    <xf numFmtId="164" fontId="0" fillId="17" borderId="11" xfId="0" applyFont="true" applyBorder="true" applyAlignment="true" applyProtection="false">
      <alignment horizontal="center" vertical="center" textRotation="0" wrapText="tru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0" fillId="18" borderId="0" xfId="0" applyFont="true" applyBorder="true" applyAlignment="false" applyProtection="false">
      <alignment horizontal="general" vertical="bottom" textRotation="0" wrapText="false" indent="0" shrinkToFit="false"/>
      <protection locked="true" hidden="false"/>
    </xf>
    <xf numFmtId="164" fontId="0" fillId="19" borderId="0" xfId="0" applyFont="true" applyBorder="true" applyAlignment="false" applyProtection="false">
      <alignment horizontal="general" vertical="bottom" textRotation="0" wrapText="false" indent="0" shrinkToFit="false"/>
      <protection locked="true" hidden="false"/>
    </xf>
    <xf numFmtId="164" fontId="0" fillId="19" borderId="11" xfId="0" applyFont="true" applyBorder="true" applyAlignment="true" applyProtection="false">
      <alignment horizontal="center" vertical="center" textRotation="0" wrapText="false" indent="0" shrinkToFit="false"/>
      <protection locked="true" hidden="false"/>
    </xf>
    <xf numFmtId="164" fontId="22" fillId="19" borderId="11" xfId="0" applyFont="true" applyBorder="true" applyAlignment="true" applyProtection="false">
      <alignment horizontal="left" vertical="center" textRotation="0" wrapText="true" indent="0" shrinkToFit="false"/>
      <protection locked="true" hidden="false"/>
    </xf>
    <xf numFmtId="164" fontId="0" fillId="19" borderId="11" xfId="0" applyFont="true" applyBorder="true" applyAlignment="true" applyProtection="false">
      <alignment horizontal="center" vertical="center" textRotation="0" wrapText="true" indent="0" shrinkToFit="false"/>
      <protection locked="true" hidden="false"/>
    </xf>
    <xf numFmtId="164" fontId="0" fillId="19" borderId="0" xfId="0" applyFont="true" applyBorder="true" applyAlignment="true" applyProtection="false">
      <alignment horizontal="general" vertical="bottom" textRotation="0" wrapText="true" indent="0" shrinkToFit="false"/>
      <protection locked="true" hidden="false"/>
    </xf>
    <xf numFmtId="164" fontId="0" fillId="20" borderId="0" xfId="0" applyFont="true" applyBorder="true" applyAlignment="false" applyProtection="false">
      <alignment horizontal="general" vertical="bottom" textRotation="0" wrapText="false" indent="0" shrinkToFit="false"/>
      <protection locked="true" hidden="false"/>
    </xf>
    <xf numFmtId="164" fontId="0" fillId="21" borderId="0" xfId="0" applyFont="true" applyBorder="true" applyAlignment="false" applyProtection="false">
      <alignment horizontal="general" vertical="bottom" textRotation="0" wrapText="false" indent="0" shrinkToFit="false"/>
      <protection locked="true" hidden="false"/>
    </xf>
    <xf numFmtId="164" fontId="0" fillId="21" borderId="11" xfId="0" applyFont="true" applyBorder="true" applyAlignment="true" applyProtection="false">
      <alignment horizontal="center" vertical="center" textRotation="0" wrapText="false" indent="0" shrinkToFit="false"/>
      <protection locked="true" hidden="false"/>
    </xf>
    <xf numFmtId="164" fontId="22" fillId="21" borderId="11" xfId="0" applyFont="true" applyBorder="true" applyAlignment="true" applyProtection="false">
      <alignment horizontal="left" vertical="bottom" textRotation="0" wrapText="true" indent="0" shrinkToFit="false"/>
      <protection locked="true" hidden="false"/>
    </xf>
    <xf numFmtId="164" fontId="22" fillId="21" borderId="11" xfId="0" applyFont="true" applyBorder="true" applyAlignment="true" applyProtection="false">
      <alignment horizontal="left" vertical="center" textRotation="0" wrapText="true" indent="0" shrinkToFit="false"/>
      <protection locked="true" hidden="false"/>
    </xf>
    <xf numFmtId="164" fontId="50" fillId="2" borderId="11" xfId="0" applyFont="true" applyBorder="true" applyAlignment="true" applyProtection="false">
      <alignment horizontal="center" vertical="center" textRotation="0" wrapText="false" indent="0" shrinkToFit="false"/>
      <protection locked="true" hidden="false"/>
    </xf>
    <xf numFmtId="164" fontId="51" fillId="0" borderId="11" xfId="0" applyFont="true" applyBorder="true" applyAlignment="true" applyProtection="false">
      <alignment horizontal="center" vertical="center" textRotation="0" wrapText="false" indent="0" shrinkToFit="false"/>
      <protection locked="true" hidden="false"/>
    </xf>
    <xf numFmtId="164" fontId="52" fillId="0" borderId="1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3">
    <dxf>
      <fill>
        <patternFill patternType="solid">
          <fgColor rgb="FFA5A5A5"/>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006532"/>
        </patternFill>
      </fill>
    </dxf>
    <dxf>
      <fill>
        <patternFill patternType="solid">
          <fgColor rgb="FF333366"/>
        </patternFill>
      </fill>
    </dxf>
    <dxf>
      <fill>
        <patternFill patternType="solid">
          <fgColor rgb="FF3366CB"/>
        </patternFill>
      </fill>
    </dxf>
    <dxf>
      <fill>
        <patternFill patternType="solid">
          <fgColor rgb="FF4F33B7"/>
        </patternFill>
      </fill>
    </dxf>
    <dxf>
      <fill>
        <patternFill patternType="solid">
          <fgColor rgb="FFEF942B"/>
        </patternFill>
      </fill>
    </dxf>
    <dxf>
      <fill>
        <patternFill patternType="solid">
          <fgColor rgb="FFBFBFBF"/>
        </patternFill>
      </fill>
    </dxf>
    <dxf>
      <font>
        <b val="1"/>
      </font>
      <fill>
        <patternFill>
          <bgColor rgb="FF00B050"/>
        </patternFill>
      </fill>
    </dxf>
    <dxf>
      <font>
        <b val="1"/>
      </font>
      <fill>
        <patternFill>
          <bgColor rgb="FFFF0000"/>
        </patternFill>
      </fill>
    </dxf>
    <dxf>
      <fill>
        <patternFill patternType="solid">
          <fgColor rgb="FF2E75B5"/>
        </patternFill>
      </fill>
    </dxf>
    <dxf>
      <fill>
        <patternFill patternType="solid">
          <fgColor rgb="FF70AD47"/>
        </patternFill>
      </fill>
    </dxf>
    <dxf>
      <fill>
        <patternFill patternType="solid">
          <fgColor rgb="FF9900FF"/>
        </patternFill>
      </fill>
    </dxf>
    <dxf>
      <fill>
        <patternFill patternType="solid">
          <fgColor rgb="FFFF0000"/>
        </patternFill>
      </fill>
    </dxf>
    <dxf>
      <fill>
        <patternFill patternType="solid">
          <fgColor rgb="FFFF9900"/>
        </patternFill>
      </fill>
    </dxf>
    <dxf>
      <fill>
        <patternFill patternType="solid">
          <fgColor rgb="FF9CC2E5"/>
        </patternFill>
      </fill>
    </dxf>
    <dxf>
      <fill>
        <patternFill patternType="solid">
          <fgColor rgb="FFC5E0B3"/>
        </patternFill>
      </fill>
    </dxf>
    <dxf>
      <fill>
        <patternFill patternType="solid">
          <fgColor rgb="FFCC99FF"/>
        </patternFill>
      </fill>
    </dxf>
    <dxf>
      <fill>
        <patternFill patternType="solid">
          <fgColor rgb="FFF7CAAC"/>
        </patternFill>
      </fill>
    </dxf>
    <dxf>
      <fill>
        <patternFill patternType="solid">
          <fgColor rgb="FFFFE598"/>
        </patternFill>
      </fill>
    </dxf>
    <dxf>
      <fill>
        <patternFill patternType="solid">
          <fgColor rgb="FF333399"/>
        </patternFill>
      </fill>
    </dxf>
  </dxfs>
  <colors>
    <indexedColors>
      <rgbColor rgb="FF000000"/>
      <rgbColor rgb="FFFFFFFF"/>
      <rgbColor rgb="FFFF0000"/>
      <rgbColor rgb="FF00FF00"/>
      <rgbColor rgb="FF0000FF"/>
      <rgbColor rgb="FFFBE4D4"/>
      <rgbColor rgb="FFFF00FF"/>
      <rgbColor rgb="FF00FFFF"/>
      <rgbColor rgb="FF800000"/>
      <rgbColor rgb="FF006532"/>
      <rgbColor rgb="FF000080"/>
      <rgbColor rgb="FF7F7F7F"/>
      <rgbColor rgb="FF9900FF"/>
      <rgbColor rgb="FF008080"/>
      <rgbColor rgb="FFBFBFBF"/>
      <rgbColor rgb="FF808080"/>
      <rgbColor rgb="FFA5A5A5"/>
      <rgbColor rgb="FF4F33B7"/>
      <rgbColor rgb="FFFEF2CB"/>
      <rgbColor rgb="FFDEEAF6"/>
      <rgbColor rgb="FF660066"/>
      <rgbColor rgb="FFEF942B"/>
      <rgbColor rgb="FF2E75B5"/>
      <rgbColor rgb="FFD9D9D9"/>
      <rgbColor rgb="FF000080"/>
      <rgbColor rgb="FFFF00FF"/>
      <rgbColor rgb="FFFBE4D5"/>
      <rgbColor rgb="FF00FFFF"/>
      <rgbColor rgb="FF800080"/>
      <rgbColor rgb="FF800000"/>
      <rgbColor rgb="FF008080"/>
      <rgbColor rgb="FF0000FF"/>
      <rgbColor rgb="FFB7B7B7"/>
      <rgbColor rgb="FFE7E6E6"/>
      <rgbColor rgb="FFE2EFD9"/>
      <rgbColor rgb="FFFFE598"/>
      <rgbColor rgb="FF9CC2E5"/>
      <rgbColor rgb="FFF7CAAC"/>
      <rgbColor rgb="FFCC99FF"/>
      <rgbColor rgb="FFFFCC99"/>
      <rgbColor rgb="FF3366CB"/>
      <rgbColor rgb="FF5B9BD5"/>
      <rgbColor rgb="FF70AD47"/>
      <rgbColor rgb="FFC5E0B3"/>
      <rgbColor rgb="FFFF9900"/>
      <rgbColor rgb="FFED7D31"/>
      <rgbColor rgb="FF757575"/>
      <rgbColor rgb="FF8B8B8B"/>
      <rgbColor rgb="FF003366"/>
      <rgbColor rgb="FF00B050"/>
      <rgbColor rgb="FF003300"/>
      <rgbColor rgb="FF1A1A1A"/>
      <rgbColor rgb="FFC55A11"/>
      <rgbColor rgb="FFFFCCFF"/>
      <rgbColor rgb="FF333399"/>
      <rgbColor rgb="FF33336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431107071093675"/>
          <c:y val="0.0523610053313024"/>
          <c:w val="0.542436130513826"/>
          <c:h val="0.892993145468393"/>
        </c:manualLayout>
      </c:layout>
      <c:pieChart>
        <c:varyColors val="1"/>
        <c:ser>
          <c:idx val="0"/>
          <c:order val="0"/>
          <c:tx>
            <c:strRef>
              <c:f>'Resumen general'!$B$23</c:f>
              <c:strCache>
                <c:ptCount val="1"/>
                <c:pt idx="0">
                  <c:v/>
                </c:pt>
              </c:strCache>
            </c:strRef>
          </c:tx>
          <c:spPr>
            <a:solidFill>
              <a:srgbClr val="5b9bd5"/>
            </a:solidFill>
            <a:ln w="0">
              <a:noFill/>
            </a:ln>
          </c:spPr>
          <c:explosion val="0"/>
          <c:dPt>
            <c:idx val="0"/>
            <c:spPr>
              <a:solidFill>
                <a:srgbClr val="5b9bd5"/>
              </a:solidFill>
              <a:ln w="0">
                <a:noFill/>
              </a:ln>
            </c:spPr>
          </c:dPt>
          <c:dLbls>
            <c:dLbl>
              <c:idx val="0"/>
              <c:txPr>
                <a:bodyPr wrap="square"/>
                <a:lstStyle/>
                <a:p>
                  <a:pPr>
                    <a:defRPr b="1" sz="3600" spc="-1" strike="noStrike">
                      <a:solidFill>
                        <a:srgbClr val="000000"/>
                      </a:solidFill>
                      <a:latin typeface="Calibri"/>
                      <a:ea typeface="Arial"/>
                    </a:defRPr>
                  </a:pPr>
                </a:p>
              </c:txPr>
              <c:dLblPos val="bestFit"/>
              <c:showLegendKey val="0"/>
              <c:showVal val="1"/>
              <c:showCatName val="0"/>
              <c:showSerName val="0"/>
              <c:showPercent val="0"/>
              <c:separator>; </c:separator>
            </c:dLbl>
            <c:txPr>
              <a:bodyPr wrap="square"/>
              <a:lstStyle/>
              <a:p>
                <a:pPr>
                  <a:defRPr b="0" sz="1000" spc="-1" strike="noStrike">
                    <a:solidFill>
                      <a:srgbClr val="000000"/>
                    </a:solidFill>
                    <a:latin typeface="Arial"/>
                    <a:ea typeface="Arial"/>
                  </a:defRPr>
                </a:pPr>
              </a:p>
            </c:txPr>
            <c:dLblPos val="bestFit"/>
            <c:showLegendKey val="0"/>
            <c:showVal val="1"/>
            <c:showCatName val="0"/>
            <c:showSerName val="0"/>
            <c:showPercent val="0"/>
            <c:separator>; </c:separator>
            <c:showLeaderLines val="1"/>
          </c:dLbls>
          <c:cat>
            <c:strRef>
              <c:f>'Resumen general'!$C$22</c:f>
              <c:strCache>
                <c:ptCount val="1"/>
                <c:pt idx="0">
                  <c:v>Función </c:v>
                </c:pt>
              </c:strCache>
            </c:strRef>
          </c:cat>
          <c:val>
            <c:numRef>
              <c:f>'Resumen general'!$C$23</c:f>
              <c:numCache>
                <c:formatCode>General</c:formatCode>
                <c:ptCount val="1"/>
              </c:numCache>
            </c:numRef>
          </c:val>
        </c:ser>
        <c:firstSliceAng val="0"/>
      </c:pieChart>
      <c:spPr>
        <a:noFill/>
        <a:ln w="0">
          <a:noFill/>
        </a:ln>
      </c:spPr>
    </c:plotArea>
    <c:legend>
      <c:legendPos val="l"/>
      <c:layout>
        <c:manualLayout>
          <c:xMode val="edge"/>
          <c:yMode val="edge"/>
          <c:x val="0.0135988329988354"/>
          <c:y val="0.0899665328680164"/>
        </c:manualLayout>
      </c:layout>
      <c:overlay val="0"/>
      <c:spPr>
        <a:noFill/>
        <a:ln w="0">
          <a:noFill/>
        </a:ln>
      </c:spPr>
      <c:txPr>
        <a:bodyPr/>
        <a:lstStyle/>
        <a:p>
          <a:pPr>
            <a:defRPr b="0" sz="1400" spc="-1" strike="noStrike">
              <a:solidFill>
                <a:srgbClr val="1a1a1a"/>
              </a:solidFill>
              <a:latin typeface="Calibri"/>
              <a:ea typeface="Arial"/>
            </a:defRPr>
          </a:pPr>
        </a:p>
      </c:txPr>
    </c:legend>
    <c:plotVisOnly val="0"/>
    <c:dispBlanksAs val="zero"/>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5b9bd5"/>
            </a:solidFill>
            <a:ln w="0">
              <a:solidFill>
                <a:srgbClr val="000000"/>
              </a:solidFill>
            </a:ln>
          </c:spPr>
          <c:invertIfNegative val="0"/>
          <c:dPt>
            <c:idx val="0"/>
            <c:invertIfNegative val="0"/>
            <c:spPr>
              <a:solidFill>
                <a:srgbClr val="ef942b"/>
              </a:solidFill>
              <a:ln w="0">
                <a:solidFill>
                  <a:srgbClr val="000000"/>
                </a:solidFill>
              </a:ln>
            </c:spPr>
          </c:dPt>
          <c:dPt>
            <c:idx val="1"/>
            <c:invertIfNegative val="0"/>
            <c:spPr>
              <a:solidFill>
                <a:srgbClr val="ef942b"/>
              </a:solidFill>
              <a:ln w="0">
                <a:solidFill>
                  <a:srgbClr val="000000"/>
                </a:solidFill>
              </a:ln>
            </c:spPr>
          </c:dPt>
          <c:dPt>
            <c:idx val="2"/>
            <c:invertIfNegative val="0"/>
            <c:spPr>
              <a:solidFill>
                <a:srgbClr val="ef942b"/>
              </a:solidFill>
              <a:ln w="0">
                <a:solidFill>
                  <a:srgbClr val="000000"/>
                </a:solidFill>
              </a:ln>
            </c:spPr>
          </c:dPt>
          <c:dPt>
            <c:idx val="3"/>
            <c:invertIfNegative val="0"/>
            <c:spPr>
              <a:solidFill>
                <a:srgbClr val="ef942b"/>
              </a:solidFill>
              <a:ln w="0">
                <a:solidFill>
                  <a:srgbClr val="000000"/>
                </a:solidFill>
              </a:ln>
            </c:spPr>
          </c:dPt>
          <c:dPt>
            <c:idx val="4"/>
            <c:invertIfNegative val="0"/>
            <c:spPr>
              <a:solidFill>
                <a:srgbClr val="ef942b"/>
              </a:solidFill>
              <a:ln w="0">
                <a:solidFill>
                  <a:srgbClr val="000000"/>
                </a:solidFill>
              </a:ln>
            </c:spPr>
          </c:dPt>
          <c:dPt>
            <c:idx val="5"/>
            <c:invertIfNegative val="0"/>
            <c:spPr>
              <a:solidFill>
                <a:srgbClr val="ef942b"/>
              </a:solidFill>
              <a:ln w="0">
                <a:solidFill>
                  <a:srgbClr val="000000"/>
                </a:solidFill>
              </a:ln>
            </c:spPr>
          </c:dPt>
          <c:dPt>
            <c:idx val="6"/>
            <c:invertIfNegative val="0"/>
            <c:spPr>
              <a:solidFill>
                <a:srgbClr val="006532"/>
              </a:solidFill>
              <a:ln w="0">
                <a:solidFill>
                  <a:srgbClr val="000000"/>
                </a:solidFill>
              </a:ln>
            </c:spPr>
          </c:dPt>
          <c:dPt>
            <c:idx val="7"/>
            <c:invertIfNegative val="0"/>
            <c:spPr>
              <a:solidFill>
                <a:srgbClr val="006532"/>
              </a:solidFill>
              <a:ln w="0">
                <a:solidFill>
                  <a:srgbClr val="000000"/>
                </a:solidFill>
              </a:ln>
            </c:spPr>
          </c:dPt>
          <c:dPt>
            <c:idx val="8"/>
            <c:invertIfNegative val="0"/>
            <c:spPr>
              <a:solidFill>
                <a:srgbClr val="006532"/>
              </a:solidFill>
              <a:ln w="0">
                <a:solidFill>
                  <a:srgbClr val="000000"/>
                </a:solidFill>
              </a:ln>
            </c:spPr>
          </c:dPt>
          <c:dPt>
            <c:idx val="9"/>
            <c:invertIfNegative val="0"/>
            <c:spPr>
              <a:solidFill>
                <a:srgbClr val="006532"/>
              </a:solidFill>
              <a:ln w="0">
                <a:solidFill>
                  <a:srgbClr val="000000"/>
                </a:solidFill>
              </a:ln>
            </c:spPr>
          </c:dPt>
          <c:dPt>
            <c:idx val="10"/>
            <c:invertIfNegative val="0"/>
            <c:spPr>
              <a:solidFill>
                <a:srgbClr val="006532"/>
              </a:solidFill>
              <a:ln w="0">
                <a:solidFill>
                  <a:srgbClr val="000000"/>
                </a:solidFill>
              </a:ln>
            </c:spPr>
          </c:dPt>
          <c:dPt>
            <c:idx val="11"/>
            <c:invertIfNegative val="0"/>
            <c:spPr>
              <a:solidFill>
                <a:srgbClr val="006532"/>
              </a:solidFill>
              <a:ln w="0">
                <a:solidFill>
                  <a:srgbClr val="000000"/>
                </a:solidFill>
              </a:ln>
            </c:spPr>
          </c:dPt>
          <c:dPt>
            <c:idx val="12"/>
            <c:invertIfNegative val="0"/>
            <c:spPr>
              <a:solidFill>
                <a:srgbClr val="333366"/>
              </a:solidFill>
              <a:ln w="0">
                <a:solidFill>
                  <a:srgbClr val="000000"/>
                </a:solidFill>
              </a:ln>
            </c:spPr>
          </c:dPt>
          <c:dPt>
            <c:idx val="13"/>
            <c:invertIfNegative val="0"/>
            <c:spPr>
              <a:solidFill>
                <a:srgbClr val="333366"/>
              </a:solidFill>
              <a:ln w="0">
                <a:solidFill>
                  <a:srgbClr val="000000"/>
                </a:solidFill>
              </a:ln>
            </c:spPr>
          </c:dPt>
          <c:dPt>
            <c:idx val="14"/>
            <c:invertIfNegative val="0"/>
            <c:spPr>
              <a:solidFill>
                <a:srgbClr val="333366"/>
              </a:solidFill>
              <a:ln w="0">
                <a:solidFill>
                  <a:srgbClr val="000000"/>
                </a:solidFill>
              </a:ln>
            </c:spPr>
          </c:dPt>
          <c:dPt>
            <c:idx val="15"/>
            <c:invertIfNegative val="0"/>
            <c:spPr>
              <a:solidFill>
                <a:srgbClr val="4f33b7"/>
              </a:solidFill>
              <a:ln w="0">
                <a:solidFill>
                  <a:srgbClr val="000000"/>
                </a:solidFill>
              </a:ln>
            </c:spPr>
          </c:dPt>
          <c:dPt>
            <c:idx val="16"/>
            <c:invertIfNegative val="0"/>
            <c:spPr>
              <a:solidFill>
                <a:srgbClr val="4f33b7"/>
              </a:solidFill>
              <a:ln w="0">
                <a:solidFill>
                  <a:srgbClr val="000000"/>
                </a:solidFill>
              </a:ln>
            </c:spPr>
          </c:dPt>
          <c:dPt>
            <c:idx val="17"/>
            <c:invertIfNegative val="0"/>
            <c:spPr>
              <a:solidFill>
                <a:srgbClr val="4f33b7"/>
              </a:solidFill>
              <a:ln w="0">
                <a:solidFill>
                  <a:srgbClr val="000000"/>
                </a:solidFill>
              </a:ln>
            </c:spPr>
          </c:dPt>
          <c:dPt>
            <c:idx val="18"/>
            <c:invertIfNegative val="0"/>
            <c:spPr>
              <a:solidFill>
                <a:srgbClr val="4f33b7"/>
              </a:solidFill>
              <a:ln w="0">
                <a:solidFill>
                  <a:srgbClr val="000000"/>
                </a:solidFill>
              </a:ln>
            </c:spPr>
          </c:dPt>
          <c:dPt>
            <c:idx val="19"/>
            <c:invertIfNegative val="0"/>
            <c:spPr>
              <a:solidFill>
                <a:srgbClr val="4f33b7"/>
              </a:solidFill>
              <a:ln w="0">
                <a:solidFill>
                  <a:srgbClr val="000000"/>
                </a:solidFill>
              </a:ln>
            </c:spPr>
          </c:dPt>
          <c:dPt>
            <c:idx val="20"/>
            <c:invertIfNegative val="0"/>
            <c:spPr>
              <a:solidFill>
                <a:srgbClr val="3366cb"/>
              </a:solidFill>
              <a:ln w="0">
                <a:solidFill>
                  <a:srgbClr val="000000"/>
                </a:solidFill>
              </a:ln>
            </c:spPr>
          </c:dPt>
          <c:dPt>
            <c:idx val="21"/>
            <c:invertIfNegative val="0"/>
            <c:spPr>
              <a:solidFill>
                <a:srgbClr val="3366cb"/>
              </a:solidFill>
              <a:ln w="0">
                <a:solidFill>
                  <a:srgbClr val="000000"/>
                </a:solidFill>
              </a:ln>
            </c:spPr>
          </c:dPt>
          <c:dPt>
            <c:idx val="22"/>
            <c:invertIfNegative val="0"/>
            <c:spPr>
              <a:solidFill>
                <a:srgbClr val="3366cb"/>
              </a:solidFill>
              <a:ln w="0">
                <a:solidFill>
                  <a:srgbClr val="000000"/>
                </a:solidFill>
              </a:ln>
            </c:spPr>
          </c:dPt>
          <c:dLbls>
            <c:numFmt formatCode="General" sourceLinked="1"/>
            <c:dLbl>
              <c:idx val="0"/>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2"/>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3"/>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4"/>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5"/>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6"/>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7"/>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8"/>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9"/>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0"/>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1"/>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2"/>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3"/>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4"/>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5"/>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6"/>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7"/>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8"/>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19"/>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20"/>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21"/>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dLbl>
              <c:idx val="22"/>
              <c:numFmt formatCode="General" sourceLinked="1"/>
              <c:txPr>
                <a:bodyPr wrap="square"/>
                <a:lstStyle/>
                <a:p>
                  <a:pPr>
                    <a:defRPr b="1" sz="1400" spc="-1" strike="noStrike">
                      <a:solidFill>
                        <a:srgbClr val="000000"/>
                      </a:solidFill>
                      <a:latin typeface="Calibri"/>
                    </a:defRPr>
                  </a:pPr>
                </a:p>
              </c:txPr>
              <c:dLblPos val="outEnd"/>
              <c:showLegendKey val="0"/>
              <c:showVal val="1"/>
              <c:showCatName val="0"/>
              <c:showSerName val="0"/>
              <c:showPercent val="0"/>
              <c:separator>; </c:separator>
            </c:dLbl>
            <c:txPr>
              <a:bodyPr wrap="square"/>
              <a:lstStyle/>
              <a:p>
                <a:pPr>
                  <a:defRPr b="1" sz="1400" spc="-1" strike="noStrike">
                    <a:solidFill>
                      <a:srgbClr val="000000"/>
                    </a:solidFill>
                    <a:latin typeface="Calibri"/>
                    <a:ea typeface="Arial"/>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'Resumen general'!$B$32:$B$54</c:f>
              <c:strCache>
                <c:ptCount val="23"/>
                <c:pt idx="0">
                  <c:v>IDENTIFICAR</c:v>
                </c:pt>
                <c:pt idx="1">
                  <c:v/>
                </c:pt>
                <c:pt idx="2">
                  <c:v/>
                </c:pt>
                <c:pt idx="3">
                  <c:v/>
                </c:pt>
                <c:pt idx="4">
                  <c:v/>
                </c:pt>
                <c:pt idx="5">
                  <c:v/>
                </c:pt>
                <c:pt idx="6">
                  <c:v>PROTEGER</c:v>
                </c:pt>
                <c:pt idx="7">
                  <c:v/>
                </c:pt>
                <c:pt idx="8">
                  <c:v/>
                </c:pt>
                <c:pt idx="9">
                  <c:v/>
                </c:pt>
                <c:pt idx="10">
                  <c:v/>
                </c:pt>
                <c:pt idx="11">
                  <c:v/>
                </c:pt>
                <c:pt idx="12">
                  <c:v>DETECTAR</c:v>
                </c:pt>
                <c:pt idx="13">
                  <c:v/>
                </c:pt>
                <c:pt idx="14">
                  <c:v/>
                </c:pt>
                <c:pt idx="15">
                  <c:v>RESPONDER</c:v>
                </c:pt>
                <c:pt idx="16">
                  <c:v/>
                </c:pt>
                <c:pt idx="17">
                  <c:v/>
                </c:pt>
                <c:pt idx="18">
                  <c:v/>
                </c:pt>
                <c:pt idx="19">
                  <c:v/>
                </c:pt>
                <c:pt idx="20">
                  <c:v>RECUPERAR</c:v>
                </c:pt>
                <c:pt idx="21">
                  <c:v/>
                </c:pt>
                <c:pt idx="22">
                  <c:v/>
                </c:pt>
              </c:strCache>
            </c:strRef>
          </c:cat>
          <c:val>
            <c:numRef>
              <c:f>'Resumen general'!$C$32:$C$54</c:f>
              <c:numCache>
                <c:formatCode>General</c:formatCode>
                <c:ptCount val="23"/>
              </c:numCache>
            </c:numRef>
          </c:val>
        </c:ser>
        <c:ser>
          <c:idx val="1"/>
          <c:order val="1"/>
          <c:spPr>
            <a:solidFill>
              <a:srgbClr val="ed7d3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'Resumen general'!$B$32:$B$54</c:f>
              <c:strCache>
                <c:ptCount val="23"/>
                <c:pt idx="0">
                  <c:v>IDENTIFICAR</c:v>
                </c:pt>
                <c:pt idx="1">
                  <c:v/>
                </c:pt>
                <c:pt idx="2">
                  <c:v/>
                </c:pt>
                <c:pt idx="3">
                  <c:v/>
                </c:pt>
                <c:pt idx="4">
                  <c:v/>
                </c:pt>
                <c:pt idx="5">
                  <c:v/>
                </c:pt>
                <c:pt idx="6">
                  <c:v>PROTEGER</c:v>
                </c:pt>
                <c:pt idx="7">
                  <c:v/>
                </c:pt>
                <c:pt idx="8">
                  <c:v/>
                </c:pt>
                <c:pt idx="9">
                  <c:v/>
                </c:pt>
                <c:pt idx="10">
                  <c:v/>
                </c:pt>
                <c:pt idx="11">
                  <c:v/>
                </c:pt>
                <c:pt idx="12">
                  <c:v>DETECTAR</c:v>
                </c:pt>
                <c:pt idx="13">
                  <c:v/>
                </c:pt>
                <c:pt idx="14">
                  <c:v/>
                </c:pt>
                <c:pt idx="15">
                  <c:v>RESPONDER</c:v>
                </c:pt>
                <c:pt idx="16">
                  <c:v/>
                </c:pt>
                <c:pt idx="17">
                  <c:v/>
                </c:pt>
                <c:pt idx="18">
                  <c:v/>
                </c:pt>
                <c:pt idx="19">
                  <c:v/>
                </c:pt>
                <c:pt idx="20">
                  <c:v>RECUPERAR</c:v>
                </c:pt>
                <c:pt idx="21">
                  <c:v/>
                </c:pt>
                <c:pt idx="22">
                  <c:v/>
                </c:pt>
              </c:strCache>
            </c:strRef>
          </c:cat>
          <c:val>
            <c:numRef>
              <c:f>'Resumen general'!$D$32:$D$54</c:f>
              <c:numCache>
                <c:formatCode>General</c:formatCode>
                <c:ptCount val="23"/>
                <c:pt idx="0">
                  <c:v>0.333333333333333</c:v>
                </c:pt>
                <c:pt idx="1">
                  <c:v>1</c:v>
                </c:pt>
                <c:pt idx="2">
                  <c:v>0.5</c:v>
                </c:pt>
                <c:pt idx="3">
                  <c:v>0.833333333333333</c:v>
                </c:pt>
                <c:pt idx="4">
                  <c:v>0.666666666666667</c:v>
                </c:pt>
                <c:pt idx="5">
                  <c:v>0.8</c:v>
                </c:pt>
                <c:pt idx="6">
                  <c:v>0.5714285714</c:v>
                </c:pt>
                <c:pt idx="7">
                  <c:v>0.6</c:v>
                </c:pt>
                <c:pt idx="8">
                  <c:v>0.75</c:v>
                </c:pt>
                <c:pt idx="9">
                  <c:v>0.5833333333</c:v>
                </c:pt>
                <c:pt idx="10">
                  <c:v>0.5</c:v>
                </c:pt>
                <c:pt idx="11">
                  <c:v>0.8</c:v>
                </c:pt>
                <c:pt idx="12">
                  <c:v>1</c:v>
                </c:pt>
                <c:pt idx="13">
                  <c:v>0.625</c:v>
                </c:pt>
                <c:pt idx="14">
                  <c:v>1</c:v>
                </c:pt>
                <c:pt idx="15">
                  <c:v>1</c:v>
                </c:pt>
                <c:pt idx="16">
                  <c:v>0.8</c:v>
                </c:pt>
                <c:pt idx="17">
                  <c:v>0.6</c:v>
                </c:pt>
                <c:pt idx="18">
                  <c:v>0.6666666667</c:v>
                </c:pt>
                <c:pt idx="19">
                  <c:v>0.5</c:v>
                </c:pt>
                <c:pt idx="20">
                  <c:v>1</c:v>
                </c:pt>
                <c:pt idx="21">
                  <c:v>1</c:v>
                </c:pt>
                <c:pt idx="22">
                  <c:v>1</c:v>
                </c:pt>
              </c:numCache>
            </c:numRef>
          </c:val>
        </c:ser>
        <c:gapWidth val="150"/>
        <c:overlap val="0"/>
        <c:axId val="35504494"/>
        <c:axId val="88430913"/>
      </c:barChart>
      <c:catAx>
        <c:axId val="35504494"/>
        <c:scaling>
          <c:orientation val="minMax"/>
        </c:scaling>
        <c:delete val="0"/>
        <c:axPos val="b"/>
        <c:numFmt formatCode="General" sourceLinked="0"/>
        <c:majorTickMark val="none"/>
        <c:minorTickMark val="none"/>
        <c:tickLblPos val="nextTo"/>
        <c:spPr>
          <a:ln w="6480">
            <a:solidFill>
              <a:srgbClr val="8b8b8b"/>
            </a:solidFill>
            <a:round/>
          </a:ln>
        </c:spPr>
        <c:txPr>
          <a:bodyPr/>
          <a:lstStyle/>
          <a:p>
            <a:pPr>
              <a:defRPr b="0" sz="1200" spc="-1" strike="noStrike">
                <a:solidFill>
                  <a:srgbClr val="000000"/>
                </a:solidFill>
                <a:latin typeface="Calibri"/>
                <a:ea typeface="Arial"/>
              </a:defRPr>
            </a:pPr>
          </a:p>
        </c:txPr>
        <c:crossAx val="88430913"/>
        <c:crosses val="autoZero"/>
        <c:auto val="1"/>
        <c:lblAlgn val="ctr"/>
        <c:lblOffset val="100"/>
        <c:noMultiLvlLbl val="0"/>
      </c:catAx>
      <c:valAx>
        <c:axId val="88430913"/>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35504494"/>
        <c:crosses val="autoZero"/>
        <c:crossBetween val="between"/>
      </c:valAx>
      <c:spPr>
        <a:noFill/>
        <a:ln w="0">
          <a:noFill/>
        </a:ln>
      </c:spPr>
    </c:plotArea>
    <c:plotVisOnly val="1"/>
    <c:dispBlanksAs val="zero"/>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xMode val="edge"/>
          <c:yMode val="edge"/>
          <c:x val="0.42511655011655"/>
          <c:y val="0.0913133238049865"/>
          <c:w val="0.542415917415917"/>
          <c:h val="0.893044306812768"/>
        </c:manualLayout>
      </c:layout>
      <c:radarChart>
        <c:radarStyle val="marker"/>
        <c:varyColors val="0"/>
        <c:ser>
          <c:idx val="0"/>
          <c:order val="0"/>
          <c:spPr>
            <a:solidFill>
              <a:srgbClr val="5b9bd5"/>
            </a:solidFill>
            <a:ln w="19080">
              <a:solidFill>
                <a:srgbClr val="5b9bd5"/>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'Resumen general'!$C$32:$C$54</c:f>
              <c:strCache>
                <c:ptCount val="23"/>
                <c:pt idx="0">
                  <c:v>Gestión de Activos (ID.GA)</c:v>
                </c:pt>
                <c:pt idx="1">
                  <c:v>Ambiente del negocio (ID.AN)</c:v>
                </c:pt>
                <c:pt idx="2">
                  <c:v>Gobernanza (ID.GO)</c:v>
                </c:pt>
                <c:pt idx="3">
                  <c:v>Evaluación de riesgos (ID.ER)</c:v>
                </c:pt>
                <c:pt idx="4">
                  <c:v>Estrategia de gestión de riesgos (ID.GR)</c:v>
                </c:pt>
                <c:pt idx="5">
                  <c:v>Gestión del riesgo en cadena de suministros (ID.CS)</c:v>
                </c:pt>
                <c:pt idx="6">
                  <c:v>Identidad, autenticación y control de acceso (PR.CA)</c:v>
                </c:pt>
                <c:pt idx="7">
                  <c:v>Concientización y formación (PR.CF)</c:v>
                </c:pt>
                <c:pt idx="8">
                  <c:v>Seguridad de los datos (PR.SD)</c:v>
                </c:pt>
                <c:pt idx="9">
                  <c:v>Procesos y procedimientos para protección de información (PR.PI)</c:v>
                </c:pt>
                <c:pt idx="10">
                  <c:v>Mantenimiento (PR.MA)</c:v>
                </c:pt>
                <c:pt idx="11">
                  <c:v>Tecnología de protección (PR.TP)</c:v>
                </c:pt>
                <c:pt idx="12">
                  <c:v>Anomalías y eventos (DE.AE)</c:v>
                </c:pt>
                <c:pt idx="13">
                  <c:v>Monitoreo continuo de la seguridad (DE.MC)</c:v>
                </c:pt>
                <c:pt idx="14">
                  <c:v>Procesos de detección (DE.PD)</c:v>
                </c:pt>
                <c:pt idx="15">
                  <c:v>Planificación de la respuesta (RE.PR)</c:v>
                </c:pt>
                <c:pt idx="16">
                  <c:v>Comunicaciones (RE.CO)</c:v>
                </c:pt>
                <c:pt idx="17">
                  <c:v>Análisis (RE.AN)</c:v>
                </c:pt>
                <c:pt idx="18">
                  <c:v>Mitigación (RE.MI)</c:v>
                </c:pt>
                <c:pt idx="19">
                  <c:v>Mejoras (RE.ME)</c:v>
                </c:pt>
                <c:pt idx="20">
                  <c:v>Planificación de la recuperación (RC.PR)</c:v>
                </c:pt>
                <c:pt idx="21">
                  <c:v>Mejoras (RC.ME)</c:v>
                </c:pt>
                <c:pt idx="22">
                  <c:v>Comunicaciones (RC.CO)</c:v>
                </c:pt>
              </c:strCache>
            </c:strRef>
          </c:cat>
          <c:val>
            <c:numRef>
              <c:f>'Resumen general'!$D$32:$D$54</c:f>
              <c:numCache>
                <c:formatCode>General</c:formatCode>
                <c:ptCount val="23"/>
                <c:pt idx="0">
                  <c:v>0.333333333333333</c:v>
                </c:pt>
                <c:pt idx="1">
                  <c:v>1</c:v>
                </c:pt>
                <c:pt idx="2">
                  <c:v>0.5</c:v>
                </c:pt>
                <c:pt idx="3">
                  <c:v>0.833333333333333</c:v>
                </c:pt>
                <c:pt idx="4">
                  <c:v>0.666666666666667</c:v>
                </c:pt>
                <c:pt idx="5">
                  <c:v>0.8</c:v>
                </c:pt>
                <c:pt idx="6">
                  <c:v>0.5714285714</c:v>
                </c:pt>
                <c:pt idx="7">
                  <c:v>0.6</c:v>
                </c:pt>
                <c:pt idx="8">
                  <c:v>0.75</c:v>
                </c:pt>
                <c:pt idx="9">
                  <c:v>0.5833333333</c:v>
                </c:pt>
                <c:pt idx="10">
                  <c:v>0.5</c:v>
                </c:pt>
                <c:pt idx="11">
                  <c:v>0.8</c:v>
                </c:pt>
                <c:pt idx="12">
                  <c:v>1</c:v>
                </c:pt>
                <c:pt idx="13">
                  <c:v>0.625</c:v>
                </c:pt>
                <c:pt idx="14">
                  <c:v>1</c:v>
                </c:pt>
                <c:pt idx="15">
                  <c:v>1</c:v>
                </c:pt>
                <c:pt idx="16">
                  <c:v>0.8</c:v>
                </c:pt>
                <c:pt idx="17">
                  <c:v>0.6</c:v>
                </c:pt>
                <c:pt idx="18">
                  <c:v>0.6666666667</c:v>
                </c:pt>
                <c:pt idx="19">
                  <c:v>0.5</c:v>
                </c:pt>
                <c:pt idx="20">
                  <c:v>1</c:v>
                </c:pt>
                <c:pt idx="21">
                  <c:v>1</c:v>
                </c:pt>
                <c:pt idx="22">
                  <c:v>1</c:v>
                </c:pt>
              </c:numCache>
            </c:numRef>
          </c:val>
        </c:ser>
        <c:axId val="16290577"/>
        <c:axId val="35034597"/>
      </c:radarChart>
      <c:catAx>
        <c:axId val="16290577"/>
        <c:scaling>
          <c:orientation val="maxMin"/>
        </c:scaling>
        <c:delete val="0"/>
        <c:axPos val="b"/>
        <c:numFmt formatCode="General" sourceLinked="0"/>
        <c:majorTickMark val="none"/>
        <c:minorTickMark val="none"/>
        <c:tickLblPos val="nextTo"/>
        <c:spPr>
          <a:ln w="6480">
            <a:noFill/>
          </a:ln>
        </c:spPr>
        <c:txPr>
          <a:bodyPr/>
          <a:lstStyle/>
          <a:p>
            <a:pPr>
              <a:defRPr b="0" sz="1000" spc="-1" strike="noStrike">
                <a:solidFill>
                  <a:srgbClr val="000000"/>
                </a:solidFill>
                <a:latin typeface="Arial"/>
                <a:ea typeface="Arial"/>
              </a:defRPr>
            </a:pPr>
          </a:p>
        </c:txPr>
        <c:crossAx val="35034597"/>
        <c:crosses val="autoZero"/>
        <c:auto val="1"/>
        <c:lblAlgn val="ctr"/>
        <c:lblOffset val="100"/>
        <c:noMultiLvlLbl val="0"/>
      </c:catAx>
      <c:valAx>
        <c:axId val="35034597"/>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16290577"/>
        <c:crosses val="autoZero"/>
        <c:crossBetween val="midCat"/>
      </c:valAx>
      <c:spPr>
        <a:noFill/>
        <a:ln w="0">
          <a:noFill/>
        </a:ln>
      </c:spPr>
    </c:plotArea>
    <c:plotVisOnly val="0"/>
    <c:dispBlanksAs val="zero"/>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1" strike="noStrike">
                <a:solidFill>
                  <a:srgbClr val="757575"/>
                </a:solidFill>
                <a:latin typeface="Arial"/>
                <a:ea typeface="Arial"/>
              </a:defRPr>
            </a:pPr>
            <a:r>
              <a:rPr b="1" sz="1600" spc="-1" strike="noStrike">
                <a:solidFill>
                  <a:srgbClr val="757575"/>
                </a:solidFill>
                <a:latin typeface="Arial"/>
                <a:ea typeface="Arial"/>
              </a:rPr>
              <a:t>Situación general de cumplimiento</a:t>
            </a:r>
          </a:p>
        </c:rich>
      </c:tx>
      <c:overlay val="0"/>
      <c:spPr>
        <a:noFill/>
        <a:ln w="0">
          <a:noFill/>
        </a:ln>
      </c:spPr>
    </c:title>
    <c:autoTitleDeleted val="0"/>
    <c:plotArea>
      <c:barChart>
        <c:barDir val="col"/>
        <c:grouping val="clustered"/>
        <c:varyColors val="0"/>
        <c:axId val="48582790"/>
        <c:axId val="49473008"/>
      </c:barChart>
      <c:catAx>
        <c:axId val="48582790"/>
        <c:scaling>
          <c:orientation val="minMax"/>
        </c:scaling>
        <c:delete val="0"/>
        <c:axPos val="b"/>
        <c:numFmt formatCode="General" sourceLinked="1"/>
        <c:tickLblPos val="none"/>
        <c:spPr>
          <a:ln w="0">
            <a:noFill/>
          </a:ln>
        </c:spPr>
        <c:txPr>
          <a:bodyPr/>
          <a:lstStyle/>
          <a:p>
            <a:pPr>
              <a:defRPr b="0" sz="1800" spc="-1"/>
            </a:pPr>
          </a:p>
        </c:txPr>
        <c:crossAx val="49473008"/>
        <c:auto val="1"/>
        <c:lblAlgn val="ctr"/>
        <c:lblOffset val="100"/>
        <c:noMultiLvlLbl val="0"/>
      </c:catAx>
      <c:valAx>
        <c:axId val="49473008"/>
        <c:scaling>
          <c:orientation val="minMax"/>
        </c:scaling>
        <c:delete val="0"/>
        <c:axPos val="l"/>
        <c:numFmt formatCode="General" sourceLinked="1"/>
        <c:tickLblPos val="none"/>
        <c:spPr>
          <a:ln w="0">
            <a:noFill/>
          </a:ln>
        </c:spPr>
        <c:txPr>
          <a:bodyPr/>
          <a:lstStyle/>
          <a:p>
            <a:pPr>
              <a:defRPr b="0" sz="1800" spc="-1"/>
            </a:pPr>
          </a:p>
        </c:txPr>
        <c:crossAx val="48582790"/>
        <c:crossBetween val="midCat"/>
      </c:valAx>
      <c:spPr>
        <a:noFill/>
        <a:ln w="0">
          <a:noFill/>
        </a:ln>
      </c:spPr>
    </c:plotArea>
    <c:plotVisOnly val="1"/>
    <c:dispBlanksAs val="zero"/>
  </c:chart>
  <c:spPr>
    <a:solidFill>
      <a:srgbClr val="fbe4d4"/>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757575"/>
                </a:solidFill>
                <a:latin typeface="Arial"/>
                <a:ea typeface="Arial"/>
              </a:defRPr>
            </a:pPr>
            <a:r>
              <a:rPr b="1" sz="1800" spc="-1" strike="noStrike">
                <a:solidFill>
                  <a:srgbClr val="757575"/>
                </a:solidFill>
                <a:latin typeface="Arial"/>
                <a:ea typeface="Arial"/>
              </a:rPr>
              <a:t>Identificar</a:t>
            </a:r>
          </a:p>
        </c:rich>
      </c:tx>
      <c:layout>
        <c:manualLayout>
          <c:xMode val="edge"/>
          <c:yMode val="edge"/>
          <c:x val="0.0209864092589925"/>
          <c:y val="0.0245797101449275"/>
        </c:manualLayout>
      </c:layout>
      <c:overlay val="0"/>
      <c:spPr>
        <a:noFill/>
        <a:ln w="0">
          <a:noFill/>
        </a:ln>
      </c:spPr>
    </c:title>
    <c:autoTitleDeleted val="0"/>
    <c:plotArea>
      <c:barChart>
        <c:barDir val="col"/>
        <c:grouping val="clustered"/>
        <c:varyColors val="0"/>
        <c:axId val="34701452"/>
        <c:axId val="69370832"/>
      </c:barChart>
      <c:catAx>
        <c:axId val="34701452"/>
        <c:scaling>
          <c:orientation val="minMax"/>
        </c:scaling>
        <c:delete val="0"/>
        <c:axPos val="b"/>
        <c:numFmt formatCode="General" sourceLinked="1"/>
        <c:tickLblPos val="none"/>
        <c:spPr>
          <a:ln w="0">
            <a:noFill/>
          </a:ln>
        </c:spPr>
        <c:txPr>
          <a:bodyPr/>
          <a:lstStyle/>
          <a:p>
            <a:pPr>
              <a:defRPr b="0" sz="1800" spc="-1"/>
            </a:pPr>
          </a:p>
        </c:txPr>
        <c:crossAx val="69370832"/>
        <c:auto val="1"/>
        <c:lblAlgn val="ctr"/>
        <c:lblOffset val="100"/>
        <c:noMultiLvlLbl val="0"/>
      </c:catAx>
      <c:valAx>
        <c:axId val="69370832"/>
        <c:scaling>
          <c:orientation val="minMax"/>
        </c:scaling>
        <c:delete val="0"/>
        <c:axPos val="l"/>
        <c:numFmt formatCode="General" sourceLinked="1"/>
        <c:tickLblPos val="none"/>
        <c:spPr>
          <a:ln w="0">
            <a:noFill/>
          </a:ln>
        </c:spPr>
        <c:txPr>
          <a:bodyPr/>
          <a:lstStyle/>
          <a:p>
            <a:pPr>
              <a:defRPr b="0" sz="1800" spc="-1"/>
            </a:pPr>
          </a:p>
        </c:txPr>
        <c:crossAx val="34701452"/>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757575"/>
                </a:solidFill>
                <a:latin typeface="Arial"/>
                <a:ea typeface="Arial"/>
              </a:defRPr>
            </a:pPr>
            <a:r>
              <a:rPr b="1" sz="1800" spc="-1" strike="noStrike">
                <a:solidFill>
                  <a:srgbClr val="757575"/>
                </a:solidFill>
                <a:latin typeface="Arial"/>
                <a:ea typeface="Arial"/>
              </a:rPr>
              <a:t>Proteger</a:t>
            </a:r>
          </a:p>
        </c:rich>
      </c:tx>
      <c:layout>
        <c:manualLayout>
          <c:xMode val="edge"/>
          <c:yMode val="edge"/>
          <c:x val="0.0279847745670938"/>
          <c:y val="0.0520412741139524"/>
        </c:manualLayout>
      </c:layout>
      <c:overlay val="0"/>
      <c:spPr>
        <a:noFill/>
        <a:ln w="0">
          <a:noFill/>
        </a:ln>
      </c:spPr>
    </c:title>
    <c:autoTitleDeleted val="0"/>
    <c:plotArea>
      <c:barChart>
        <c:barDir val="col"/>
        <c:grouping val="clustered"/>
        <c:varyColors val="0"/>
        <c:axId val="21381362"/>
        <c:axId val="98547902"/>
      </c:barChart>
      <c:catAx>
        <c:axId val="21381362"/>
        <c:scaling>
          <c:orientation val="minMax"/>
        </c:scaling>
        <c:delete val="0"/>
        <c:axPos val="b"/>
        <c:numFmt formatCode="General" sourceLinked="1"/>
        <c:tickLblPos val="none"/>
        <c:spPr>
          <a:ln w="0">
            <a:noFill/>
          </a:ln>
        </c:spPr>
        <c:txPr>
          <a:bodyPr/>
          <a:lstStyle/>
          <a:p>
            <a:pPr>
              <a:defRPr b="0" sz="1800" spc="-1"/>
            </a:pPr>
          </a:p>
        </c:txPr>
        <c:crossAx val="98547902"/>
        <c:auto val="1"/>
        <c:lblAlgn val="ctr"/>
        <c:lblOffset val="100"/>
        <c:noMultiLvlLbl val="0"/>
      </c:catAx>
      <c:valAx>
        <c:axId val="98547902"/>
        <c:scaling>
          <c:orientation val="minMax"/>
        </c:scaling>
        <c:delete val="0"/>
        <c:axPos val="l"/>
        <c:numFmt formatCode="General" sourceLinked="1"/>
        <c:tickLblPos val="none"/>
        <c:spPr>
          <a:ln w="0">
            <a:noFill/>
          </a:ln>
        </c:spPr>
        <c:txPr>
          <a:bodyPr/>
          <a:lstStyle/>
          <a:p>
            <a:pPr>
              <a:defRPr b="0" sz="1800" spc="-1"/>
            </a:pPr>
          </a:p>
        </c:txPr>
        <c:crossAx val="21381362"/>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757575"/>
                </a:solidFill>
                <a:latin typeface="Arial"/>
                <a:ea typeface="Arial"/>
              </a:defRPr>
            </a:pPr>
            <a:r>
              <a:rPr b="1" sz="1800" spc="-1" strike="noStrike">
                <a:solidFill>
                  <a:srgbClr val="757575"/>
                </a:solidFill>
                <a:latin typeface="Arial"/>
                <a:ea typeface="Arial"/>
              </a:rPr>
              <a:t>Detectar</a:t>
            </a:r>
          </a:p>
        </c:rich>
      </c:tx>
      <c:layout>
        <c:manualLayout>
          <c:xMode val="edge"/>
          <c:yMode val="edge"/>
          <c:x val="0.0331313714175803"/>
          <c:y val="0.0471881800481045"/>
        </c:manualLayout>
      </c:layout>
      <c:overlay val="0"/>
      <c:spPr>
        <a:noFill/>
        <a:ln w="0">
          <a:noFill/>
        </a:ln>
      </c:spPr>
    </c:title>
    <c:autoTitleDeleted val="0"/>
    <c:plotArea>
      <c:barChart>
        <c:barDir val="col"/>
        <c:grouping val="clustered"/>
        <c:varyColors val="0"/>
        <c:axId val="73920992"/>
        <c:axId val="46738313"/>
      </c:barChart>
      <c:catAx>
        <c:axId val="73920992"/>
        <c:scaling>
          <c:orientation val="minMax"/>
        </c:scaling>
        <c:delete val="0"/>
        <c:axPos val="b"/>
        <c:numFmt formatCode="General" sourceLinked="1"/>
        <c:tickLblPos val="none"/>
        <c:spPr>
          <a:ln w="0">
            <a:noFill/>
          </a:ln>
        </c:spPr>
        <c:txPr>
          <a:bodyPr/>
          <a:lstStyle/>
          <a:p>
            <a:pPr>
              <a:defRPr b="0" sz="1800" spc="-1"/>
            </a:pPr>
          </a:p>
        </c:txPr>
        <c:crossAx val="46738313"/>
        <c:auto val="1"/>
        <c:lblAlgn val="ctr"/>
        <c:lblOffset val="100"/>
        <c:noMultiLvlLbl val="0"/>
      </c:catAx>
      <c:valAx>
        <c:axId val="46738313"/>
        <c:scaling>
          <c:orientation val="minMax"/>
        </c:scaling>
        <c:delete val="0"/>
        <c:axPos val="l"/>
        <c:numFmt formatCode="General" sourceLinked="1"/>
        <c:tickLblPos val="none"/>
        <c:spPr>
          <a:ln w="0">
            <a:noFill/>
          </a:ln>
        </c:spPr>
        <c:txPr>
          <a:bodyPr/>
          <a:lstStyle/>
          <a:p>
            <a:pPr>
              <a:defRPr b="0" sz="1800" spc="-1"/>
            </a:pPr>
          </a:p>
        </c:txPr>
        <c:crossAx val="73920992"/>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757575"/>
                </a:solidFill>
                <a:latin typeface="Arial"/>
                <a:ea typeface="Arial"/>
              </a:defRPr>
            </a:pPr>
            <a:r>
              <a:rPr b="1" sz="1800" spc="-1" strike="noStrike">
                <a:solidFill>
                  <a:srgbClr val="757575"/>
                </a:solidFill>
                <a:latin typeface="Arial"/>
                <a:ea typeface="Arial"/>
              </a:rPr>
              <a:t>Responder</a:t>
            </a:r>
          </a:p>
        </c:rich>
      </c:tx>
      <c:layout>
        <c:manualLayout>
          <c:xMode val="edge"/>
          <c:yMode val="edge"/>
          <c:x val="0.0241197372671476"/>
          <c:y val="0.034282253179891"/>
        </c:manualLayout>
      </c:layout>
      <c:overlay val="0"/>
      <c:spPr>
        <a:noFill/>
        <a:ln w="0">
          <a:noFill/>
        </a:ln>
      </c:spPr>
    </c:title>
    <c:autoTitleDeleted val="0"/>
    <c:plotArea>
      <c:barChart>
        <c:barDir val="col"/>
        <c:grouping val="clustered"/>
        <c:varyColors val="0"/>
        <c:axId val="75313749"/>
        <c:axId val="67578605"/>
      </c:barChart>
      <c:catAx>
        <c:axId val="75313749"/>
        <c:scaling>
          <c:orientation val="minMax"/>
        </c:scaling>
        <c:delete val="0"/>
        <c:axPos val="b"/>
        <c:numFmt formatCode="General" sourceLinked="1"/>
        <c:tickLblPos val="none"/>
        <c:spPr>
          <a:ln w="0">
            <a:noFill/>
          </a:ln>
        </c:spPr>
        <c:txPr>
          <a:bodyPr/>
          <a:lstStyle/>
          <a:p>
            <a:pPr>
              <a:defRPr b="0" sz="1800" spc="-1"/>
            </a:pPr>
          </a:p>
        </c:txPr>
        <c:crossAx val="67578605"/>
        <c:auto val="1"/>
        <c:lblAlgn val="ctr"/>
        <c:lblOffset val="100"/>
        <c:noMultiLvlLbl val="0"/>
      </c:catAx>
      <c:valAx>
        <c:axId val="67578605"/>
        <c:scaling>
          <c:orientation val="minMax"/>
        </c:scaling>
        <c:delete val="0"/>
        <c:axPos val="l"/>
        <c:numFmt formatCode="General" sourceLinked="1"/>
        <c:tickLblPos val="none"/>
        <c:spPr>
          <a:ln w="0">
            <a:noFill/>
          </a:ln>
        </c:spPr>
        <c:txPr>
          <a:bodyPr/>
          <a:lstStyle/>
          <a:p>
            <a:pPr>
              <a:defRPr b="0" sz="1800" spc="-1"/>
            </a:pPr>
          </a:p>
        </c:txPr>
        <c:crossAx val="75313749"/>
        <c:crossBetween val="midCat"/>
      </c:valAx>
      <c:spPr>
        <a:noFill/>
        <a:ln w="0">
          <a:noFill/>
        </a:ln>
      </c:spPr>
    </c:plotArea>
    <c:plotVisOnly val="1"/>
    <c:dispBlanksAs val="zero"/>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757575"/>
                </a:solidFill>
                <a:latin typeface="Arial"/>
                <a:ea typeface="Arial"/>
              </a:defRPr>
            </a:pPr>
            <a:r>
              <a:rPr b="1" sz="1800" spc="-1" strike="noStrike">
                <a:solidFill>
                  <a:srgbClr val="757575"/>
                </a:solidFill>
                <a:latin typeface="Arial"/>
                <a:ea typeface="Arial"/>
              </a:rPr>
              <a:t>Recuperar</a:t>
            </a:r>
          </a:p>
        </c:rich>
      </c:tx>
      <c:layout>
        <c:manualLayout>
          <c:xMode val="edge"/>
          <c:yMode val="edge"/>
          <c:x val="0.0410487034733518"/>
          <c:y val="0.0454274472397758"/>
        </c:manualLayout>
      </c:layout>
      <c:overlay val="0"/>
      <c:spPr>
        <a:noFill/>
        <a:ln w="0">
          <a:noFill/>
        </a:ln>
      </c:spPr>
    </c:title>
    <c:autoTitleDeleted val="0"/>
    <c:plotArea>
      <c:barChart>
        <c:barDir val="col"/>
        <c:grouping val="clustered"/>
        <c:varyColors val="0"/>
        <c:axId val="45649710"/>
        <c:axId val="9941995"/>
      </c:barChart>
      <c:catAx>
        <c:axId val="45649710"/>
        <c:scaling>
          <c:orientation val="minMax"/>
        </c:scaling>
        <c:delete val="0"/>
        <c:axPos val="b"/>
        <c:numFmt formatCode="General" sourceLinked="1"/>
        <c:tickLblPos val="none"/>
        <c:spPr>
          <a:ln w="0">
            <a:noFill/>
          </a:ln>
        </c:spPr>
        <c:txPr>
          <a:bodyPr/>
          <a:lstStyle/>
          <a:p>
            <a:pPr>
              <a:defRPr b="0" sz="1800" spc="-1"/>
            </a:pPr>
          </a:p>
        </c:txPr>
        <c:crossAx val="9941995"/>
        <c:auto val="1"/>
        <c:lblAlgn val="ctr"/>
        <c:lblOffset val="100"/>
        <c:noMultiLvlLbl val="0"/>
      </c:catAx>
      <c:valAx>
        <c:axId val="9941995"/>
        <c:scaling>
          <c:orientation val="minMax"/>
        </c:scaling>
        <c:delete val="0"/>
        <c:axPos val="l"/>
        <c:numFmt formatCode="General" sourceLinked="1"/>
        <c:tickLblPos val="none"/>
        <c:spPr>
          <a:ln w="0">
            <a:noFill/>
          </a:ln>
        </c:spPr>
        <c:txPr>
          <a:bodyPr/>
          <a:lstStyle/>
          <a:p>
            <a:pPr>
              <a:defRPr b="0" sz="1800" spc="-1"/>
            </a:pPr>
          </a:p>
        </c:txPr>
        <c:crossAx val="45649710"/>
        <c:crossBetween val="midCat"/>
      </c:valAx>
      <c:spPr>
        <a:noFill/>
        <a:ln w="0">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 Id="rId5" Type="http://schemas.openxmlformats.org/officeDocument/2006/relationships/image" Target="../media/image2.png"/>
</Relationships>
</file>

<file path=xl/drawings/_rels/drawing7.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chart" Target="../charts/chart8.xml"/><Relationship Id="rId6"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19</xdr:row>
      <xdr:rowOff>19080</xdr:rowOff>
    </xdr:from>
    <xdr:to>
      <xdr:col>16</xdr:col>
      <xdr:colOff>482760</xdr:colOff>
      <xdr:row>35</xdr:row>
      <xdr:rowOff>9360</xdr:rowOff>
    </xdr:to>
    <xdr:graphicFrame>
      <xdr:nvGraphicFramePr>
        <xdr:cNvPr id="0" name="Chart 1"/>
        <xdr:cNvGraphicFramePr/>
      </xdr:nvGraphicFramePr>
      <xdr:xfrm>
        <a:off x="7683480" y="3095640"/>
        <a:ext cx="7524360" cy="3781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295200</xdr:colOff>
      <xdr:row>55</xdr:row>
      <xdr:rowOff>28440</xdr:rowOff>
    </xdr:from>
    <xdr:to>
      <xdr:col>18</xdr:col>
      <xdr:colOff>408960</xdr:colOff>
      <xdr:row>84</xdr:row>
      <xdr:rowOff>66240</xdr:rowOff>
    </xdr:to>
    <xdr:graphicFrame>
      <xdr:nvGraphicFramePr>
        <xdr:cNvPr id="1" name="Chart 2"/>
        <xdr:cNvGraphicFramePr/>
      </xdr:nvGraphicFramePr>
      <xdr:xfrm>
        <a:off x="665280" y="12334680"/>
        <a:ext cx="15773040" cy="4733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171360</xdr:colOff>
      <xdr:row>38</xdr:row>
      <xdr:rowOff>0</xdr:rowOff>
    </xdr:from>
    <xdr:to>
      <xdr:col>17</xdr:col>
      <xdr:colOff>16200</xdr:colOff>
      <xdr:row>53</xdr:row>
      <xdr:rowOff>323280</xdr:rowOff>
    </xdr:to>
    <xdr:graphicFrame>
      <xdr:nvGraphicFramePr>
        <xdr:cNvPr id="2" name="Chart 3"/>
        <xdr:cNvGraphicFramePr/>
      </xdr:nvGraphicFramePr>
      <xdr:xfrm>
        <a:off x="6744960" y="7610400"/>
        <a:ext cx="8648280" cy="45334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847800</xdr:colOff>
      <xdr:row>7</xdr:row>
      <xdr:rowOff>114480</xdr:rowOff>
    </xdr:from>
    <xdr:to>
      <xdr:col>19</xdr:col>
      <xdr:colOff>435960</xdr:colOff>
      <xdr:row>12</xdr:row>
      <xdr:rowOff>95040</xdr:rowOff>
    </xdr:to>
    <xdr:pic>
      <xdr:nvPicPr>
        <xdr:cNvPr id="3" name="image1.png" descr=""/>
        <xdr:cNvPicPr/>
      </xdr:nvPicPr>
      <xdr:blipFill>
        <a:blip r:embed="rId4"/>
        <a:stretch/>
      </xdr:blipFill>
      <xdr:spPr>
        <a:xfrm>
          <a:off x="1544400" y="1248120"/>
          <a:ext cx="15572880" cy="790200"/>
        </a:xfrm>
        <a:prstGeom prst="rect">
          <a:avLst/>
        </a:prstGeom>
        <a:ln w="0">
          <a:noFill/>
        </a:ln>
      </xdr:spPr>
    </xdr:pic>
    <xdr:clientData/>
  </xdr:twoCellAnchor>
  <xdr:twoCellAnchor editAs="oneCell">
    <xdr:from>
      <xdr:col>2</xdr:col>
      <xdr:colOff>800280</xdr:colOff>
      <xdr:row>3</xdr:row>
      <xdr:rowOff>114480</xdr:rowOff>
    </xdr:from>
    <xdr:to>
      <xdr:col>4</xdr:col>
      <xdr:colOff>285480</xdr:colOff>
      <xdr:row>9</xdr:row>
      <xdr:rowOff>142560</xdr:rowOff>
    </xdr:to>
    <xdr:pic>
      <xdr:nvPicPr>
        <xdr:cNvPr id="4" name="image2.png" descr=""/>
        <xdr:cNvPicPr/>
      </xdr:nvPicPr>
      <xdr:blipFill>
        <a:blip r:embed="rId5"/>
        <a:stretch/>
      </xdr:blipFill>
      <xdr:spPr>
        <a:xfrm>
          <a:off x="1496880" y="600120"/>
          <a:ext cx="5362200" cy="999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18</xdr:col>
      <xdr:colOff>133200</xdr:colOff>
      <xdr:row>3</xdr:row>
      <xdr:rowOff>104760</xdr:rowOff>
    </xdr:from>
    <xdr:to>
      <xdr:col>28</xdr:col>
      <xdr:colOff>186840</xdr:colOff>
      <xdr:row>5</xdr:row>
      <xdr:rowOff>142560</xdr:rowOff>
    </xdr:to>
    <xdr:sp>
      <xdr:nvSpPr>
        <xdr:cNvPr id="5" name="Shape 3"/>
        <xdr:cNvSpPr/>
      </xdr:nvSpPr>
      <xdr:spPr>
        <a:xfrm>
          <a:off x="28203840" y="905040"/>
          <a:ext cx="1990440" cy="361440"/>
        </a:xfrm>
        <a:prstGeom prst="rect">
          <a:avLst/>
        </a:prstGeom>
        <a:solidFill>
          <a:srgbClr val="ffffff"/>
        </a:solidFill>
        <a:ln w="9525">
          <a:solidFill>
            <a:srgbClr val="000000"/>
          </a:solidFill>
          <a:miter/>
        </a:ln>
      </xdr:spPr>
      <xdr:style>
        <a:lnRef idx="0"/>
        <a:fillRef idx="0"/>
        <a:effectRef idx="0"/>
        <a:fontRef idx="minor"/>
      </xdr:style>
      <xdr:txBody>
        <a:bodyPr lIns="27360" rIns="0" tIns="18360" bIns="0" anchor="t">
          <a:noAutofit/>
        </a:bodyPr>
        <a:p>
          <a:pPr>
            <a:lnSpc>
              <a:spcPct val="100000"/>
            </a:lnSpc>
            <a:tabLst>
              <a:tab algn="l" pos="0"/>
            </a:tabLst>
          </a:pPr>
          <a:r>
            <a:rPr b="0" lang="en-US" sz="1000" spc="-1" strike="noStrike">
              <a:solidFill>
                <a:srgbClr val="000000"/>
              </a:solidFill>
              <a:latin typeface="Arial"/>
              <a:ea typeface="Arial"/>
            </a:rPr>
            <a:t>                   </a:t>
          </a:r>
          <a:r>
            <a:rPr b="0" lang="en-US" sz="1000" spc="-1" strike="noStrike">
              <a:solidFill>
                <a:srgbClr val="000000"/>
              </a:solidFill>
              <a:latin typeface="Arial"/>
              <a:ea typeface="Arial"/>
            </a:rPr>
            <a:t>2016</a:t>
          </a:r>
          <a:r>
            <a:rPr b="0" lang="en-US" sz="1000" spc="-1" strike="noStrike">
              <a:solidFill>
                <a:srgbClr val="000000"/>
              </a:solidFill>
              <a:latin typeface="Arial"/>
              <a:ea typeface="Arial"/>
            </a:rPr>
            <a:t>	</a:t>
          </a:r>
          <a:endParaRPr b="0" lang="es-ES" sz="1000" spc="-1" strike="noStrike">
            <a:latin typeface="Times New Roman"/>
          </a:endParaRPr>
        </a:p>
      </xdr:txBody>
    </xdr:sp>
    <xdr:clientData/>
  </xdr:twoCellAnchor>
  <xdr:twoCellAnchor editAs="oneCell">
    <xdr:from>
      <xdr:col>29</xdr:col>
      <xdr:colOff>76320</xdr:colOff>
      <xdr:row>3</xdr:row>
      <xdr:rowOff>114480</xdr:rowOff>
    </xdr:from>
    <xdr:to>
      <xdr:col>39</xdr:col>
      <xdr:colOff>101160</xdr:colOff>
      <xdr:row>5</xdr:row>
      <xdr:rowOff>133560</xdr:rowOff>
    </xdr:to>
    <xdr:sp>
      <xdr:nvSpPr>
        <xdr:cNvPr id="6" name="Shape 4"/>
        <xdr:cNvSpPr/>
      </xdr:nvSpPr>
      <xdr:spPr>
        <a:xfrm>
          <a:off x="30277440" y="914760"/>
          <a:ext cx="1961640" cy="342720"/>
        </a:xfrm>
        <a:prstGeom prst="rect">
          <a:avLst/>
        </a:prstGeom>
        <a:solidFill>
          <a:srgbClr val="ffffff"/>
        </a:solidFill>
        <a:ln w="9525">
          <a:solidFill>
            <a:srgbClr val="000000"/>
          </a:solidFill>
          <a:miter/>
        </a:ln>
      </xdr:spPr>
      <xdr:style>
        <a:lnRef idx="0"/>
        <a:fillRef idx="0"/>
        <a:effectRef idx="0"/>
        <a:fontRef idx="minor"/>
      </xdr:style>
      <xdr:txBody>
        <a:bodyPr lIns="27360" rIns="0" tIns="18360" bIns="0" anchor="t">
          <a:noAutofit/>
        </a:bodyPr>
        <a:p>
          <a:pPr>
            <a:lnSpc>
              <a:spcPct val="100000"/>
            </a:lnSpc>
            <a:tabLst>
              <a:tab algn="l" pos="0"/>
            </a:tabLst>
          </a:pPr>
          <a:r>
            <a:rPr b="0" lang="en-US" sz="1000" spc="-1" strike="noStrike">
              <a:solidFill>
                <a:srgbClr val="000000"/>
              </a:solidFill>
              <a:latin typeface="Arial"/>
              <a:ea typeface="Arial"/>
            </a:rPr>
            <a:t>                 </a:t>
          </a:r>
          <a:r>
            <a:rPr b="0" lang="en-US" sz="1000" spc="-1" strike="noStrike">
              <a:solidFill>
                <a:srgbClr val="000000"/>
              </a:solidFill>
              <a:latin typeface="Arial"/>
              <a:ea typeface="Arial"/>
            </a:rPr>
            <a:t>2017</a:t>
          </a:r>
          <a:endParaRPr b="0" lang="es-ES" sz="1000" spc="-1" strike="noStrike">
            <a:latin typeface="Times New Roman"/>
          </a:endParaRPr>
        </a:p>
      </xdr:txBody>
    </xdr:sp>
    <xdr:clientData/>
  </xdr:twoCellAnchor>
  <xdr:twoCellAnchor editAs="oneCell">
    <xdr:from>
      <xdr:col>41</xdr:col>
      <xdr:colOff>38160</xdr:colOff>
      <xdr:row>3</xdr:row>
      <xdr:rowOff>114480</xdr:rowOff>
    </xdr:from>
    <xdr:to>
      <xdr:col>51</xdr:col>
      <xdr:colOff>63000</xdr:colOff>
      <xdr:row>5</xdr:row>
      <xdr:rowOff>133560</xdr:rowOff>
    </xdr:to>
    <xdr:sp>
      <xdr:nvSpPr>
        <xdr:cNvPr id="7" name="Shape 5"/>
        <xdr:cNvSpPr/>
      </xdr:nvSpPr>
      <xdr:spPr>
        <a:xfrm>
          <a:off x="32563440" y="914760"/>
          <a:ext cx="1961640" cy="342720"/>
        </a:xfrm>
        <a:prstGeom prst="rect">
          <a:avLst/>
        </a:prstGeom>
        <a:solidFill>
          <a:srgbClr val="ffffff"/>
        </a:solidFill>
        <a:ln w="9525">
          <a:solidFill>
            <a:srgbClr val="000000"/>
          </a:solidFill>
          <a:miter/>
        </a:ln>
      </xdr:spPr>
      <xdr:style>
        <a:lnRef idx="0"/>
        <a:fillRef idx="0"/>
        <a:effectRef idx="0"/>
        <a:fontRef idx="minor"/>
      </xdr:style>
      <xdr:txBody>
        <a:bodyPr lIns="27360" rIns="0" tIns="18360" bIns="0" anchor="t">
          <a:noAutofit/>
        </a:bodyPr>
        <a:p>
          <a:pPr>
            <a:lnSpc>
              <a:spcPct val="100000"/>
            </a:lnSpc>
            <a:tabLst>
              <a:tab algn="l" pos="0"/>
            </a:tabLst>
          </a:pPr>
          <a:r>
            <a:rPr b="0" lang="en-US" sz="1000" spc="-1" strike="noStrike">
              <a:solidFill>
                <a:srgbClr val="000000"/>
              </a:solidFill>
              <a:latin typeface="Arial"/>
              <a:ea typeface="Arial"/>
            </a:rPr>
            <a:t>                 </a:t>
          </a:r>
          <a:r>
            <a:rPr b="0" lang="en-US" sz="1000" spc="-1" strike="noStrike">
              <a:solidFill>
                <a:srgbClr val="000000"/>
              </a:solidFill>
              <a:latin typeface="Arial"/>
              <a:ea typeface="Arial"/>
            </a:rPr>
            <a:t>2018</a:t>
          </a:r>
          <a:endParaRPr b="0" lang="es-ES" sz="1000" spc="-1" strike="noStrike">
            <a:latin typeface="Times New Roman"/>
          </a:endParaRPr>
        </a:p>
      </xdr:txBody>
    </xdr:sp>
    <xdr:clientData/>
  </xdr:twoCellAnchor>
  <xdr:twoCellAnchor editAs="oneCell">
    <xdr:from>
      <xdr:col>53</xdr:col>
      <xdr:colOff>28440</xdr:colOff>
      <xdr:row>3</xdr:row>
      <xdr:rowOff>104760</xdr:rowOff>
    </xdr:from>
    <xdr:to>
      <xdr:col>62</xdr:col>
      <xdr:colOff>94680</xdr:colOff>
      <xdr:row>5</xdr:row>
      <xdr:rowOff>123840</xdr:rowOff>
    </xdr:to>
    <xdr:sp>
      <xdr:nvSpPr>
        <xdr:cNvPr id="8" name="Shape 6"/>
        <xdr:cNvSpPr/>
      </xdr:nvSpPr>
      <xdr:spPr>
        <a:xfrm>
          <a:off x="34877880" y="905040"/>
          <a:ext cx="1809360" cy="342720"/>
        </a:xfrm>
        <a:prstGeom prst="rect">
          <a:avLst/>
        </a:prstGeom>
        <a:solidFill>
          <a:srgbClr val="ffffff"/>
        </a:solidFill>
        <a:ln w="9525">
          <a:solidFill>
            <a:srgbClr val="000000"/>
          </a:solidFill>
          <a:miter/>
        </a:ln>
      </xdr:spPr>
      <xdr:style>
        <a:lnRef idx="0"/>
        <a:fillRef idx="0"/>
        <a:effectRef idx="0"/>
        <a:fontRef idx="minor"/>
      </xdr:style>
      <xdr:txBody>
        <a:bodyPr lIns="27360" rIns="0" tIns="18360" bIns="0" anchor="t">
          <a:noAutofit/>
        </a:bodyPr>
        <a:p>
          <a:pPr>
            <a:lnSpc>
              <a:spcPct val="100000"/>
            </a:lnSpc>
            <a:tabLst>
              <a:tab algn="l" pos="0"/>
            </a:tabLst>
          </a:pPr>
          <a:r>
            <a:rPr b="0" lang="en-US" sz="1000" spc="-1" strike="noStrike">
              <a:solidFill>
                <a:srgbClr val="000000"/>
              </a:solidFill>
              <a:latin typeface="Arial"/>
              <a:ea typeface="Arial"/>
            </a:rPr>
            <a:t>                 </a:t>
          </a:r>
          <a:r>
            <a:rPr b="0" lang="en-US" sz="1000" spc="-1" strike="noStrike">
              <a:solidFill>
                <a:srgbClr val="000000"/>
              </a:solidFill>
              <a:latin typeface="Arial"/>
              <a:ea typeface="Arial"/>
            </a:rPr>
            <a:t>2019</a:t>
          </a:r>
          <a:endParaRPr b="0" lang="es-ES" sz="10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47520</xdr:colOff>
      <xdr:row>149</xdr:row>
      <xdr:rowOff>0</xdr:rowOff>
    </xdr:from>
    <xdr:to>
      <xdr:col>2</xdr:col>
      <xdr:colOff>3519360</xdr:colOff>
      <xdr:row>167</xdr:row>
      <xdr:rowOff>161640</xdr:rowOff>
    </xdr:to>
    <xdr:graphicFrame>
      <xdr:nvGraphicFramePr>
        <xdr:cNvPr id="9" name="Chart 4"/>
        <xdr:cNvGraphicFramePr/>
      </xdr:nvGraphicFramePr>
      <xdr:xfrm>
        <a:off x="47520" y="64093680"/>
        <a:ext cx="6714720" cy="3076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3324240</xdr:colOff>
      <xdr:row>148</xdr:row>
      <xdr:rowOff>152280</xdr:rowOff>
    </xdr:from>
    <xdr:to>
      <xdr:col>11</xdr:col>
      <xdr:colOff>731160</xdr:colOff>
      <xdr:row>168</xdr:row>
      <xdr:rowOff>18360</xdr:rowOff>
    </xdr:to>
    <xdr:graphicFrame>
      <xdr:nvGraphicFramePr>
        <xdr:cNvPr id="10" name="Chart 5"/>
        <xdr:cNvGraphicFramePr/>
      </xdr:nvGraphicFramePr>
      <xdr:xfrm>
        <a:off x="6567120" y="64083960"/>
        <a:ext cx="7495920" cy="3104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66600</xdr:colOff>
      <xdr:row>168</xdr:row>
      <xdr:rowOff>95400</xdr:rowOff>
    </xdr:from>
    <xdr:to>
      <xdr:col>2</xdr:col>
      <xdr:colOff>3538440</xdr:colOff>
      <xdr:row>188</xdr:row>
      <xdr:rowOff>66240</xdr:rowOff>
    </xdr:to>
    <xdr:graphicFrame>
      <xdr:nvGraphicFramePr>
        <xdr:cNvPr id="11" name="Chart 6"/>
        <xdr:cNvGraphicFramePr/>
      </xdr:nvGraphicFramePr>
      <xdr:xfrm>
        <a:off x="66600" y="67265640"/>
        <a:ext cx="6714720" cy="32094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3352680</xdr:colOff>
      <xdr:row>168</xdr:row>
      <xdr:rowOff>114480</xdr:rowOff>
    </xdr:from>
    <xdr:to>
      <xdr:col>11</xdr:col>
      <xdr:colOff>749880</xdr:colOff>
      <xdr:row>188</xdr:row>
      <xdr:rowOff>18720</xdr:rowOff>
    </xdr:to>
    <xdr:graphicFrame>
      <xdr:nvGraphicFramePr>
        <xdr:cNvPr id="12" name="Chart 7"/>
        <xdr:cNvGraphicFramePr/>
      </xdr:nvGraphicFramePr>
      <xdr:xfrm>
        <a:off x="6595560" y="67284720"/>
        <a:ext cx="7486200" cy="31428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95400</xdr:colOff>
      <xdr:row>189</xdr:row>
      <xdr:rowOff>28440</xdr:rowOff>
    </xdr:from>
    <xdr:to>
      <xdr:col>2</xdr:col>
      <xdr:colOff>3538800</xdr:colOff>
      <xdr:row>207</xdr:row>
      <xdr:rowOff>85320</xdr:rowOff>
    </xdr:to>
    <xdr:graphicFrame>
      <xdr:nvGraphicFramePr>
        <xdr:cNvPr id="13" name="Chart 8"/>
        <xdr:cNvGraphicFramePr/>
      </xdr:nvGraphicFramePr>
      <xdr:xfrm>
        <a:off x="95400" y="70599240"/>
        <a:ext cx="6686280" cy="29714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3381480</xdr:colOff>
      <xdr:row>188</xdr:row>
      <xdr:rowOff>152280</xdr:rowOff>
    </xdr:from>
    <xdr:to>
      <xdr:col>12</xdr:col>
      <xdr:colOff>14760</xdr:colOff>
      <xdr:row>207</xdr:row>
      <xdr:rowOff>94680</xdr:rowOff>
    </xdr:to>
    <xdr:graphicFrame>
      <xdr:nvGraphicFramePr>
        <xdr:cNvPr id="14" name="Chart 9"/>
        <xdr:cNvGraphicFramePr/>
      </xdr:nvGraphicFramePr>
      <xdr:xfrm>
        <a:off x="6624360" y="70561080"/>
        <a:ext cx="7524360" cy="301896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380880</xdr:colOff>
      <xdr:row>1</xdr:row>
      <xdr:rowOff>66600</xdr:rowOff>
    </xdr:from>
    <xdr:to>
      <xdr:col>1</xdr:col>
      <xdr:colOff>1896120</xdr:colOff>
      <xdr:row>7</xdr:row>
      <xdr:rowOff>114120</xdr:rowOff>
    </xdr:to>
    <xdr:sp>
      <xdr:nvSpPr>
        <xdr:cNvPr id="15" name="Shape 7"/>
        <xdr:cNvSpPr/>
      </xdr:nvSpPr>
      <xdr:spPr>
        <a:xfrm>
          <a:off x="380880" y="228600"/>
          <a:ext cx="2123640" cy="1056960"/>
        </a:xfrm>
        <a:prstGeom prst="roundRect">
          <a:avLst>
            <a:gd name="adj" fmla="val 16667"/>
          </a:avLst>
        </a:prstGeom>
        <a:solidFill>
          <a:srgbClr val="ffffff"/>
        </a:solidFill>
        <a:ln w="12700">
          <a:solidFill>
            <a:srgbClr val="ed7d31"/>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75"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5.25"/>
    <col collapsed="false" customWidth="true" hidden="false" outlineLevel="0" max="2" min="2" style="0" width="4.63"/>
    <col collapsed="false" customWidth="true" hidden="false" outlineLevel="0" max="3" min="3" style="0" width="73.75"/>
    <col collapsed="false" customWidth="true" hidden="false" outlineLevel="0" max="4" min="4" style="0" width="9.63"/>
    <col collapsed="false" customWidth="true" hidden="false" outlineLevel="0" max="5" min="5" style="0" width="15.75"/>
    <col collapsed="false" customWidth="true" hidden="false" outlineLevel="0" max="6" min="6" style="0" width="7.63"/>
    <col collapsed="false" customWidth="true" hidden="false" outlineLevel="0" max="7" min="7" style="0" width="10.63"/>
    <col collapsed="false" customWidth="true" hidden="false" outlineLevel="0" max="8" min="8" style="0" width="8"/>
    <col collapsed="false" customWidth="true" hidden="false" outlineLevel="0" max="9" min="9" style="0" width="9.25"/>
    <col collapsed="false" customWidth="true" hidden="false" outlineLevel="0" max="10" min="10" style="0" width="7.75"/>
    <col collapsed="false" customWidth="true" hidden="false" outlineLevel="0" max="11" min="11" style="0" width="9.25"/>
    <col collapsed="false" customWidth="true" hidden="false" outlineLevel="0" max="12" min="12" style="0" width="11.25"/>
    <col collapsed="false" customWidth="true" hidden="false" outlineLevel="0" max="15" min="13" style="0" width="9.25"/>
    <col collapsed="false" customWidth="true" hidden="false" outlineLevel="0" max="16" min="16" style="0" width="8.38"/>
    <col collapsed="false" customWidth="true" hidden="false" outlineLevel="0" max="26" min="17" style="0" width="9.25"/>
  </cols>
  <sheetData>
    <row r="1" customFormat="false" ht="12.75" hidden="false" customHeight="true" outlineLevel="0" collapsed="false">
      <c r="A1" s="1"/>
      <c r="B1" s="2"/>
      <c r="C1" s="2"/>
      <c r="D1" s="2"/>
      <c r="E1" s="2"/>
      <c r="F1" s="2"/>
      <c r="G1" s="2"/>
      <c r="H1" s="2"/>
      <c r="I1" s="2"/>
      <c r="J1" s="2"/>
      <c r="K1" s="2"/>
      <c r="L1" s="2"/>
      <c r="M1" s="2"/>
      <c r="N1" s="2"/>
      <c r="O1" s="2"/>
      <c r="P1" s="2"/>
      <c r="Q1" s="2"/>
      <c r="R1" s="1"/>
      <c r="S1" s="1"/>
      <c r="T1" s="1"/>
      <c r="U1" s="1"/>
      <c r="V1" s="1"/>
      <c r="W1" s="1"/>
      <c r="X1" s="1"/>
      <c r="Y1" s="1"/>
      <c r="Z1" s="1"/>
    </row>
    <row r="2" customFormat="false" ht="12.75" hidden="false" customHeight="true" outlineLevel="0" collapsed="false">
      <c r="A2" s="1"/>
      <c r="B2" s="2"/>
      <c r="C2" s="2"/>
      <c r="D2" s="2"/>
      <c r="E2" s="2"/>
      <c r="F2" s="2"/>
      <c r="G2" s="2"/>
      <c r="H2" s="2"/>
      <c r="I2" s="2"/>
      <c r="J2" s="2"/>
      <c r="K2" s="2"/>
      <c r="L2" s="2"/>
      <c r="M2" s="2"/>
      <c r="N2" s="2"/>
      <c r="O2" s="2"/>
      <c r="P2" s="2"/>
      <c r="Q2" s="2"/>
      <c r="R2" s="1"/>
      <c r="S2" s="1"/>
      <c r="T2" s="1"/>
      <c r="U2" s="1"/>
      <c r="V2" s="1"/>
      <c r="W2" s="1"/>
      <c r="X2" s="1"/>
      <c r="Y2" s="1"/>
      <c r="Z2" s="1"/>
    </row>
    <row r="3" customFormat="false" ht="12.75" hidden="false" customHeight="true" outlineLevel="0" collapsed="false">
      <c r="A3" s="1"/>
      <c r="B3" s="2"/>
      <c r="C3" s="2"/>
      <c r="D3" s="2"/>
      <c r="E3" s="2"/>
      <c r="F3" s="2"/>
      <c r="G3" s="2"/>
      <c r="H3" s="2"/>
      <c r="I3" s="2"/>
      <c r="J3" s="2"/>
      <c r="K3" s="2"/>
      <c r="L3" s="2"/>
      <c r="M3" s="2"/>
      <c r="N3" s="2"/>
      <c r="O3" s="2"/>
      <c r="P3" s="2"/>
      <c r="Q3" s="2"/>
      <c r="R3" s="1"/>
      <c r="S3" s="1"/>
      <c r="T3" s="1"/>
      <c r="U3" s="1"/>
      <c r="V3" s="1"/>
      <c r="W3" s="1"/>
      <c r="X3" s="1"/>
      <c r="Y3" s="1"/>
      <c r="Z3" s="1"/>
    </row>
    <row r="4" customFormat="false" ht="12.75" hidden="false" customHeight="true" outlineLevel="0" collapsed="false">
      <c r="A4" s="1"/>
      <c r="B4" s="2"/>
      <c r="C4" s="2"/>
      <c r="D4" s="2"/>
      <c r="E4" s="2"/>
      <c r="F4" s="2"/>
      <c r="G4" s="2"/>
      <c r="H4" s="2"/>
      <c r="I4" s="2"/>
      <c r="J4" s="2"/>
      <c r="K4" s="2"/>
      <c r="L4" s="2"/>
      <c r="M4" s="2"/>
      <c r="N4" s="2"/>
      <c r="O4" s="2"/>
      <c r="P4" s="2"/>
      <c r="Q4" s="2"/>
      <c r="R4" s="1"/>
      <c r="S4" s="1"/>
      <c r="T4" s="1"/>
      <c r="U4" s="1"/>
      <c r="V4" s="1"/>
      <c r="W4" s="1"/>
      <c r="X4" s="1"/>
      <c r="Y4" s="1"/>
      <c r="Z4" s="1"/>
    </row>
    <row r="5" customFormat="false" ht="12.75" hidden="false" customHeight="true" outlineLevel="0" collapsed="false">
      <c r="A5" s="1"/>
      <c r="B5" s="2"/>
      <c r="C5" s="2"/>
      <c r="D5" s="2"/>
      <c r="E5" s="2"/>
      <c r="F5" s="2"/>
      <c r="G5" s="2"/>
      <c r="H5" s="2"/>
      <c r="I5" s="2"/>
      <c r="J5" s="2"/>
      <c r="K5" s="2"/>
      <c r="L5" s="2"/>
      <c r="M5" s="2"/>
      <c r="N5" s="2"/>
      <c r="O5" s="2"/>
      <c r="P5" s="2"/>
      <c r="Q5" s="2"/>
      <c r="R5" s="1"/>
      <c r="S5" s="1"/>
      <c r="T5" s="1"/>
      <c r="U5" s="1"/>
      <c r="V5" s="1"/>
      <c r="W5" s="1"/>
      <c r="X5" s="1"/>
      <c r="Y5" s="1"/>
      <c r="Z5" s="1"/>
    </row>
    <row r="6" customFormat="false" ht="12.75" hidden="false" customHeight="true" outlineLevel="0" collapsed="false">
      <c r="A6" s="1"/>
      <c r="B6" s="2"/>
      <c r="C6" s="2"/>
      <c r="D6" s="2"/>
      <c r="E6" s="2"/>
      <c r="F6" s="2"/>
      <c r="G6" s="2"/>
      <c r="H6" s="2"/>
      <c r="I6" s="2"/>
      <c r="J6" s="2"/>
      <c r="K6" s="2"/>
      <c r="L6" s="2"/>
      <c r="M6" s="2"/>
      <c r="N6" s="2"/>
      <c r="O6" s="2"/>
      <c r="P6" s="2"/>
      <c r="Q6" s="2"/>
      <c r="R6" s="1"/>
      <c r="S6" s="1"/>
      <c r="T6" s="1"/>
      <c r="U6" s="1"/>
      <c r="V6" s="1"/>
      <c r="W6" s="1"/>
      <c r="X6" s="1"/>
      <c r="Y6" s="1"/>
      <c r="Z6" s="1"/>
    </row>
    <row r="7" customFormat="false" ht="12.75" hidden="false" customHeight="true" outlineLevel="0" collapsed="false">
      <c r="A7" s="1"/>
      <c r="B7" s="2"/>
      <c r="C7" s="2"/>
      <c r="D7" s="2"/>
      <c r="E7" s="2"/>
      <c r="F7" s="2"/>
      <c r="G7" s="2"/>
      <c r="H7" s="2"/>
      <c r="I7" s="2"/>
      <c r="J7" s="2"/>
      <c r="K7" s="2"/>
      <c r="L7" s="2"/>
      <c r="M7" s="2"/>
      <c r="N7" s="2"/>
      <c r="O7" s="2"/>
      <c r="P7" s="2"/>
      <c r="Q7" s="2"/>
      <c r="R7" s="1"/>
      <c r="S7" s="1"/>
      <c r="T7" s="1"/>
      <c r="U7" s="1"/>
      <c r="V7" s="1"/>
      <c r="W7" s="1"/>
      <c r="X7" s="1"/>
      <c r="Y7" s="1"/>
      <c r="Z7" s="1"/>
    </row>
    <row r="8" customFormat="false" ht="12.75" hidden="false" customHeight="true" outlineLevel="0" collapsed="false">
      <c r="A8" s="1"/>
      <c r="B8" s="2"/>
      <c r="C8" s="2"/>
      <c r="D8" s="2"/>
      <c r="E8" s="2"/>
      <c r="F8" s="2"/>
      <c r="G8" s="2"/>
      <c r="H8" s="2"/>
      <c r="I8" s="2"/>
      <c r="J8" s="2"/>
      <c r="K8" s="2"/>
      <c r="L8" s="2"/>
      <c r="M8" s="2"/>
      <c r="N8" s="2"/>
      <c r="O8" s="2"/>
      <c r="P8" s="2"/>
      <c r="Q8" s="2"/>
      <c r="R8" s="1"/>
      <c r="S8" s="1"/>
      <c r="T8" s="1"/>
      <c r="U8" s="1"/>
      <c r="V8" s="1"/>
      <c r="W8" s="1"/>
      <c r="X8" s="1"/>
      <c r="Y8" s="1"/>
      <c r="Z8" s="1"/>
    </row>
    <row r="9" customFormat="false" ht="12.75" hidden="false" customHeight="true" outlineLevel="0" collapsed="false">
      <c r="A9" s="1"/>
      <c r="B9" s="2"/>
      <c r="C9" s="2"/>
      <c r="D9" s="2"/>
      <c r="E9" s="2"/>
      <c r="F9" s="2"/>
      <c r="G9" s="2"/>
      <c r="H9" s="2"/>
      <c r="I9" s="2"/>
      <c r="J9" s="2"/>
      <c r="K9" s="2"/>
      <c r="L9" s="2"/>
      <c r="M9" s="2"/>
      <c r="N9" s="2"/>
      <c r="O9" s="2"/>
      <c r="P9" s="2"/>
      <c r="Q9" s="2"/>
      <c r="R9" s="1"/>
      <c r="S9" s="1"/>
      <c r="T9" s="1"/>
      <c r="U9" s="1"/>
      <c r="V9" s="1"/>
      <c r="W9" s="1"/>
      <c r="X9" s="1"/>
      <c r="Y9" s="1"/>
      <c r="Z9" s="1"/>
    </row>
    <row r="10" customFormat="false" ht="12.75" hidden="false" customHeight="true" outlineLevel="0" collapsed="false">
      <c r="A10" s="1"/>
      <c r="B10" s="2"/>
      <c r="C10" s="2"/>
      <c r="D10" s="2"/>
      <c r="E10" s="2"/>
      <c r="F10" s="2"/>
      <c r="G10" s="2"/>
      <c r="H10" s="2"/>
      <c r="I10" s="2"/>
      <c r="J10" s="2"/>
      <c r="K10" s="2"/>
      <c r="L10" s="2"/>
      <c r="M10" s="2"/>
      <c r="N10" s="2"/>
      <c r="O10" s="2"/>
      <c r="P10" s="2"/>
      <c r="Q10" s="2"/>
      <c r="R10" s="1"/>
      <c r="S10" s="1"/>
      <c r="T10" s="1"/>
      <c r="U10" s="1"/>
      <c r="V10" s="1"/>
      <c r="W10" s="1"/>
      <c r="X10" s="1"/>
      <c r="Y10" s="1"/>
      <c r="Z10" s="1"/>
    </row>
    <row r="11" customFormat="false" ht="12.75" hidden="false" customHeight="true" outlineLevel="0" collapsed="false">
      <c r="A11" s="1"/>
      <c r="B11" s="2"/>
      <c r="C11" s="2"/>
      <c r="D11" s="2"/>
      <c r="E11" s="2"/>
      <c r="F11" s="2"/>
      <c r="G11" s="2"/>
      <c r="H11" s="2"/>
      <c r="I11" s="2"/>
      <c r="J11" s="2"/>
      <c r="K11" s="2"/>
      <c r="L11" s="2"/>
      <c r="M11" s="2"/>
      <c r="N11" s="2"/>
      <c r="O11" s="2"/>
      <c r="P11" s="2"/>
      <c r="Q11" s="2"/>
      <c r="R11" s="1"/>
      <c r="S11" s="1"/>
      <c r="T11" s="1"/>
      <c r="U11" s="1"/>
      <c r="V11" s="1"/>
      <c r="W11" s="1"/>
      <c r="X11" s="1"/>
      <c r="Y11" s="1"/>
      <c r="Z11" s="1"/>
    </row>
    <row r="12" customFormat="false" ht="12.75" hidden="false" customHeight="true" outlineLevel="0" collapsed="false">
      <c r="A12" s="1"/>
      <c r="B12" s="2"/>
      <c r="C12" s="2"/>
      <c r="D12" s="2"/>
      <c r="E12" s="2"/>
      <c r="F12" s="2"/>
      <c r="G12" s="2"/>
      <c r="H12" s="2"/>
      <c r="I12" s="2"/>
      <c r="J12" s="2"/>
      <c r="K12" s="2"/>
      <c r="L12" s="2"/>
      <c r="M12" s="2"/>
      <c r="N12" s="2"/>
      <c r="O12" s="2"/>
      <c r="P12" s="2"/>
      <c r="Q12" s="2"/>
      <c r="R12" s="1"/>
      <c r="S12" s="1"/>
      <c r="T12" s="1"/>
      <c r="U12" s="1"/>
      <c r="V12" s="1"/>
      <c r="W12" s="1"/>
      <c r="X12" s="1"/>
      <c r="Y12" s="1"/>
      <c r="Z12" s="1"/>
    </row>
    <row r="13" customFormat="false" ht="12.75" hidden="false" customHeight="true" outlineLevel="0" collapsed="false">
      <c r="A13" s="1"/>
      <c r="B13" s="2"/>
      <c r="C13" s="2"/>
      <c r="D13" s="2"/>
      <c r="E13" s="2"/>
      <c r="F13" s="2"/>
      <c r="G13" s="2"/>
      <c r="H13" s="2"/>
      <c r="I13" s="2"/>
      <c r="J13" s="2"/>
      <c r="K13" s="2"/>
      <c r="L13" s="2"/>
      <c r="M13" s="2"/>
      <c r="N13" s="2"/>
      <c r="O13" s="2"/>
      <c r="P13" s="2"/>
      <c r="Q13" s="2"/>
      <c r="R13" s="1"/>
      <c r="S13" s="1"/>
      <c r="T13" s="1"/>
      <c r="U13" s="1"/>
      <c r="V13" s="1"/>
      <c r="W13" s="1"/>
      <c r="X13" s="1"/>
      <c r="Y13" s="1"/>
      <c r="Z13" s="1"/>
    </row>
    <row r="14" customFormat="false" ht="12.75" hidden="false" customHeight="true" outlineLevel="0" collapsed="false">
      <c r="A14" s="1"/>
      <c r="B14" s="2"/>
      <c r="C14" s="2"/>
      <c r="D14" s="2"/>
      <c r="E14" s="2"/>
      <c r="F14" s="2"/>
      <c r="G14" s="2"/>
      <c r="H14" s="2"/>
      <c r="I14" s="2"/>
      <c r="J14" s="2"/>
      <c r="K14" s="2"/>
      <c r="L14" s="2"/>
      <c r="M14" s="2"/>
      <c r="N14" s="2"/>
      <c r="O14" s="2"/>
      <c r="P14" s="2"/>
      <c r="Q14" s="2"/>
      <c r="R14" s="1"/>
      <c r="S14" s="1"/>
      <c r="T14" s="1"/>
      <c r="U14" s="1"/>
      <c r="V14" s="1"/>
      <c r="W14" s="1"/>
      <c r="X14" s="1"/>
      <c r="Y14" s="1"/>
      <c r="Z14" s="1"/>
    </row>
    <row r="15" customFormat="false" ht="12.75" hidden="false" customHeight="true" outlineLevel="0" collapsed="false"/>
    <row r="16" customFormat="false" ht="12.75" hidden="false" customHeight="true" outlineLevel="0" collapsed="false"/>
    <row r="17" customFormat="false" ht="12.75" hidden="false" customHeight="true" outlineLevel="0" collapsed="false">
      <c r="C17" s="1"/>
      <c r="D17" s="1"/>
      <c r="E17" s="3"/>
      <c r="F17" s="4"/>
      <c r="G17" s="4"/>
      <c r="H17" s="1"/>
      <c r="I17" s="1"/>
      <c r="J17" s="5"/>
      <c r="K17" s="5"/>
      <c r="L17" s="4"/>
      <c r="M17" s="1"/>
      <c r="N17" s="1"/>
      <c r="O17" s="1"/>
    </row>
    <row r="18" customFormat="false" ht="12.75" hidden="false" customHeight="true" outlineLevel="0" collapsed="false"/>
    <row r="19" customFormat="false" ht="12.75" hidden="false" customHeight="true" outlineLevel="0" collapsed="false"/>
    <row r="20" customFormat="false" ht="26.25" hidden="false" customHeight="true" outlineLevel="0" collapsed="false">
      <c r="C20" s="6" t="s">
        <v>0</v>
      </c>
      <c r="D20" s="7" t="n">
        <f aca="false">AVERAGE(D23:D27)</f>
        <v>0.782269841257778</v>
      </c>
      <c r="Q20" s="8" t="s">
        <v>1</v>
      </c>
    </row>
    <row r="21" customFormat="false" ht="19.5" hidden="false" customHeight="true" outlineLevel="0" collapsed="false">
      <c r="C21" s="9"/>
      <c r="D21" s="9"/>
      <c r="Q21" s="8"/>
    </row>
    <row r="22" customFormat="false" ht="19.5" hidden="false" customHeight="true" outlineLevel="0" collapsed="false">
      <c r="C22" s="10" t="s">
        <v>2</v>
      </c>
      <c r="D22" s="10"/>
      <c r="Q22" s="8"/>
    </row>
    <row r="23" customFormat="false" ht="19.5" hidden="false" customHeight="true" outlineLevel="0" collapsed="false">
      <c r="C23" s="11" t="s">
        <v>3</v>
      </c>
      <c r="D23" s="12" t="n">
        <f aca="false">+AVERAGE(D32:D37)</f>
        <v>0.688888888888889</v>
      </c>
      <c r="Q23" s="8"/>
    </row>
    <row r="24" customFormat="false" ht="19.5" hidden="false" customHeight="true" outlineLevel="0" collapsed="false">
      <c r="C24" s="13" t="s">
        <v>4</v>
      </c>
      <c r="D24" s="12" t="n">
        <f aca="false">AVERAGE(D38:D43)</f>
        <v>0.6341269841</v>
      </c>
      <c r="Q24" s="8"/>
    </row>
    <row r="25" customFormat="false" ht="19.5" hidden="false" customHeight="true" outlineLevel="0" collapsed="false">
      <c r="C25" s="14" t="s">
        <v>5</v>
      </c>
      <c r="D25" s="12" t="n">
        <f aca="false">AVERAGE(D44:D46)</f>
        <v>0.875</v>
      </c>
      <c r="Q25" s="8"/>
    </row>
    <row r="26" customFormat="false" ht="19.5" hidden="false" customHeight="true" outlineLevel="0" collapsed="false">
      <c r="C26" s="15" t="s">
        <v>6</v>
      </c>
      <c r="D26" s="12" t="n">
        <f aca="false">AVERAGE(D47:D51)</f>
        <v>0.7133333333</v>
      </c>
      <c r="Q26" s="8"/>
    </row>
    <row r="27" customFormat="false" ht="19.5" hidden="false" customHeight="true" outlineLevel="0" collapsed="false">
      <c r="C27" s="16" t="s">
        <v>7</v>
      </c>
      <c r="D27" s="12" t="n">
        <f aca="false">AVERAGE(D52:D54)</f>
        <v>1</v>
      </c>
      <c r="Q27" s="8"/>
    </row>
    <row r="28" customFormat="false" ht="12.75" hidden="false" customHeight="true" outlineLevel="0" collapsed="false">
      <c r="C28" s="4"/>
      <c r="D28" s="17"/>
      <c r="Q28" s="8"/>
    </row>
    <row r="29" customFormat="false" ht="12.75" hidden="false" customHeight="true" outlineLevel="0" collapsed="false">
      <c r="C29" s="4"/>
      <c r="D29" s="17"/>
      <c r="Q29" s="8"/>
    </row>
    <row r="30" customFormat="false" ht="12.75" hidden="false" customHeight="true" outlineLevel="0" collapsed="false">
      <c r="Q30" s="8"/>
    </row>
    <row r="31" customFormat="false" ht="19.5" hidden="false" customHeight="true" outlineLevel="0" collapsed="false">
      <c r="B31" s="18"/>
      <c r="C31" s="19" t="s">
        <v>8</v>
      </c>
      <c r="D31" s="20"/>
      <c r="Q31" s="8"/>
    </row>
    <row r="32" customFormat="false" ht="19.5" hidden="false" customHeight="true" outlineLevel="0" collapsed="false">
      <c r="B32" s="21" t="s">
        <v>9</v>
      </c>
      <c r="C32" s="22" t="s">
        <v>10</v>
      </c>
      <c r="D32" s="23" t="n">
        <f aca="false">CUMP_ID_GA</f>
        <v>0.333333333333333</v>
      </c>
      <c r="Q32" s="8"/>
    </row>
    <row r="33" customFormat="false" ht="19.5" hidden="false" customHeight="true" outlineLevel="0" collapsed="false">
      <c r="B33" s="21"/>
      <c r="C33" s="22" t="s">
        <v>11</v>
      </c>
      <c r="D33" s="23" t="n">
        <f aca="false">CUMP_ID_AN</f>
        <v>1</v>
      </c>
      <c r="Q33" s="8"/>
    </row>
    <row r="34" customFormat="false" ht="19.5" hidden="false" customHeight="true" outlineLevel="0" collapsed="false">
      <c r="B34" s="21"/>
      <c r="C34" s="22" t="s">
        <v>12</v>
      </c>
      <c r="D34" s="23" t="n">
        <f aca="false">CUMP_ID_GO</f>
        <v>0.5</v>
      </c>
      <c r="Q34" s="8"/>
    </row>
    <row r="35" customFormat="false" ht="19.5" hidden="false" customHeight="true" outlineLevel="0" collapsed="false">
      <c r="B35" s="21"/>
      <c r="C35" s="22" t="s">
        <v>13</v>
      </c>
      <c r="D35" s="23" t="n">
        <f aca="false">CUMP_ID_ER</f>
        <v>0.833333333333333</v>
      </c>
      <c r="Q35" s="8"/>
    </row>
    <row r="36" customFormat="false" ht="19.5" hidden="false" customHeight="true" outlineLevel="0" collapsed="false">
      <c r="B36" s="21"/>
      <c r="C36" s="22" t="s">
        <v>14</v>
      </c>
      <c r="D36" s="23" t="n">
        <f aca="false">CUMP_ID_GR</f>
        <v>0.666666666666667</v>
      </c>
    </row>
    <row r="37" customFormat="false" ht="19.5" hidden="false" customHeight="true" outlineLevel="0" collapsed="false">
      <c r="B37" s="21"/>
      <c r="C37" s="24" t="s">
        <v>15</v>
      </c>
      <c r="D37" s="25" t="n">
        <f aca="false">CUMP_ID_CS</f>
        <v>0.8</v>
      </c>
    </row>
    <row r="38" customFormat="false" ht="19.5" hidden="false" customHeight="true" outlineLevel="0" collapsed="false">
      <c r="B38" s="26" t="s">
        <v>16</v>
      </c>
      <c r="C38" s="27" t="s">
        <v>17</v>
      </c>
      <c r="D38" s="28" t="n">
        <f aca="false">CUMP_PR_CA</f>
        <v>0.5714285714</v>
      </c>
    </row>
    <row r="39" customFormat="false" ht="19.5" hidden="false" customHeight="true" outlineLevel="0" collapsed="false">
      <c r="B39" s="26"/>
      <c r="C39" s="22" t="s">
        <v>18</v>
      </c>
      <c r="D39" s="23" t="n">
        <f aca="false">CUMP_PR_CF</f>
        <v>0.6</v>
      </c>
      <c r="Q39" s="29" t="s">
        <v>19</v>
      </c>
    </row>
    <row r="40" customFormat="false" ht="19.5" hidden="false" customHeight="true" outlineLevel="0" collapsed="false">
      <c r="B40" s="26"/>
      <c r="C40" s="22" t="s">
        <v>20</v>
      </c>
      <c r="D40" s="23" t="n">
        <f aca="false">CUMP_PR_SD</f>
        <v>0.75</v>
      </c>
      <c r="Q40" s="29"/>
    </row>
    <row r="41" customFormat="false" ht="19.5" hidden="false" customHeight="true" outlineLevel="0" collapsed="false">
      <c r="B41" s="26"/>
      <c r="C41" s="22" t="s">
        <v>21</v>
      </c>
      <c r="D41" s="23" t="n">
        <f aca="false">CUMP_PR_PI</f>
        <v>0.5833333333</v>
      </c>
      <c r="Q41" s="29"/>
    </row>
    <row r="42" customFormat="false" ht="19.5" hidden="false" customHeight="true" outlineLevel="0" collapsed="false">
      <c r="B42" s="26"/>
      <c r="C42" s="22" t="s">
        <v>22</v>
      </c>
      <c r="D42" s="23" t="n">
        <f aca="false">CUMP_PR_MA</f>
        <v>0.5</v>
      </c>
      <c r="Q42" s="29"/>
    </row>
    <row r="43" customFormat="false" ht="19.5" hidden="false" customHeight="true" outlineLevel="0" collapsed="false">
      <c r="B43" s="26"/>
      <c r="C43" s="24" t="s">
        <v>23</v>
      </c>
      <c r="D43" s="25" t="n">
        <f aca="false">CUMP_PR_TP</f>
        <v>0.8</v>
      </c>
      <c r="Q43" s="29"/>
    </row>
    <row r="44" customFormat="false" ht="19.5" hidden="false" customHeight="true" outlineLevel="0" collapsed="false">
      <c r="B44" s="30" t="s">
        <v>24</v>
      </c>
      <c r="C44" s="27" t="s">
        <v>25</v>
      </c>
      <c r="D44" s="28" t="n">
        <f aca="false">CUMP_DE_AE</f>
        <v>1</v>
      </c>
      <c r="Q44" s="29"/>
    </row>
    <row r="45" customFormat="false" ht="27" hidden="false" customHeight="true" outlineLevel="0" collapsed="false">
      <c r="B45" s="30"/>
      <c r="C45" s="22" t="s">
        <v>26</v>
      </c>
      <c r="D45" s="23" t="n">
        <f aca="false">CUMP_DE_MC</f>
        <v>0.625</v>
      </c>
      <c r="Q45" s="29"/>
    </row>
    <row r="46" customFormat="false" ht="30.75" hidden="false" customHeight="true" outlineLevel="0" collapsed="false">
      <c r="B46" s="30"/>
      <c r="C46" s="24" t="s">
        <v>27</v>
      </c>
      <c r="D46" s="25" t="n">
        <f aca="false">CUMP_DE_PD</f>
        <v>1</v>
      </c>
      <c r="Q46" s="29"/>
    </row>
    <row r="47" customFormat="false" ht="19.5" hidden="false" customHeight="true" outlineLevel="0" collapsed="false">
      <c r="B47" s="31" t="s">
        <v>28</v>
      </c>
      <c r="C47" s="27" t="s">
        <v>29</v>
      </c>
      <c r="D47" s="28" t="n">
        <f aca="false">CUMP_RE_PR</f>
        <v>1</v>
      </c>
      <c r="Q47" s="29"/>
    </row>
    <row r="48" customFormat="false" ht="19.5" hidden="false" customHeight="true" outlineLevel="0" collapsed="false">
      <c r="B48" s="31"/>
      <c r="C48" s="22" t="s">
        <v>30</v>
      </c>
      <c r="D48" s="23" t="n">
        <f aca="false">CUMP_RE_CO</f>
        <v>0.8</v>
      </c>
      <c r="Q48" s="29"/>
    </row>
    <row r="49" customFormat="false" ht="19.5" hidden="false" customHeight="true" outlineLevel="0" collapsed="false">
      <c r="B49" s="31"/>
      <c r="C49" s="22" t="s">
        <v>31</v>
      </c>
      <c r="D49" s="23" t="n">
        <f aca="false">CUMP_RE_AN</f>
        <v>0.6</v>
      </c>
      <c r="Q49" s="29"/>
    </row>
    <row r="50" customFormat="false" ht="19.5" hidden="false" customHeight="true" outlineLevel="0" collapsed="false">
      <c r="B50" s="31"/>
      <c r="C50" s="22" t="s">
        <v>32</v>
      </c>
      <c r="D50" s="23" t="n">
        <f aca="false">CUMP_RE_MI</f>
        <v>0.6666666667</v>
      </c>
      <c r="Q50" s="29"/>
    </row>
    <row r="51" customFormat="false" ht="19.5" hidden="false" customHeight="true" outlineLevel="0" collapsed="false">
      <c r="B51" s="31"/>
      <c r="C51" s="24" t="s">
        <v>33</v>
      </c>
      <c r="D51" s="25" t="n">
        <f aca="false">CUMP_RE_ME</f>
        <v>0.5</v>
      </c>
      <c r="Q51" s="29"/>
    </row>
    <row r="52" customFormat="false" ht="33.75" hidden="false" customHeight="true" outlineLevel="0" collapsed="false">
      <c r="B52" s="32" t="s">
        <v>34</v>
      </c>
      <c r="C52" s="27" t="s">
        <v>35</v>
      </c>
      <c r="D52" s="28" t="n">
        <f aca="false">CUMP_RC_PR</f>
        <v>1</v>
      </c>
      <c r="Q52" s="29"/>
    </row>
    <row r="53" customFormat="false" ht="25.5" hidden="false" customHeight="true" outlineLevel="0" collapsed="false">
      <c r="B53" s="32"/>
      <c r="C53" s="22" t="s">
        <v>36</v>
      </c>
      <c r="D53" s="23" t="n">
        <f aca="false">CUMP_RC_ME</f>
        <v>1</v>
      </c>
      <c r="Q53" s="29"/>
    </row>
    <row r="54" customFormat="false" ht="25.5" hidden="false" customHeight="true" outlineLevel="0" collapsed="false">
      <c r="B54" s="32"/>
      <c r="C54" s="24" t="s">
        <v>37</v>
      </c>
      <c r="D54" s="25" t="n">
        <f aca="false">CUMP_RC_CO</f>
        <v>1</v>
      </c>
      <c r="Q54" s="29"/>
    </row>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26.25" hidden="false" customHeight="true" outlineLevel="0" collapsed="false">
      <c r="C89" s="10" t="s">
        <v>38</v>
      </c>
      <c r="D89" s="33" t="s">
        <v>39</v>
      </c>
      <c r="E89" s="33"/>
      <c r="F89" s="33"/>
      <c r="G89" s="33"/>
      <c r="H89" s="33"/>
      <c r="I89" s="33"/>
      <c r="J89" s="33"/>
      <c r="K89" s="33"/>
      <c r="L89" s="33"/>
      <c r="M89" s="33"/>
      <c r="N89" s="33"/>
      <c r="O89" s="33"/>
      <c r="P89" s="33"/>
      <c r="Q89" s="33"/>
    </row>
    <row r="90" customFormat="false" ht="34.5" hidden="false" customHeight="true" outlineLevel="0" collapsed="false">
      <c r="C90" s="34" t="s">
        <v>40</v>
      </c>
      <c r="D90" s="35" t="s">
        <v>41</v>
      </c>
      <c r="E90" s="35"/>
      <c r="F90" s="35"/>
      <c r="G90" s="35"/>
      <c r="H90" s="35"/>
      <c r="I90" s="35"/>
      <c r="J90" s="35"/>
      <c r="K90" s="35"/>
      <c r="L90" s="35"/>
      <c r="M90" s="35"/>
      <c r="N90" s="35"/>
      <c r="O90" s="35"/>
      <c r="P90" s="35"/>
      <c r="Q90" s="35"/>
    </row>
    <row r="91" customFormat="false" ht="49.5" hidden="false" customHeight="true" outlineLevel="0" collapsed="false">
      <c r="C91" s="34" t="s">
        <v>42</v>
      </c>
      <c r="D91" s="35" t="s">
        <v>43</v>
      </c>
      <c r="E91" s="35"/>
      <c r="F91" s="35"/>
      <c r="G91" s="35"/>
      <c r="H91" s="35"/>
      <c r="I91" s="35"/>
      <c r="J91" s="35"/>
      <c r="K91" s="35"/>
      <c r="L91" s="35"/>
      <c r="M91" s="35"/>
      <c r="N91" s="35"/>
      <c r="O91" s="35"/>
      <c r="P91" s="35"/>
      <c r="Q91" s="35"/>
    </row>
    <row r="92" customFormat="false" ht="43.5" hidden="false" customHeight="true" outlineLevel="0" collapsed="false">
      <c r="C92" s="34" t="s">
        <v>44</v>
      </c>
      <c r="D92" s="35" t="s">
        <v>45</v>
      </c>
      <c r="E92" s="35"/>
      <c r="F92" s="35"/>
      <c r="G92" s="35"/>
      <c r="H92" s="35"/>
      <c r="I92" s="35"/>
      <c r="J92" s="35"/>
      <c r="K92" s="35"/>
      <c r="L92" s="35"/>
      <c r="M92" s="35"/>
      <c r="N92" s="35"/>
      <c r="O92" s="35"/>
      <c r="P92" s="35"/>
      <c r="Q92" s="35"/>
    </row>
    <row r="93" customFormat="false" ht="57" hidden="false" customHeight="true" outlineLevel="0" collapsed="false">
      <c r="C93" s="34" t="s">
        <v>46</v>
      </c>
      <c r="D93" s="35" t="s">
        <v>47</v>
      </c>
      <c r="E93" s="35"/>
      <c r="F93" s="35"/>
      <c r="G93" s="35"/>
      <c r="H93" s="35"/>
      <c r="I93" s="35"/>
      <c r="J93" s="35"/>
      <c r="K93" s="35"/>
      <c r="L93" s="35"/>
      <c r="M93" s="35"/>
      <c r="N93" s="35"/>
      <c r="O93" s="35"/>
      <c r="P93" s="35"/>
      <c r="Q93" s="35"/>
    </row>
    <row r="94" customFormat="false" ht="70.5" hidden="false" customHeight="true" outlineLevel="0" collapsed="false">
      <c r="C94" s="34" t="s">
        <v>48</v>
      </c>
      <c r="D94" s="35" t="s">
        <v>49</v>
      </c>
      <c r="E94" s="35"/>
      <c r="F94" s="35"/>
      <c r="G94" s="35"/>
      <c r="H94" s="35"/>
      <c r="I94" s="35"/>
      <c r="J94" s="35"/>
      <c r="K94" s="35"/>
      <c r="L94" s="35"/>
      <c r="M94" s="35"/>
      <c r="N94" s="35"/>
      <c r="O94" s="35"/>
      <c r="P94" s="35"/>
      <c r="Q94" s="35"/>
    </row>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7">
    <mergeCell ref="B1:Q14"/>
    <mergeCell ref="J17:K17"/>
    <mergeCell ref="Q20:Q35"/>
    <mergeCell ref="C21:D21"/>
    <mergeCell ref="C22:D22"/>
    <mergeCell ref="B32:B37"/>
    <mergeCell ref="B38:B43"/>
    <mergeCell ref="Q39:Q54"/>
    <mergeCell ref="B44:B46"/>
    <mergeCell ref="B47:B51"/>
    <mergeCell ref="B52:B54"/>
    <mergeCell ref="D89:Q89"/>
    <mergeCell ref="D90:Q90"/>
    <mergeCell ref="D91:Q91"/>
    <mergeCell ref="D92:Q92"/>
    <mergeCell ref="D93:Q93"/>
    <mergeCell ref="D94:Q94"/>
  </mergeCells>
  <dataValidations count="1">
    <dataValidation allowBlank="true" errorStyle="stop" operator="between" showDropDown="false" showErrorMessage="true" showInputMessage="false" sqref="G17 L17" type="list">
      <formula1>#ref!</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0.63"/>
    <col collapsed="false" customWidth="true" hidden="false" outlineLevel="0" max="2" min="2" style="0" width="141.88"/>
    <col collapsed="false" customWidth="true" hidden="false" outlineLevel="0" max="26" min="3" style="0" width="10.63"/>
  </cols>
  <sheetData>
    <row r="1" customFormat="false" ht="12.75" hidden="false" customHeight="true" outlineLevel="0" collapsed="false">
      <c r="A1" s="36" t="s">
        <v>50</v>
      </c>
      <c r="B1" s="37" t="s">
        <v>51</v>
      </c>
    </row>
    <row r="2" customFormat="false" ht="12.75" hidden="false" customHeight="true" outlineLevel="0" collapsed="false">
      <c r="A2" s="36" t="s">
        <v>52</v>
      </c>
      <c r="B2" s="37" t="s">
        <v>53</v>
      </c>
    </row>
    <row r="3" customFormat="false" ht="12.75" hidden="false" customHeight="true" outlineLevel="0" collapsed="false">
      <c r="A3" s="36" t="s">
        <v>54</v>
      </c>
      <c r="B3" s="37" t="s">
        <v>55</v>
      </c>
    </row>
    <row r="4" customFormat="false" ht="12.75" hidden="false" customHeight="true" outlineLevel="0" collapsed="false">
      <c r="A4" s="36" t="s">
        <v>56</v>
      </c>
      <c r="B4" s="37" t="s">
        <v>57</v>
      </c>
    </row>
    <row r="5" customFormat="false" ht="12.75" hidden="false" customHeight="true" outlineLevel="0" collapsed="false">
      <c r="A5" s="36" t="s">
        <v>58</v>
      </c>
      <c r="B5" s="37" t="s">
        <v>59</v>
      </c>
    </row>
    <row r="6" customFormat="false" ht="12.75" hidden="false" customHeight="true" outlineLevel="0" collapsed="false">
      <c r="A6" s="36" t="s">
        <v>60</v>
      </c>
      <c r="B6" s="37" t="s">
        <v>61</v>
      </c>
    </row>
    <row r="7" customFormat="false" ht="12.75" hidden="false" customHeight="true" outlineLevel="0" collapsed="false">
      <c r="A7" s="36" t="s">
        <v>62</v>
      </c>
      <c r="B7" s="37" t="s">
        <v>63</v>
      </c>
    </row>
    <row r="8" customFormat="false" ht="12.75" hidden="false" customHeight="true" outlineLevel="0" collapsed="false">
      <c r="A8" s="36" t="s">
        <v>64</v>
      </c>
      <c r="B8" s="37" t="s">
        <v>65</v>
      </c>
    </row>
    <row r="9" customFormat="false" ht="12.75" hidden="false" customHeight="true" outlineLevel="0" collapsed="false">
      <c r="A9" s="36" t="s">
        <v>66</v>
      </c>
      <c r="B9" s="37" t="s">
        <v>67</v>
      </c>
    </row>
    <row r="10" customFormat="false" ht="12.75" hidden="false" customHeight="true" outlineLevel="0" collapsed="false">
      <c r="A10" s="36" t="s">
        <v>68</v>
      </c>
      <c r="B10" s="37" t="s">
        <v>69</v>
      </c>
    </row>
    <row r="11" customFormat="false" ht="12.75" hidden="false" customHeight="true" outlineLevel="0" collapsed="false">
      <c r="A11" s="36" t="s">
        <v>70</v>
      </c>
      <c r="B11" s="37" t="s">
        <v>71</v>
      </c>
    </row>
    <row r="12" customFormat="false" ht="12.75" hidden="false" customHeight="true" outlineLevel="0" collapsed="false">
      <c r="A12" s="36" t="s">
        <v>72</v>
      </c>
      <c r="B12" s="37" t="s">
        <v>73</v>
      </c>
    </row>
    <row r="13" customFormat="false" ht="12.75" hidden="false" customHeight="true" outlineLevel="0" collapsed="false">
      <c r="A13" s="36" t="s">
        <v>74</v>
      </c>
      <c r="B13" s="37" t="s">
        <v>75</v>
      </c>
    </row>
    <row r="14" customFormat="false" ht="18" hidden="false" customHeight="true" outlineLevel="0" collapsed="false">
      <c r="A14" s="36" t="s">
        <v>76</v>
      </c>
      <c r="B14" s="37" t="s">
        <v>77</v>
      </c>
    </row>
    <row r="15" customFormat="false" ht="12.75" hidden="false" customHeight="true" outlineLevel="0" collapsed="false">
      <c r="A15" s="36" t="s">
        <v>78</v>
      </c>
      <c r="B15" s="37" t="s">
        <v>79</v>
      </c>
    </row>
    <row r="16" customFormat="false" ht="12.75" hidden="false" customHeight="true" outlineLevel="0" collapsed="false">
      <c r="A16" s="36" t="s">
        <v>80</v>
      </c>
      <c r="B16" s="37" t="s">
        <v>81</v>
      </c>
    </row>
    <row r="17" customFormat="false" ht="12.75" hidden="false" customHeight="true" outlineLevel="0" collapsed="false">
      <c r="A17" s="36" t="s">
        <v>82</v>
      </c>
      <c r="B17" s="37" t="s">
        <v>83</v>
      </c>
    </row>
    <row r="18" customFormat="false" ht="12.75" hidden="false" customHeight="true" outlineLevel="0" collapsed="false">
      <c r="A18" s="36" t="s">
        <v>84</v>
      </c>
      <c r="B18" s="37" t="s">
        <v>85</v>
      </c>
    </row>
    <row r="19" customFormat="false" ht="12.75" hidden="false" customHeight="true" outlineLevel="0" collapsed="false">
      <c r="A19" s="36" t="s">
        <v>86</v>
      </c>
      <c r="B19" s="37" t="s">
        <v>87</v>
      </c>
    </row>
    <row r="20" customFormat="false" ht="12.75" hidden="false" customHeight="true" outlineLevel="0" collapsed="false">
      <c r="A20" s="36" t="s">
        <v>88</v>
      </c>
      <c r="B20" s="37" t="s">
        <v>89</v>
      </c>
    </row>
    <row r="21" customFormat="false" ht="12.75" hidden="false" customHeight="true" outlineLevel="0" collapsed="false">
      <c r="A21" s="36" t="s">
        <v>90</v>
      </c>
      <c r="B21" s="37" t="s">
        <v>91</v>
      </c>
    </row>
    <row r="22" customFormat="false" ht="12.75" hidden="false" customHeight="true" outlineLevel="0" collapsed="false">
      <c r="A22" s="36" t="s">
        <v>92</v>
      </c>
      <c r="B22" s="37" t="s">
        <v>93</v>
      </c>
    </row>
    <row r="23" customFormat="false" ht="12.75" hidden="false" customHeight="true" outlineLevel="0" collapsed="false">
      <c r="A23" s="36" t="s">
        <v>94</v>
      </c>
      <c r="B23" s="37" t="s">
        <v>95</v>
      </c>
    </row>
    <row r="24" customFormat="false" ht="12.75" hidden="false" customHeight="true" outlineLevel="0" collapsed="false">
      <c r="A24" s="36" t="s">
        <v>96</v>
      </c>
      <c r="B24" s="37" t="s">
        <v>97</v>
      </c>
    </row>
    <row r="25" customFormat="false" ht="12.75" hidden="false" customHeight="true" outlineLevel="0" collapsed="false">
      <c r="A25" s="36" t="s">
        <v>98</v>
      </c>
      <c r="B25" s="37" t="s">
        <v>99</v>
      </c>
    </row>
    <row r="26" customFormat="false" ht="12.75" hidden="false" customHeight="true" outlineLevel="0" collapsed="false">
      <c r="A26" s="36" t="s">
        <v>100</v>
      </c>
      <c r="B26" s="37" t="s">
        <v>101</v>
      </c>
    </row>
    <row r="27" customFormat="false" ht="12.75" hidden="false" customHeight="true" outlineLevel="0" collapsed="false">
      <c r="A27" s="36" t="s">
        <v>102</v>
      </c>
      <c r="B27" s="37" t="s">
        <v>103</v>
      </c>
    </row>
    <row r="28" customFormat="false" ht="12.75" hidden="false" customHeight="true" outlineLevel="0" collapsed="false">
      <c r="A28" s="36" t="s">
        <v>104</v>
      </c>
      <c r="B28" s="37" t="s">
        <v>105</v>
      </c>
    </row>
    <row r="29" customFormat="false" ht="12.75" hidden="false" customHeight="true" outlineLevel="0" collapsed="false">
      <c r="A29" s="36" t="s">
        <v>106</v>
      </c>
      <c r="B29" s="37" t="s">
        <v>107</v>
      </c>
    </row>
    <row r="30" customFormat="false" ht="12.75" hidden="false" customHeight="true" outlineLevel="0" collapsed="false">
      <c r="A30" s="36" t="s">
        <v>108</v>
      </c>
      <c r="B30" s="37" t="s">
        <v>109</v>
      </c>
    </row>
    <row r="31" customFormat="false" ht="12.75" hidden="false" customHeight="true" outlineLevel="0" collapsed="false">
      <c r="A31" s="36" t="s">
        <v>110</v>
      </c>
      <c r="B31" s="37" t="s">
        <v>111</v>
      </c>
    </row>
    <row r="32" customFormat="false" ht="12.75" hidden="false" customHeight="true" outlineLevel="0" collapsed="false">
      <c r="A32" s="36" t="s">
        <v>112</v>
      </c>
      <c r="B32" s="37" t="s">
        <v>113</v>
      </c>
    </row>
    <row r="33" customFormat="false" ht="12.75" hidden="false" customHeight="true" outlineLevel="0" collapsed="false">
      <c r="A33" s="36" t="s">
        <v>114</v>
      </c>
      <c r="B33" s="37" t="s">
        <v>115</v>
      </c>
    </row>
    <row r="34" customFormat="false" ht="12.75" hidden="false" customHeight="true" outlineLevel="0" collapsed="false">
      <c r="A34" s="36" t="s">
        <v>116</v>
      </c>
      <c r="B34" s="37" t="s">
        <v>117</v>
      </c>
    </row>
    <row r="35" customFormat="false" ht="12.75" hidden="false" customHeight="true" outlineLevel="0" collapsed="false">
      <c r="A35" s="36" t="s">
        <v>118</v>
      </c>
      <c r="B35" s="37" t="s">
        <v>119</v>
      </c>
    </row>
    <row r="36" customFormat="false" ht="12.75" hidden="false" customHeight="true" outlineLevel="0" collapsed="false">
      <c r="A36" s="36" t="s">
        <v>120</v>
      </c>
      <c r="B36" s="37" t="s">
        <v>121</v>
      </c>
    </row>
    <row r="37" customFormat="false" ht="12.75" hidden="false" customHeight="true" outlineLevel="0" collapsed="false">
      <c r="A37" s="36" t="s">
        <v>122</v>
      </c>
      <c r="B37" s="37" t="s">
        <v>123</v>
      </c>
    </row>
    <row r="38" customFormat="false" ht="12.75" hidden="false" customHeight="true" outlineLevel="0" collapsed="false">
      <c r="A38" s="36" t="s">
        <v>124</v>
      </c>
      <c r="B38" s="37" t="s">
        <v>125</v>
      </c>
    </row>
    <row r="39" customFormat="false" ht="12.75" hidden="false" customHeight="true" outlineLevel="0" collapsed="false">
      <c r="A39" s="36" t="s">
        <v>126</v>
      </c>
      <c r="B39" s="37" t="s">
        <v>127</v>
      </c>
    </row>
    <row r="40" customFormat="false" ht="12.75" hidden="false" customHeight="true" outlineLevel="0" collapsed="false">
      <c r="A40" s="36" t="s">
        <v>128</v>
      </c>
      <c r="B40" s="37" t="s">
        <v>129</v>
      </c>
    </row>
    <row r="41" customFormat="false" ht="12.75" hidden="false" customHeight="true" outlineLevel="0" collapsed="false">
      <c r="A41" s="36" t="s">
        <v>130</v>
      </c>
      <c r="B41" s="37" t="s">
        <v>131</v>
      </c>
    </row>
    <row r="42" customFormat="false" ht="12.75" hidden="false" customHeight="true" outlineLevel="0" collapsed="false">
      <c r="A42" s="36" t="s">
        <v>132</v>
      </c>
      <c r="B42" s="37" t="s">
        <v>133</v>
      </c>
    </row>
    <row r="43" customFormat="false" ht="12.75" hidden="false" customHeight="true" outlineLevel="0" collapsed="false">
      <c r="A43" s="36" t="s">
        <v>134</v>
      </c>
      <c r="B43" s="37" t="s">
        <v>135</v>
      </c>
    </row>
    <row r="44" customFormat="false" ht="12.75" hidden="false" customHeight="true" outlineLevel="0" collapsed="false">
      <c r="A44" s="36" t="s">
        <v>136</v>
      </c>
      <c r="B44" s="37" t="s">
        <v>137</v>
      </c>
    </row>
    <row r="45" customFormat="false" ht="12.75" hidden="false" customHeight="true" outlineLevel="0" collapsed="false">
      <c r="A45" s="36" t="s">
        <v>138</v>
      </c>
      <c r="B45" s="37" t="s">
        <v>139</v>
      </c>
    </row>
    <row r="46" customFormat="false" ht="12.75" hidden="false" customHeight="true" outlineLevel="0" collapsed="false">
      <c r="A46" s="36" t="s">
        <v>140</v>
      </c>
      <c r="B46" s="37" t="s">
        <v>141</v>
      </c>
    </row>
    <row r="47" customFormat="false" ht="12.75" hidden="false" customHeight="true" outlineLevel="0" collapsed="false">
      <c r="A47" s="36" t="s">
        <v>142</v>
      </c>
      <c r="B47" s="37" t="s">
        <v>143</v>
      </c>
    </row>
    <row r="48" customFormat="false" ht="12.75" hidden="false" customHeight="true" outlineLevel="0" collapsed="false">
      <c r="A48" s="36" t="s">
        <v>144</v>
      </c>
      <c r="B48" s="37" t="s">
        <v>145</v>
      </c>
    </row>
    <row r="49" customFormat="false" ht="12.75" hidden="false" customHeight="true" outlineLevel="0" collapsed="false">
      <c r="A49" s="36" t="s">
        <v>146</v>
      </c>
      <c r="B49" s="37" t="s">
        <v>147</v>
      </c>
    </row>
    <row r="50" customFormat="false" ht="12.75" hidden="false" customHeight="true" outlineLevel="0" collapsed="false">
      <c r="A50" s="36" t="s">
        <v>148</v>
      </c>
      <c r="B50" s="37" t="s">
        <v>149</v>
      </c>
    </row>
    <row r="51" customFormat="false" ht="12.75" hidden="false" customHeight="true" outlineLevel="0" collapsed="false">
      <c r="A51" s="36" t="s">
        <v>150</v>
      </c>
      <c r="B51" s="37" t="s">
        <v>151</v>
      </c>
    </row>
    <row r="52" customFormat="false" ht="12.75" hidden="false" customHeight="true" outlineLevel="0" collapsed="false">
      <c r="A52" s="36" t="s">
        <v>152</v>
      </c>
      <c r="B52" s="37" t="s">
        <v>153</v>
      </c>
    </row>
    <row r="53" customFormat="false" ht="12.75" hidden="false" customHeight="true" outlineLevel="0" collapsed="false">
      <c r="A53" s="36" t="s">
        <v>154</v>
      </c>
      <c r="B53" s="37" t="s">
        <v>155</v>
      </c>
    </row>
    <row r="54" customFormat="false" ht="12.75" hidden="false" customHeight="true" outlineLevel="0" collapsed="false">
      <c r="A54" s="36" t="s">
        <v>156</v>
      </c>
      <c r="B54" s="37" t="s">
        <v>157</v>
      </c>
    </row>
    <row r="55" customFormat="false" ht="12.75" hidden="false" customHeight="true" outlineLevel="0" collapsed="false">
      <c r="A55" s="36" t="s">
        <v>158</v>
      </c>
      <c r="B55" s="37" t="s">
        <v>159</v>
      </c>
    </row>
    <row r="56" customFormat="false" ht="12.75" hidden="false" customHeight="true" outlineLevel="0" collapsed="false">
      <c r="A56" s="36" t="s">
        <v>160</v>
      </c>
      <c r="B56" s="37" t="s">
        <v>161</v>
      </c>
    </row>
    <row r="57" customFormat="false" ht="12.75" hidden="false" customHeight="true" outlineLevel="0" collapsed="false">
      <c r="A57" s="36" t="s">
        <v>162</v>
      </c>
      <c r="B57" s="37" t="s">
        <v>163</v>
      </c>
    </row>
    <row r="58" customFormat="false" ht="12.75" hidden="false" customHeight="true" outlineLevel="0" collapsed="false">
      <c r="A58" s="36" t="s">
        <v>164</v>
      </c>
      <c r="B58" s="37" t="s">
        <v>165</v>
      </c>
    </row>
    <row r="59" customFormat="false" ht="12.75" hidden="false" customHeight="true" outlineLevel="0" collapsed="false">
      <c r="A59" s="36" t="s">
        <v>166</v>
      </c>
      <c r="B59" s="37" t="s">
        <v>167</v>
      </c>
    </row>
    <row r="60" customFormat="false" ht="12.75" hidden="false" customHeight="true" outlineLevel="0" collapsed="false">
      <c r="A60" s="36" t="s">
        <v>168</v>
      </c>
      <c r="B60" s="37" t="s">
        <v>169</v>
      </c>
    </row>
    <row r="61" customFormat="false" ht="12.75" hidden="false" customHeight="true" outlineLevel="0" collapsed="false">
      <c r="A61" s="36" t="s">
        <v>170</v>
      </c>
      <c r="B61" s="37" t="s">
        <v>171</v>
      </c>
    </row>
    <row r="62" customFormat="false" ht="12.75" hidden="false" customHeight="true" outlineLevel="0" collapsed="false">
      <c r="A62" s="36" t="s">
        <v>172</v>
      </c>
      <c r="B62" s="37" t="s">
        <v>173</v>
      </c>
    </row>
    <row r="63" customFormat="false" ht="12.75" hidden="false" customHeight="true" outlineLevel="0" collapsed="false">
      <c r="A63" s="36" t="s">
        <v>174</v>
      </c>
      <c r="B63" s="37" t="s">
        <v>175</v>
      </c>
    </row>
    <row r="64" customFormat="false" ht="12.75" hidden="false" customHeight="true" outlineLevel="0" collapsed="false">
      <c r="A64" s="36" t="s">
        <v>176</v>
      </c>
      <c r="B64" s="37" t="s">
        <v>177</v>
      </c>
    </row>
    <row r="65" customFormat="false" ht="12.75" hidden="false" customHeight="true" outlineLevel="0" collapsed="false">
      <c r="A65" s="36" t="s">
        <v>178</v>
      </c>
      <c r="B65" s="37" t="s">
        <v>179</v>
      </c>
    </row>
    <row r="66" customFormat="false" ht="12.75" hidden="false" customHeight="true" outlineLevel="0" collapsed="false">
      <c r="A66" s="36" t="s">
        <v>180</v>
      </c>
      <c r="B66" s="37" t="s">
        <v>181</v>
      </c>
    </row>
    <row r="67" customFormat="false" ht="12.75" hidden="false" customHeight="true" outlineLevel="0" collapsed="false">
      <c r="A67" s="36" t="s">
        <v>182</v>
      </c>
      <c r="B67" s="37" t="s">
        <v>183</v>
      </c>
    </row>
    <row r="68" customFormat="false" ht="12.75" hidden="false" customHeight="true" outlineLevel="0" collapsed="false">
      <c r="A68" s="36" t="s">
        <v>184</v>
      </c>
      <c r="B68" s="37" t="s">
        <v>185</v>
      </c>
    </row>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2.6328125" defaultRowHeight="15" zeroHeight="false" outlineLevelRow="0" outlineLevelCol="0"/>
  <cols>
    <col collapsed="false" customWidth="true" hidden="false" outlineLevel="0" max="1" min="1" style="0" width="38.63"/>
    <col collapsed="false" customWidth="true" hidden="false" outlineLevel="0" max="2" min="2" style="0" width="87.63"/>
    <col collapsed="false" customWidth="true" hidden="false" outlineLevel="0" max="3" min="3" style="0" width="17.25"/>
    <col collapsed="false" customWidth="true" hidden="false" outlineLevel="0" max="4" min="4" style="0" width="24.13"/>
    <col collapsed="false" customWidth="true" hidden="false" outlineLevel="0" max="5" min="5" style="0" width="68.13"/>
    <col collapsed="false" customWidth="true" hidden="false" outlineLevel="0" max="26" min="6" style="0" width="9.25"/>
  </cols>
  <sheetData>
    <row r="1" customFormat="false" ht="14.25" hidden="false" customHeight="true" outlineLevel="0" collapsed="false">
      <c r="A1" s="38"/>
      <c r="B1" s="38"/>
      <c r="C1" s="39"/>
      <c r="D1" s="40"/>
      <c r="E1" s="40"/>
      <c r="F1" s="41"/>
      <c r="G1" s="41"/>
      <c r="H1" s="41"/>
      <c r="I1" s="41"/>
      <c r="J1" s="41"/>
      <c r="K1" s="41"/>
      <c r="L1" s="41"/>
      <c r="M1" s="41"/>
      <c r="N1" s="41"/>
      <c r="O1" s="41"/>
      <c r="P1" s="41"/>
      <c r="Q1" s="41"/>
      <c r="R1" s="41"/>
      <c r="S1" s="41"/>
      <c r="T1" s="41"/>
      <c r="U1" s="41"/>
      <c r="V1" s="41"/>
      <c r="W1" s="41"/>
      <c r="X1" s="41"/>
      <c r="Y1" s="41"/>
      <c r="Z1" s="41"/>
    </row>
    <row r="2" customFormat="false" ht="14.25" hidden="false" customHeight="true" outlineLevel="0" collapsed="false">
      <c r="A2" s="38" t="s">
        <v>186</v>
      </c>
      <c r="B2" s="38"/>
      <c r="C2" s="39"/>
      <c r="D2" s="40"/>
      <c r="E2" s="40"/>
      <c r="F2" s="41"/>
      <c r="G2" s="41"/>
      <c r="H2" s="41"/>
      <c r="I2" s="41"/>
      <c r="J2" s="41"/>
      <c r="K2" s="41"/>
      <c r="L2" s="41"/>
      <c r="M2" s="41"/>
      <c r="N2" s="41"/>
      <c r="O2" s="41"/>
      <c r="P2" s="41"/>
      <c r="Q2" s="41"/>
      <c r="R2" s="41"/>
      <c r="S2" s="41"/>
      <c r="T2" s="41"/>
      <c r="U2" s="41"/>
      <c r="V2" s="41"/>
      <c r="W2" s="41"/>
      <c r="X2" s="41"/>
      <c r="Y2" s="41"/>
      <c r="Z2" s="41"/>
    </row>
    <row r="3" customFormat="false" ht="15" hidden="false" customHeight="true" outlineLevel="0" collapsed="false">
      <c r="A3" s="42"/>
      <c r="B3" s="42"/>
      <c r="C3" s="43"/>
      <c r="D3" s="43"/>
      <c r="E3" s="43"/>
      <c r="F3" s="41"/>
      <c r="G3" s="41"/>
      <c r="H3" s="41"/>
      <c r="I3" s="41"/>
      <c r="J3" s="41"/>
      <c r="K3" s="41"/>
      <c r="L3" s="41"/>
      <c r="M3" s="41"/>
      <c r="N3" s="41"/>
      <c r="O3" s="41"/>
      <c r="P3" s="41"/>
      <c r="Q3" s="41"/>
      <c r="R3" s="41"/>
      <c r="S3" s="41"/>
      <c r="T3" s="41"/>
      <c r="U3" s="41"/>
      <c r="V3" s="41"/>
      <c r="W3" s="41"/>
      <c r="X3" s="41"/>
      <c r="Y3" s="41"/>
      <c r="Z3" s="41"/>
    </row>
    <row r="4" customFormat="false" ht="14.25" hidden="false" customHeight="true" outlineLevel="0" collapsed="false">
      <c r="A4" s="44" t="s">
        <v>187</v>
      </c>
      <c r="B4" s="45" t="s">
        <v>188</v>
      </c>
      <c r="C4" s="45" t="s">
        <v>189</v>
      </c>
      <c r="D4" s="45" t="s">
        <v>190</v>
      </c>
      <c r="E4" s="46" t="s">
        <v>191</v>
      </c>
      <c r="F4" s="41"/>
      <c r="G4" s="41"/>
      <c r="H4" s="41"/>
      <c r="I4" s="41"/>
      <c r="J4" s="41"/>
      <c r="K4" s="41"/>
      <c r="L4" s="41"/>
      <c r="M4" s="41"/>
      <c r="N4" s="41"/>
      <c r="O4" s="41"/>
      <c r="P4" s="41"/>
      <c r="Q4" s="41"/>
      <c r="R4" s="41"/>
      <c r="S4" s="41"/>
      <c r="T4" s="41"/>
      <c r="U4" s="41"/>
      <c r="V4" s="41"/>
      <c r="W4" s="41"/>
      <c r="X4" s="41"/>
      <c r="Y4" s="41"/>
      <c r="Z4" s="41"/>
    </row>
    <row r="5" customFormat="false" ht="14.25" hidden="true" customHeight="true" outlineLevel="0" collapsed="false">
      <c r="A5" s="47" t="s">
        <v>192</v>
      </c>
      <c r="B5" s="48" t="s">
        <v>193</v>
      </c>
      <c r="C5" s="49" t="s">
        <v>194</v>
      </c>
      <c r="D5" s="48"/>
      <c r="E5" s="50"/>
      <c r="F5" s="41"/>
      <c r="G5" s="41"/>
      <c r="H5" s="41"/>
      <c r="I5" s="41"/>
      <c r="J5" s="41"/>
      <c r="K5" s="41"/>
      <c r="L5" s="41"/>
      <c r="M5" s="41"/>
      <c r="N5" s="41"/>
      <c r="O5" s="41"/>
      <c r="P5" s="41"/>
      <c r="Q5" s="41"/>
      <c r="R5" s="41"/>
      <c r="S5" s="41"/>
      <c r="T5" s="41"/>
      <c r="U5" s="41"/>
      <c r="V5" s="41"/>
      <c r="W5" s="41"/>
      <c r="X5" s="41"/>
      <c r="Y5" s="41"/>
      <c r="Z5" s="41"/>
    </row>
    <row r="6" customFormat="false" ht="14.25" hidden="true" customHeight="true" outlineLevel="0" collapsed="false">
      <c r="A6" s="47" t="s">
        <v>192</v>
      </c>
      <c r="B6" s="48" t="s">
        <v>195</v>
      </c>
      <c r="C6" s="49" t="s">
        <v>196</v>
      </c>
      <c r="D6" s="48"/>
      <c r="E6" s="50" t="str">
        <f aca="false">IF(C6="No aplica", "Indicar porqué no aplica este requisito en el organismo","")</f>
        <v/>
      </c>
      <c r="F6" s="41"/>
      <c r="G6" s="41"/>
      <c r="H6" s="41"/>
      <c r="I6" s="41"/>
      <c r="J6" s="41"/>
      <c r="K6" s="41"/>
      <c r="L6" s="41"/>
      <c r="M6" s="41"/>
      <c r="N6" s="41"/>
      <c r="O6" s="41"/>
      <c r="P6" s="41"/>
      <c r="Q6" s="41"/>
      <c r="R6" s="41"/>
      <c r="S6" s="41"/>
      <c r="T6" s="41"/>
      <c r="U6" s="41"/>
      <c r="V6" s="41"/>
      <c r="W6" s="41"/>
      <c r="X6" s="41"/>
      <c r="Y6" s="41"/>
      <c r="Z6" s="41"/>
    </row>
    <row r="7" customFormat="false" ht="14.25" hidden="true" customHeight="true" outlineLevel="0" collapsed="false">
      <c r="A7" s="47" t="s">
        <v>192</v>
      </c>
      <c r="B7" s="48" t="s">
        <v>197</v>
      </c>
      <c r="C7" s="49" t="s">
        <v>196</v>
      </c>
      <c r="D7" s="48"/>
      <c r="E7" s="50" t="str">
        <f aca="false">IF(C7="No aplica", "Indicar porqué no aplica este requisito en el organismo","")</f>
        <v/>
      </c>
      <c r="F7" s="41"/>
      <c r="G7" s="41"/>
      <c r="H7" s="41"/>
      <c r="I7" s="41"/>
      <c r="J7" s="41"/>
      <c r="K7" s="41"/>
      <c r="L7" s="41"/>
      <c r="M7" s="41"/>
      <c r="N7" s="41"/>
      <c r="O7" s="41"/>
      <c r="P7" s="41"/>
      <c r="Q7" s="41"/>
      <c r="R7" s="41"/>
      <c r="S7" s="41"/>
      <c r="T7" s="41"/>
      <c r="U7" s="41"/>
      <c r="V7" s="41"/>
      <c r="W7" s="41"/>
      <c r="X7" s="41"/>
      <c r="Y7" s="41"/>
      <c r="Z7" s="41"/>
    </row>
    <row r="8" customFormat="false" ht="14.25" hidden="true" customHeight="true" outlineLevel="0" collapsed="false">
      <c r="A8" s="47" t="s">
        <v>198</v>
      </c>
      <c r="B8" s="48" t="s">
        <v>199</v>
      </c>
      <c r="C8" s="49"/>
      <c r="D8" s="48"/>
      <c r="E8" s="50" t="str">
        <f aca="false">IF(C8="No aplica", "Indicar porqué no aplica este requisito en el organismo","")</f>
        <v/>
      </c>
      <c r="F8" s="41"/>
      <c r="G8" s="41"/>
      <c r="H8" s="41"/>
      <c r="I8" s="41"/>
      <c r="J8" s="41"/>
      <c r="K8" s="41"/>
      <c r="L8" s="41"/>
      <c r="M8" s="41"/>
      <c r="N8" s="41"/>
      <c r="O8" s="41"/>
      <c r="P8" s="41"/>
      <c r="Q8" s="41"/>
      <c r="R8" s="41"/>
      <c r="S8" s="41"/>
      <c r="T8" s="41"/>
      <c r="U8" s="41"/>
      <c r="V8" s="41"/>
      <c r="W8" s="41"/>
      <c r="X8" s="41"/>
      <c r="Y8" s="41"/>
      <c r="Z8" s="41"/>
    </row>
    <row r="9" customFormat="false" ht="14.25" hidden="true" customHeight="true" outlineLevel="0" collapsed="false">
      <c r="A9" s="47" t="s">
        <v>198</v>
      </c>
      <c r="B9" s="48" t="s">
        <v>200</v>
      </c>
      <c r="C9" s="49"/>
      <c r="D9" s="48"/>
      <c r="E9" s="50" t="str">
        <f aca="false">IF(C9="No aplica", "Indicar porqué no aplica este requisito en el organismo","")</f>
        <v/>
      </c>
      <c r="F9" s="41"/>
      <c r="G9" s="41"/>
      <c r="H9" s="41"/>
      <c r="I9" s="41"/>
      <c r="J9" s="41"/>
      <c r="K9" s="41"/>
      <c r="L9" s="41"/>
      <c r="M9" s="41"/>
      <c r="N9" s="41"/>
      <c r="O9" s="41"/>
      <c r="P9" s="41"/>
      <c r="Q9" s="41"/>
      <c r="R9" s="41"/>
      <c r="S9" s="41"/>
      <c r="T9" s="41"/>
      <c r="U9" s="41"/>
      <c r="V9" s="41"/>
      <c r="W9" s="41"/>
      <c r="X9" s="41"/>
      <c r="Y9" s="41"/>
      <c r="Z9" s="41"/>
    </row>
    <row r="10" customFormat="false" ht="14.25" hidden="true" customHeight="true" outlineLevel="0" collapsed="false">
      <c r="A10" s="47" t="s">
        <v>201</v>
      </c>
      <c r="B10" s="48" t="s">
        <v>202</v>
      </c>
      <c r="C10" s="49"/>
      <c r="D10" s="48"/>
      <c r="E10" s="50" t="str">
        <f aca="false">IF(C10="No aplica", "Indicar porqué no aplica este requisito en el organismo","")</f>
        <v/>
      </c>
      <c r="F10" s="41"/>
      <c r="G10" s="41"/>
      <c r="H10" s="41"/>
      <c r="I10" s="41"/>
      <c r="J10" s="41"/>
      <c r="K10" s="41"/>
      <c r="L10" s="41"/>
      <c r="M10" s="41"/>
      <c r="N10" s="41"/>
      <c r="O10" s="41"/>
      <c r="P10" s="41"/>
      <c r="Q10" s="41"/>
      <c r="R10" s="41"/>
      <c r="S10" s="41"/>
      <c r="T10" s="41"/>
      <c r="U10" s="41"/>
      <c r="V10" s="41"/>
      <c r="W10" s="41"/>
      <c r="X10" s="41"/>
      <c r="Y10" s="41"/>
      <c r="Z10" s="41"/>
    </row>
    <row r="11" customFormat="false" ht="14.25" hidden="true" customHeight="true" outlineLevel="0" collapsed="false">
      <c r="A11" s="47" t="s">
        <v>203</v>
      </c>
      <c r="B11" s="48" t="s">
        <v>204</v>
      </c>
      <c r="C11" s="49"/>
      <c r="D11" s="48"/>
      <c r="E11" s="50" t="str">
        <f aca="false">IF(C11="No aplica", "Indicar porqué no aplica este requisito en el organismo","")</f>
        <v/>
      </c>
      <c r="F11" s="41"/>
      <c r="G11" s="41"/>
      <c r="H11" s="41"/>
      <c r="I11" s="41"/>
      <c r="J11" s="41"/>
      <c r="K11" s="41"/>
      <c r="L11" s="41"/>
      <c r="M11" s="41"/>
      <c r="N11" s="41"/>
      <c r="O11" s="41"/>
      <c r="P11" s="41"/>
      <c r="Q11" s="41"/>
      <c r="R11" s="41"/>
      <c r="S11" s="41"/>
      <c r="T11" s="41"/>
      <c r="U11" s="41"/>
      <c r="V11" s="41"/>
      <c r="W11" s="41"/>
      <c r="X11" s="41"/>
      <c r="Y11" s="41"/>
      <c r="Z11" s="41"/>
    </row>
    <row r="12" customFormat="false" ht="14.25" hidden="true" customHeight="true" outlineLevel="0" collapsed="false">
      <c r="A12" s="47" t="s">
        <v>203</v>
      </c>
      <c r="B12" s="48" t="s">
        <v>205</v>
      </c>
      <c r="C12" s="49"/>
      <c r="D12" s="48"/>
      <c r="E12" s="50" t="str">
        <f aca="false">IF(C12="No aplica", "Indicar porqué no aplica este requisito en el organismo","")</f>
        <v/>
      </c>
      <c r="F12" s="41"/>
      <c r="G12" s="41"/>
      <c r="H12" s="41"/>
      <c r="I12" s="41"/>
      <c r="J12" s="41"/>
      <c r="K12" s="41"/>
      <c r="L12" s="41"/>
      <c r="M12" s="41"/>
      <c r="N12" s="41"/>
      <c r="O12" s="41"/>
      <c r="P12" s="41"/>
      <c r="Q12" s="41"/>
      <c r="R12" s="41"/>
      <c r="S12" s="41"/>
      <c r="T12" s="41"/>
      <c r="U12" s="41"/>
      <c r="V12" s="41"/>
      <c r="W12" s="41"/>
      <c r="X12" s="41"/>
      <c r="Y12" s="41"/>
      <c r="Z12" s="41"/>
    </row>
    <row r="13" customFormat="false" ht="14.25" hidden="true" customHeight="true" outlineLevel="0" collapsed="false">
      <c r="A13" s="47" t="s">
        <v>203</v>
      </c>
      <c r="B13" s="48" t="s">
        <v>206</v>
      </c>
      <c r="C13" s="49"/>
      <c r="D13" s="48"/>
      <c r="E13" s="50" t="str">
        <f aca="false">IF(C13="No aplica", "Indicar porqué no aplica este requisito en el organismo","")</f>
        <v/>
      </c>
      <c r="F13" s="41"/>
      <c r="G13" s="41"/>
      <c r="H13" s="41"/>
      <c r="I13" s="41"/>
      <c r="J13" s="41"/>
      <c r="K13" s="41"/>
      <c r="L13" s="41"/>
      <c r="M13" s="41"/>
      <c r="N13" s="41"/>
      <c r="O13" s="41"/>
      <c r="P13" s="41"/>
      <c r="Q13" s="41"/>
      <c r="R13" s="41"/>
      <c r="S13" s="41"/>
      <c r="T13" s="41"/>
      <c r="U13" s="41"/>
      <c r="V13" s="41"/>
      <c r="W13" s="41"/>
      <c r="X13" s="41"/>
      <c r="Y13" s="41"/>
      <c r="Z13" s="41"/>
    </row>
    <row r="14" customFormat="false" ht="14.25" hidden="true" customHeight="true" outlineLevel="0" collapsed="false">
      <c r="A14" s="47" t="s">
        <v>203</v>
      </c>
      <c r="B14" s="48" t="s">
        <v>207</v>
      </c>
      <c r="C14" s="49"/>
      <c r="D14" s="48"/>
      <c r="E14" s="50" t="str">
        <f aca="false">IF(C14="No aplica", "Indicar porqué no aplica este requisito en el organismo","")</f>
        <v/>
      </c>
      <c r="F14" s="41"/>
      <c r="G14" s="41"/>
      <c r="H14" s="41"/>
      <c r="I14" s="41"/>
      <c r="J14" s="41"/>
      <c r="K14" s="41"/>
      <c r="L14" s="41"/>
      <c r="M14" s="41"/>
      <c r="N14" s="41"/>
      <c r="O14" s="41"/>
      <c r="P14" s="41"/>
      <c r="Q14" s="41"/>
      <c r="R14" s="41"/>
      <c r="S14" s="41"/>
      <c r="T14" s="41"/>
      <c r="U14" s="41"/>
      <c r="V14" s="41"/>
      <c r="W14" s="41"/>
      <c r="X14" s="41"/>
      <c r="Y14" s="41"/>
      <c r="Z14" s="41"/>
    </row>
    <row r="15" customFormat="false" ht="14.25" hidden="true" customHeight="true" outlineLevel="0" collapsed="false">
      <c r="A15" s="47" t="s">
        <v>203</v>
      </c>
      <c r="B15" s="48" t="s">
        <v>208</v>
      </c>
      <c r="C15" s="49" t="s">
        <v>196</v>
      </c>
      <c r="D15" s="48"/>
      <c r="E15" s="50" t="str">
        <f aca="false">IF(C15="No aplica", "Indicar porqué no aplica este requisito en el organismo","")</f>
        <v/>
      </c>
      <c r="F15" s="41"/>
      <c r="G15" s="41"/>
      <c r="H15" s="41"/>
      <c r="I15" s="41"/>
      <c r="J15" s="41"/>
      <c r="K15" s="41"/>
      <c r="L15" s="41"/>
      <c r="M15" s="41"/>
      <c r="N15" s="41"/>
      <c r="O15" s="41"/>
      <c r="P15" s="41"/>
      <c r="Q15" s="41"/>
      <c r="R15" s="41"/>
      <c r="S15" s="41"/>
      <c r="T15" s="41"/>
      <c r="U15" s="41"/>
      <c r="V15" s="41"/>
      <c r="W15" s="41"/>
      <c r="X15" s="41"/>
      <c r="Y15" s="41"/>
      <c r="Z15" s="41"/>
    </row>
    <row r="16" customFormat="false" ht="14.25" hidden="false" customHeight="true" outlineLevel="0" collapsed="false">
      <c r="A16" s="47" t="s">
        <v>209</v>
      </c>
      <c r="B16" s="48" t="s">
        <v>210</v>
      </c>
      <c r="C16" s="49"/>
      <c r="D16" s="48"/>
      <c r="E16" s="50" t="str">
        <f aca="false">IF(C16="No aplica", "Indicar porqué no aplica este requisito en el organismo","")</f>
        <v/>
      </c>
      <c r="F16" s="41"/>
      <c r="G16" s="41"/>
      <c r="H16" s="41"/>
      <c r="I16" s="41"/>
      <c r="J16" s="41"/>
      <c r="K16" s="41"/>
      <c r="L16" s="41"/>
      <c r="M16" s="41"/>
      <c r="N16" s="41"/>
      <c r="O16" s="41"/>
      <c r="P16" s="41"/>
      <c r="Q16" s="41"/>
      <c r="R16" s="41"/>
      <c r="S16" s="41"/>
      <c r="T16" s="41"/>
      <c r="U16" s="41"/>
      <c r="V16" s="41"/>
      <c r="W16" s="41"/>
      <c r="X16" s="41"/>
      <c r="Y16" s="41"/>
      <c r="Z16" s="41"/>
    </row>
    <row r="17" customFormat="false" ht="14.25" hidden="true" customHeight="true" outlineLevel="0" collapsed="false">
      <c r="A17" s="47" t="s">
        <v>211</v>
      </c>
      <c r="B17" s="48" t="s">
        <v>212</v>
      </c>
      <c r="C17" s="49"/>
      <c r="D17" s="48"/>
      <c r="E17" s="50" t="str">
        <f aca="false">IF(C17="No aplica", "Indicar porqué no aplica este requisito en el organismo","")</f>
        <v/>
      </c>
      <c r="F17" s="41"/>
      <c r="G17" s="41"/>
      <c r="H17" s="41"/>
      <c r="I17" s="41"/>
      <c r="J17" s="41"/>
      <c r="K17" s="41"/>
      <c r="L17" s="41"/>
      <c r="M17" s="41"/>
      <c r="N17" s="41"/>
      <c r="O17" s="41"/>
      <c r="P17" s="41"/>
      <c r="Q17" s="41"/>
      <c r="R17" s="41"/>
      <c r="S17" s="41"/>
      <c r="T17" s="41"/>
      <c r="U17" s="41"/>
      <c r="V17" s="41"/>
      <c r="W17" s="41"/>
      <c r="X17" s="41"/>
      <c r="Y17" s="41"/>
      <c r="Z17" s="41"/>
    </row>
    <row r="18" customFormat="false" ht="14.25" hidden="true" customHeight="true" outlineLevel="0" collapsed="false">
      <c r="A18" s="47" t="s">
        <v>211</v>
      </c>
      <c r="B18" s="48" t="s">
        <v>213</v>
      </c>
      <c r="C18" s="49"/>
      <c r="D18" s="48"/>
      <c r="E18" s="50" t="str">
        <f aca="false">IF(C18="No aplica", "Indicar porqué no aplica este requisito en el organismo","")</f>
        <v/>
      </c>
      <c r="F18" s="41"/>
      <c r="G18" s="41"/>
      <c r="H18" s="41"/>
      <c r="I18" s="41"/>
      <c r="J18" s="41"/>
      <c r="K18" s="41"/>
      <c r="L18" s="41"/>
      <c r="M18" s="41"/>
      <c r="N18" s="41"/>
      <c r="O18" s="41"/>
      <c r="P18" s="41"/>
      <c r="Q18" s="41"/>
      <c r="R18" s="41"/>
      <c r="S18" s="41"/>
      <c r="T18" s="41"/>
      <c r="U18" s="41"/>
      <c r="V18" s="41"/>
      <c r="W18" s="41"/>
      <c r="X18" s="41"/>
      <c r="Y18" s="41"/>
      <c r="Z18" s="41"/>
    </row>
    <row r="19" customFormat="false" ht="14.25" hidden="false" customHeight="true" outlineLevel="0" collapsed="false">
      <c r="A19" s="47" t="s">
        <v>209</v>
      </c>
      <c r="B19" s="48" t="s">
        <v>214</v>
      </c>
      <c r="C19" s="49" t="s">
        <v>196</v>
      </c>
      <c r="D19" s="48"/>
      <c r="E19" s="50" t="str">
        <f aca="false">IF(C19="No aplica", "Indicar porqué no aplica este requisito en el organismo","")</f>
        <v/>
      </c>
      <c r="F19" s="41"/>
      <c r="G19" s="41"/>
      <c r="H19" s="41"/>
      <c r="I19" s="41"/>
      <c r="J19" s="41"/>
      <c r="K19" s="41"/>
      <c r="L19" s="41"/>
      <c r="M19" s="41"/>
      <c r="N19" s="41"/>
      <c r="O19" s="41"/>
      <c r="P19" s="41"/>
      <c r="Q19" s="41"/>
      <c r="R19" s="41"/>
      <c r="S19" s="41"/>
      <c r="T19" s="41"/>
      <c r="U19" s="41"/>
      <c r="V19" s="41"/>
      <c r="W19" s="41"/>
      <c r="X19" s="41"/>
      <c r="Y19" s="41"/>
      <c r="Z19" s="41"/>
    </row>
    <row r="20" customFormat="false" ht="14.25" hidden="false" customHeight="true" outlineLevel="0" collapsed="false">
      <c r="A20" s="47" t="s">
        <v>209</v>
      </c>
      <c r="B20" s="48" t="s">
        <v>215</v>
      </c>
      <c r="C20" s="49" t="s">
        <v>194</v>
      </c>
      <c r="D20" s="48"/>
      <c r="E20" s="50" t="str">
        <f aca="false">IF(C20="No aplica", "Indicar porqué no aplica este requisito en el organismo","")</f>
        <v/>
      </c>
      <c r="F20" s="41"/>
      <c r="G20" s="41"/>
      <c r="H20" s="41"/>
      <c r="I20" s="41"/>
      <c r="J20" s="41"/>
      <c r="K20" s="41"/>
      <c r="L20" s="41"/>
      <c r="M20" s="41"/>
      <c r="N20" s="41"/>
      <c r="O20" s="41"/>
      <c r="P20" s="41"/>
      <c r="Q20" s="41"/>
      <c r="R20" s="41"/>
      <c r="S20" s="41"/>
      <c r="T20" s="41"/>
      <c r="U20" s="41"/>
      <c r="V20" s="41"/>
      <c r="W20" s="41"/>
      <c r="X20" s="41"/>
      <c r="Y20" s="41"/>
      <c r="Z20" s="41"/>
    </row>
    <row r="21" customFormat="false" ht="14.25" hidden="false" customHeight="true" outlineLevel="0" collapsed="false">
      <c r="A21" s="47" t="s">
        <v>209</v>
      </c>
      <c r="B21" s="48" t="s">
        <v>216</v>
      </c>
      <c r="C21" s="49" t="s">
        <v>194</v>
      </c>
      <c r="D21" s="48"/>
      <c r="E21" s="50" t="str">
        <f aca="false">IF(C21="No aplica", "Indicar porqué no aplica este requisito en el organismo","")</f>
        <v/>
      </c>
      <c r="F21" s="41"/>
      <c r="G21" s="41"/>
      <c r="H21" s="41"/>
      <c r="I21" s="41"/>
      <c r="J21" s="41"/>
      <c r="K21" s="41"/>
      <c r="L21" s="41"/>
      <c r="M21" s="41"/>
      <c r="N21" s="41"/>
      <c r="O21" s="41"/>
      <c r="P21" s="41"/>
      <c r="Q21" s="41"/>
      <c r="R21" s="41"/>
      <c r="S21" s="41"/>
      <c r="T21" s="41"/>
      <c r="U21" s="41"/>
      <c r="V21" s="41"/>
      <c r="W21" s="41"/>
      <c r="X21" s="41"/>
      <c r="Y21" s="41"/>
      <c r="Z21" s="41"/>
    </row>
    <row r="22" customFormat="false" ht="14.25" hidden="false" customHeight="true" outlineLevel="0" collapsed="false">
      <c r="A22" s="47" t="s">
        <v>209</v>
      </c>
      <c r="B22" s="48" t="s">
        <v>217</v>
      </c>
      <c r="C22" s="49"/>
      <c r="D22" s="48"/>
      <c r="E22" s="50" t="str">
        <f aca="false">IF(C22="No aplica", "Indicar porqué no aplica este requisito en el organismo","")</f>
        <v/>
      </c>
      <c r="F22" s="41"/>
      <c r="G22" s="41"/>
      <c r="H22" s="41"/>
      <c r="I22" s="41"/>
      <c r="J22" s="41"/>
      <c r="K22" s="41"/>
      <c r="L22" s="41"/>
      <c r="M22" s="41"/>
      <c r="N22" s="41"/>
      <c r="O22" s="41"/>
      <c r="P22" s="41"/>
      <c r="Q22" s="41"/>
      <c r="R22" s="41"/>
      <c r="S22" s="41"/>
      <c r="T22" s="41"/>
      <c r="U22" s="41"/>
      <c r="V22" s="41"/>
      <c r="W22" s="41"/>
      <c r="X22" s="41"/>
      <c r="Y22" s="41"/>
      <c r="Z22" s="41"/>
    </row>
    <row r="23" customFormat="false" ht="14.25" hidden="false" customHeight="true" outlineLevel="0" collapsed="false">
      <c r="A23" s="47" t="s">
        <v>209</v>
      </c>
      <c r="B23" s="48" t="s">
        <v>218</v>
      </c>
      <c r="C23" s="49"/>
      <c r="D23" s="48"/>
      <c r="E23" s="50" t="str">
        <f aca="false">IF(C23="No aplica", "Indicar porqué no aplica este requisito en el organismo","")</f>
        <v/>
      </c>
      <c r="F23" s="41"/>
      <c r="G23" s="41"/>
      <c r="H23" s="41"/>
      <c r="I23" s="41"/>
      <c r="J23" s="41"/>
      <c r="K23" s="41"/>
      <c r="L23" s="41"/>
      <c r="M23" s="41"/>
      <c r="N23" s="41"/>
      <c r="O23" s="41"/>
      <c r="P23" s="41"/>
      <c r="Q23" s="41"/>
      <c r="R23" s="41"/>
      <c r="S23" s="41"/>
      <c r="T23" s="41"/>
      <c r="U23" s="41"/>
      <c r="V23" s="41"/>
      <c r="W23" s="41"/>
      <c r="X23" s="41"/>
      <c r="Y23" s="41"/>
      <c r="Z23" s="41"/>
    </row>
    <row r="24" customFormat="false" ht="14.25" hidden="true" customHeight="true" outlineLevel="0" collapsed="false">
      <c r="A24" s="47" t="s">
        <v>219</v>
      </c>
      <c r="B24" s="48" t="s">
        <v>220</v>
      </c>
      <c r="C24" s="49"/>
      <c r="D24" s="48"/>
      <c r="E24" s="50" t="str">
        <f aca="false">IF(C24="No aplica", "Indicar porqué no aplica este requisito en el organismo","")</f>
        <v/>
      </c>
      <c r="F24" s="41"/>
      <c r="G24" s="41"/>
      <c r="H24" s="41"/>
      <c r="I24" s="41"/>
      <c r="J24" s="41"/>
      <c r="K24" s="41"/>
      <c r="L24" s="41"/>
      <c r="M24" s="41"/>
      <c r="N24" s="41"/>
      <c r="O24" s="41"/>
      <c r="P24" s="41"/>
      <c r="Q24" s="41"/>
      <c r="R24" s="41"/>
      <c r="S24" s="41"/>
      <c r="T24" s="41"/>
      <c r="U24" s="41"/>
      <c r="V24" s="41"/>
      <c r="W24" s="41"/>
      <c r="X24" s="41"/>
      <c r="Y24" s="41"/>
      <c r="Z24" s="41"/>
    </row>
    <row r="25" customFormat="false" ht="14.25" hidden="true" customHeight="true" outlineLevel="0" collapsed="false">
      <c r="A25" s="47" t="s">
        <v>219</v>
      </c>
      <c r="B25" s="48" t="s">
        <v>221</v>
      </c>
      <c r="C25" s="49"/>
      <c r="D25" s="48"/>
      <c r="E25" s="50" t="str">
        <f aca="false">IF(C25="No aplica", "Indicar porqué no aplica este requisito en el organismo","")</f>
        <v/>
      </c>
      <c r="F25" s="41"/>
      <c r="G25" s="41"/>
      <c r="H25" s="41"/>
      <c r="I25" s="41"/>
      <c r="J25" s="41"/>
      <c r="K25" s="41"/>
      <c r="L25" s="41"/>
      <c r="M25" s="41"/>
      <c r="N25" s="41"/>
      <c r="O25" s="41"/>
      <c r="P25" s="41"/>
      <c r="Q25" s="41"/>
      <c r="R25" s="41"/>
      <c r="S25" s="41"/>
      <c r="T25" s="41"/>
      <c r="U25" s="41"/>
      <c r="V25" s="41"/>
      <c r="W25" s="41"/>
      <c r="X25" s="41"/>
      <c r="Y25" s="41"/>
      <c r="Z25" s="41"/>
    </row>
    <row r="26" customFormat="false" ht="14.25" hidden="true" customHeight="true" outlineLevel="0" collapsed="false">
      <c r="A26" s="47" t="s">
        <v>219</v>
      </c>
      <c r="B26" s="48" t="s">
        <v>222</v>
      </c>
      <c r="C26" s="49"/>
      <c r="D26" s="48"/>
      <c r="E26" s="50" t="str">
        <f aca="false">IF(C26="No aplica", "Indicar porqué no aplica este requisito en el organismo","")</f>
        <v/>
      </c>
      <c r="F26" s="41"/>
      <c r="G26" s="41"/>
      <c r="H26" s="41"/>
      <c r="I26" s="41"/>
      <c r="J26" s="41"/>
      <c r="K26" s="41"/>
      <c r="L26" s="41"/>
      <c r="M26" s="41"/>
      <c r="N26" s="41"/>
      <c r="O26" s="41"/>
      <c r="P26" s="41"/>
      <c r="Q26" s="41"/>
      <c r="R26" s="41"/>
      <c r="S26" s="41"/>
      <c r="T26" s="41"/>
      <c r="U26" s="41"/>
      <c r="V26" s="41"/>
      <c r="W26" s="41"/>
      <c r="X26" s="41"/>
      <c r="Y26" s="41"/>
      <c r="Z26" s="41"/>
    </row>
    <row r="27" customFormat="false" ht="14.25" hidden="true" customHeight="true" outlineLevel="0" collapsed="false">
      <c r="A27" s="47" t="s">
        <v>219</v>
      </c>
      <c r="B27" s="48" t="s">
        <v>223</v>
      </c>
      <c r="C27" s="49"/>
      <c r="D27" s="48"/>
      <c r="E27" s="50" t="str">
        <f aca="false">IF(C27="No aplica", "Indicar porqué no aplica este requisito en el organismo","")</f>
        <v/>
      </c>
      <c r="F27" s="41"/>
      <c r="G27" s="41"/>
      <c r="H27" s="41"/>
      <c r="I27" s="41"/>
      <c r="J27" s="41"/>
      <c r="K27" s="41"/>
      <c r="L27" s="41"/>
      <c r="M27" s="41"/>
      <c r="N27" s="41"/>
      <c r="O27" s="41"/>
      <c r="P27" s="41"/>
      <c r="Q27" s="41"/>
      <c r="R27" s="41"/>
      <c r="S27" s="41"/>
      <c r="T27" s="41"/>
      <c r="U27" s="41"/>
      <c r="V27" s="41"/>
      <c r="W27" s="41"/>
      <c r="X27" s="41"/>
      <c r="Y27" s="41"/>
      <c r="Z27" s="41"/>
    </row>
    <row r="28" customFormat="false" ht="14.25" hidden="true" customHeight="true" outlineLevel="0" collapsed="false">
      <c r="A28" s="47" t="s">
        <v>224</v>
      </c>
      <c r="B28" s="48" t="s">
        <v>225</v>
      </c>
      <c r="C28" s="49"/>
      <c r="D28" s="48"/>
      <c r="E28" s="50" t="str">
        <f aca="false">IF(C28="No aplica", "Indicar porqué no aplica este requisito en el organismo","")</f>
        <v/>
      </c>
      <c r="F28" s="41"/>
      <c r="G28" s="41"/>
      <c r="H28" s="41"/>
      <c r="I28" s="41"/>
      <c r="J28" s="41"/>
      <c r="K28" s="41"/>
      <c r="L28" s="41"/>
      <c r="M28" s="41"/>
      <c r="N28" s="41"/>
      <c r="O28" s="41"/>
      <c r="P28" s="41"/>
      <c r="Q28" s="41"/>
      <c r="R28" s="41"/>
      <c r="S28" s="41"/>
      <c r="T28" s="41"/>
      <c r="U28" s="41"/>
      <c r="V28" s="41"/>
      <c r="W28" s="41"/>
      <c r="X28" s="41"/>
      <c r="Y28" s="41"/>
      <c r="Z28" s="41"/>
    </row>
    <row r="29" customFormat="false" ht="14.25" hidden="true" customHeight="true" outlineLevel="0" collapsed="false">
      <c r="A29" s="47" t="s">
        <v>224</v>
      </c>
      <c r="B29" s="48" t="s">
        <v>226</v>
      </c>
      <c r="C29" s="49"/>
      <c r="D29" s="48"/>
      <c r="E29" s="50" t="str">
        <f aca="false">IF(C29="No aplica", "Indicar porqué no aplica este requisito en el organismo","")</f>
        <v/>
      </c>
      <c r="F29" s="41"/>
      <c r="G29" s="41"/>
      <c r="H29" s="41"/>
      <c r="I29" s="41"/>
      <c r="J29" s="41"/>
      <c r="K29" s="41"/>
      <c r="L29" s="41"/>
      <c r="M29" s="41"/>
      <c r="N29" s="41"/>
      <c r="O29" s="41"/>
      <c r="P29" s="41"/>
      <c r="Q29" s="41"/>
      <c r="R29" s="41"/>
      <c r="S29" s="41"/>
      <c r="T29" s="41"/>
      <c r="U29" s="41"/>
      <c r="V29" s="41"/>
      <c r="W29" s="41"/>
      <c r="X29" s="41"/>
      <c r="Y29" s="41"/>
      <c r="Z29" s="41"/>
    </row>
    <row r="30" customFormat="false" ht="14.25" hidden="true" customHeight="true" outlineLevel="0" collapsed="false">
      <c r="A30" s="47" t="s">
        <v>224</v>
      </c>
      <c r="B30" s="48" t="s">
        <v>227</v>
      </c>
      <c r="C30" s="49"/>
      <c r="D30" s="48"/>
      <c r="E30" s="50" t="str">
        <f aca="false">IF(C30="No aplica", "Indicar porqué no aplica este requisito en el organismo","")</f>
        <v/>
      </c>
      <c r="F30" s="41"/>
      <c r="G30" s="41"/>
      <c r="H30" s="41"/>
      <c r="I30" s="41"/>
      <c r="J30" s="41"/>
      <c r="K30" s="41"/>
      <c r="L30" s="41"/>
      <c r="M30" s="41"/>
      <c r="N30" s="41"/>
      <c r="O30" s="41"/>
      <c r="P30" s="41"/>
      <c r="Q30" s="41"/>
      <c r="R30" s="41"/>
      <c r="S30" s="41"/>
      <c r="T30" s="41"/>
      <c r="U30" s="41"/>
      <c r="V30" s="41"/>
      <c r="W30" s="41"/>
      <c r="X30" s="41"/>
      <c r="Y30" s="41"/>
      <c r="Z30" s="41"/>
    </row>
    <row r="31" customFormat="false" ht="14.25" hidden="true" customHeight="true" outlineLevel="0" collapsed="false">
      <c r="A31" s="47" t="s">
        <v>228</v>
      </c>
      <c r="B31" s="48" t="s">
        <v>229</v>
      </c>
      <c r="C31" s="49"/>
      <c r="D31" s="48"/>
      <c r="E31" s="50" t="str">
        <f aca="false">IF(C31="No aplica", "Indicar porqué no aplica este requisito en el organismo","")</f>
        <v/>
      </c>
      <c r="F31" s="41"/>
      <c r="G31" s="41"/>
      <c r="H31" s="41"/>
      <c r="I31" s="41"/>
      <c r="J31" s="41"/>
      <c r="K31" s="41"/>
      <c r="L31" s="41"/>
      <c r="M31" s="41"/>
      <c r="N31" s="41"/>
      <c r="O31" s="41"/>
      <c r="P31" s="41"/>
      <c r="Q31" s="41"/>
      <c r="R31" s="41"/>
      <c r="S31" s="41"/>
      <c r="T31" s="41"/>
      <c r="U31" s="41"/>
      <c r="V31" s="41"/>
      <c r="W31" s="41"/>
      <c r="X31" s="41"/>
      <c r="Y31" s="41"/>
      <c r="Z31" s="41"/>
    </row>
    <row r="32" customFormat="false" ht="14.25" hidden="true" customHeight="true" outlineLevel="0" collapsed="false">
      <c r="A32" s="47" t="s">
        <v>228</v>
      </c>
      <c r="B32" s="48" t="s">
        <v>230</v>
      </c>
      <c r="C32" s="49"/>
      <c r="D32" s="48"/>
      <c r="E32" s="50" t="str">
        <f aca="false">IF(C32="No aplica", "Indicar porqué no aplica este requisito en el organismo","")</f>
        <v/>
      </c>
      <c r="F32" s="41"/>
      <c r="G32" s="41"/>
      <c r="H32" s="41"/>
      <c r="I32" s="41"/>
      <c r="J32" s="41"/>
      <c r="K32" s="41"/>
      <c r="L32" s="41"/>
      <c r="M32" s="41"/>
      <c r="N32" s="41"/>
      <c r="O32" s="41"/>
      <c r="P32" s="41"/>
      <c r="Q32" s="41"/>
      <c r="R32" s="41"/>
      <c r="S32" s="41"/>
      <c r="T32" s="41"/>
      <c r="U32" s="41"/>
      <c r="V32" s="41"/>
      <c r="W32" s="41"/>
      <c r="X32" s="41"/>
      <c r="Y32" s="41"/>
      <c r="Z32" s="41"/>
    </row>
    <row r="33" customFormat="false" ht="14.25" hidden="true" customHeight="true" outlineLevel="0" collapsed="false">
      <c r="A33" s="47" t="s">
        <v>228</v>
      </c>
      <c r="B33" s="48" t="s">
        <v>231</v>
      </c>
      <c r="C33" s="49"/>
      <c r="D33" s="48"/>
      <c r="E33" s="50" t="str">
        <f aca="false">IF(C33="No aplica", "Indicar porqué no aplica este requisito en el organismo","")</f>
        <v/>
      </c>
      <c r="F33" s="41"/>
      <c r="G33" s="41"/>
      <c r="H33" s="41"/>
      <c r="I33" s="41"/>
      <c r="J33" s="41"/>
      <c r="K33" s="41"/>
      <c r="L33" s="41"/>
      <c r="M33" s="41"/>
      <c r="N33" s="41"/>
      <c r="O33" s="41"/>
      <c r="P33" s="41"/>
      <c r="Q33" s="41"/>
      <c r="R33" s="41"/>
      <c r="S33" s="41"/>
      <c r="T33" s="41"/>
      <c r="U33" s="41"/>
      <c r="V33" s="41"/>
      <c r="W33" s="41"/>
      <c r="X33" s="41"/>
      <c r="Y33" s="41"/>
      <c r="Z33" s="41"/>
    </row>
    <row r="34" customFormat="false" ht="14.25" hidden="true" customHeight="true" outlineLevel="0" collapsed="false">
      <c r="A34" s="47" t="s">
        <v>228</v>
      </c>
      <c r="B34" s="48" t="s">
        <v>232</v>
      </c>
      <c r="C34" s="49"/>
      <c r="D34" s="48"/>
      <c r="E34" s="50" t="str">
        <f aca="false">IF(C34="No aplica", "Indicar porqué no aplica este requisito en el organismo","")</f>
        <v/>
      </c>
      <c r="F34" s="41"/>
      <c r="G34" s="41"/>
      <c r="H34" s="41"/>
      <c r="I34" s="41"/>
      <c r="J34" s="41"/>
      <c r="K34" s="41"/>
      <c r="L34" s="41"/>
      <c r="M34" s="41"/>
      <c r="N34" s="41"/>
      <c r="O34" s="41"/>
      <c r="P34" s="41"/>
      <c r="Q34" s="41"/>
      <c r="R34" s="41"/>
      <c r="S34" s="41"/>
      <c r="T34" s="41"/>
      <c r="U34" s="41"/>
      <c r="V34" s="41"/>
      <c r="W34" s="41"/>
      <c r="X34" s="41"/>
      <c r="Y34" s="41"/>
      <c r="Z34" s="41"/>
    </row>
    <row r="35" customFormat="false" ht="14.25" hidden="true" customHeight="true" outlineLevel="0" collapsed="false">
      <c r="A35" s="47" t="s">
        <v>228</v>
      </c>
      <c r="B35" s="48" t="s">
        <v>233</v>
      </c>
      <c r="C35" s="49"/>
      <c r="D35" s="48"/>
      <c r="E35" s="50" t="str">
        <f aca="false">IF(C35="No aplica", "Indicar porqué no aplica este requisito en el organismo","")</f>
        <v/>
      </c>
      <c r="F35" s="41"/>
      <c r="G35" s="41"/>
      <c r="H35" s="41"/>
      <c r="I35" s="41"/>
      <c r="J35" s="41"/>
      <c r="K35" s="41"/>
      <c r="L35" s="41"/>
      <c r="M35" s="41"/>
      <c r="N35" s="41"/>
      <c r="O35" s="41"/>
      <c r="P35" s="41"/>
      <c r="Q35" s="41"/>
      <c r="R35" s="41"/>
      <c r="S35" s="41"/>
      <c r="T35" s="41"/>
      <c r="U35" s="41"/>
      <c r="V35" s="41"/>
      <c r="W35" s="41"/>
      <c r="X35" s="41"/>
      <c r="Y35" s="41"/>
      <c r="Z35" s="41"/>
    </row>
    <row r="36" customFormat="false" ht="14.25" hidden="true" customHeight="true" outlineLevel="0" collapsed="false">
      <c r="A36" s="47" t="s">
        <v>228</v>
      </c>
      <c r="B36" s="48" t="s">
        <v>234</v>
      </c>
      <c r="C36" s="49"/>
      <c r="D36" s="48"/>
      <c r="E36" s="50"/>
      <c r="F36" s="41"/>
      <c r="G36" s="41"/>
      <c r="H36" s="41"/>
      <c r="I36" s="41"/>
      <c r="J36" s="41"/>
      <c r="K36" s="41"/>
      <c r="L36" s="41"/>
      <c r="M36" s="41"/>
      <c r="N36" s="41"/>
      <c r="O36" s="41"/>
      <c r="P36" s="41"/>
      <c r="Q36" s="41"/>
      <c r="R36" s="41"/>
      <c r="S36" s="41"/>
      <c r="T36" s="41"/>
      <c r="U36" s="41"/>
      <c r="V36" s="41"/>
      <c r="W36" s="41"/>
      <c r="X36" s="41"/>
      <c r="Y36" s="41"/>
      <c r="Z36" s="41"/>
    </row>
    <row r="37" customFormat="false" ht="14.25" hidden="true" customHeight="true" outlineLevel="0" collapsed="false">
      <c r="A37" s="47" t="s">
        <v>228</v>
      </c>
      <c r="B37" s="48" t="s">
        <v>235</v>
      </c>
      <c r="C37" s="49"/>
      <c r="D37" s="48"/>
      <c r="E37" s="50"/>
      <c r="F37" s="41"/>
      <c r="G37" s="41"/>
      <c r="H37" s="41"/>
      <c r="I37" s="41"/>
      <c r="J37" s="41"/>
      <c r="K37" s="41"/>
      <c r="L37" s="41"/>
      <c r="M37" s="41"/>
      <c r="N37" s="41"/>
      <c r="O37" s="41"/>
      <c r="P37" s="41"/>
      <c r="Q37" s="41"/>
      <c r="R37" s="41"/>
      <c r="S37" s="41"/>
      <c r="T37" s="41"/>
      <c r="U37" s="41"/>
      <c r="V37" s="41"/>
      <c r="W37" s="41"/>
      <c r="X37" s="41"/>
      <c r="Y37" s="41"/>
      <c r="Z37" s="41"/>
    </row>
    <row r="38" customFormat="false" ht="14.25" hidden="true" customHeight="true" outlineLevel="0" collapsed="false">
      <c r="A38" s="47" t="s">
        <v>228</v>
      </c>
      <c r="B38" s="48" t="s">
        <v>236</v>
      </c>
      <c r="C38" s="49"/>
      <c r="D38" s="48"/>
      <c r="E38" s="50"/>
      <c r="F38" s="41"/>
      <c r="G38" s="41"/>
      <c r="H38" s="41"/>
      <c r="I38" s="41"/>
      <c r="J38" s="41"/>
      <c r="K38" s="41"/>
      <c r="L38" s="41"/>
      <c r="M38" s="41"/>
      <c r="N38" s="41"/>
      <c r="O38" s="41"/>
      <c r="P38" s="41"/>
      <c r="Q38" s="41"/>
      <c r="R38" s="41"/>
      <c r="S38" s="41"/>
      <c r="T38" s="41"/>
      <c r="U38" s="41"/>
      <c r="V38" s="41"/>
      <c r="W38" s="41"/>
      <c r="X38" s="41"/>
      <c r="Y38" s="41"/>
      <c r="Z38" s="41"/>
    </row>
    <row r="39" customFormat="false" ht="14.25" hidden="true" customHeight="true" outlineLevel="0" collapsed="false">
      <c r="A39" s="47" t="s">
        <v>237</v>
      </c>
      <c r="B39" s="48" t="s">
        <v>238</v>
      </c>
      <c r="C39" s="49"/>
      <c r="D39" s="48"/>
      <c r="E39" s="50"/>
      <c r="F39" s="41"/>
      <c r="G39" s="41"/>
      <c r="H39" s="41"/>
      <c r="I39" s="41"/>
      <c r="J39" s="41"/>
      <c r="K39" s="41"/>
      <c r="L39" s="41"/>
      <c r="M39" s="41"/>
      <c r="N39" s="41"/>
      <c r="O39" s="41"/>
      <c r="P39" s="41"/>
      <c r="Q39" s="41"/>
      <c r="R39" s="41"/>
      <c r="S39" s="41"/>
      <c r="T39" s="41"/>
      <c r="U39" s="41"/>
      <c r="V39" s="41"/>
      <c r="W39" s="41"/>
      <c r="X39" s="41"/>
      <c r="Y39" s="41"/>
      <c r="Z39" s="41"/>
    </row>
    <row r="40" customFormat="false" ht="14.25" hidden="true" customHeight="true" outlineLevel="0" collapsed="false">
      <c r="A40" s="47" t="s">
        <v>237</v>
      </c>
      <c r="B40" s="48" t="s">
        <v>239</v>
      </c>
      <c r="C40" s="49"/>
      <c r="D40" s="48"/>
      <c r="E40" s="50"/>
      <c r="F40" s="41"/>
      <c r="G40" s="41"/>
      <c r="H40" s="41"/>
      <c r="I40" s="41"/>
      <c r="J40" s="41"/>
      <c r="K40" s="41"/>
      <c r="L40" s="41"/>
      <c r="M40" s="41"/>
      <c r="N40" s="41"/>
      <c r="O40" s="41"/>
      <c r="P40" s="41"/>
      <c r="Q40" s="41"/>
      <c r="R40" s="41"/>
      <c r="S40" s="41"/>
      <c r="T40" s="41"/>
      <c r="U40" s="41"/>
      <c r="V40" s="41"/>
      <c r="W40" s="41"/>
      <c r="X40" s="41"/>
      <c r="Y40" s="41"/>
      <c r="Z40" s="41"/>
    </row>
    <row r="41" customFormat="false" ht="14.25" hidden="true" customHeight="true" outlineLevel="0" collapsed="false">
      <c r="A41" s="47" t="s">
        <v>237</v>
      </c>
      <c r="B41" s="48" t="s">
        <v>240</v>
      </c>
      <c r="C41" s="49"/>
      <c r="D41" s="48"/>
      <c r="E41" s="50"/>
      <c r="F41" s="41"/>
      <c r="G41" s="41"/>
      <c r="H41" s="41"/>
      <c r="I41" s="41"/>
      <c r="J41" s="41"/>
      <c r="K41" s="41"/>
      <c r="L41" s="41"/>
      <c r="M41" s="41"/>
      <c r="N41" s="41"/>
      <c r="O41" s="41"/>
      <c r="P41" s="41"/>
      <c r="Q41" s="41"/>
      <c r="R41" s="41"/>
      <c r="S41" s="41"/>
      <c r="T41" s="41"/>
      <c r="U41" s="41"/>
      <c r="V41" s="41"/>
      <c r="W41" s="41"/>
      <c r="X41" s="41"/>
      <c r="Y41" s="41"/>
      <c r="Z41" s="41"/>
    </row>
    <row r="42" customFormat="false" ht="14.25" hidden="true" customHeight="true" outlineLevel="0" collapsed="false">
      <c r="A42" s="47" t="s">
        <v>237</v>
      </c>
      <c r="B42" s="48" t="s">
        <v>241</v>
      </c>
      <c r="C42" s="49"/>
      <c r="D42" s="48"/>
      <c r="E42" s="50"/>
      <c r="F42" s="41"/>
      <c r="G42" s="41"/>
      <c r="H42" s="41"/>
      <c r="I42" s="41"/>
      <c r="J42" s="41"/>
      <c r="K42" s="41"/>
      <c r="L42" s="41"/>
      <c r="M42" s="41"/>
      <c r="N42" s="41"/>
      <c r="O42" s="41"/>
      <c r="P42" s="41"/>
      <c r="Q42" s="41"/>
      <c r="R42" s="41"/>
      <c r="S42" s="41"/>
      <c r="T42" s="41"/>
      <c r="U42" s="41"/>
      <c r="V42" s="41"/>
      <c r="W42" s="41"/>
      <c r="X42" s="41"/>
      <c r="Y42" s="41"/>
      <c r="Z42" s="41"/>
    </row>
    <row r="43" customFormat="false" ht="14.25" hidden="true" customHeight="true" outlineLevel="0" collapsed="false">
      <c r="A43" s="47" t="s">
        <v>237</v>
      </c>
      <c r="B43" s="48" t="s">
        <v>242</v>
      </c>
      <c r="C43" s="49"/>
      <c r="D43" s="48"/>
      <c r="E43" s="50"/>
      <c r="F43" s="41"/>
      <c r="G43" s="41"/>
      <c r="H43" s="41"/>
      <c r="I43" s="41"/>
      <c r="J43" s="41"/>
      <c r="K43" s="41"/>
      <c r="L43" s="41"/>
      <c r="M43" s="41"/>
      <c r="N43" s="41"/>
      <c r="O43" s="41"/>
      <c r="P43" s="41"/>
      <c r="Q43" s="41"/>
      <c r="R43" s="41"/>
      <c r="S43" s="41"/>
      <c r="T43" s="41"/>
      <c r="U43" s="41"/>
      <c r="V43" s="41"/>
      <c r="W43" s="41"/>
      <c r="X43" s="41"/>
      <c r="Y43" s="41"/>
      <c r="Z43" s="41"/>
    </row>
    <row r="44" customFormat="false" ht="14.25" hidden="true" customHeight="true" outlineLevel="0" collapsed="false">
      <c r="A44" s="47" t="s">
        <v>237</v>
      </c>
      <c r="B44" s="48" t="s">
        <v>243</v>
      </c>
      <c r="C44" s="49"/>
      <c r="D44" s="48"/>
      <c r="E44" s="50"/>
      <c r="F44" s="41"/>
      <c r="G44" s="41"/>
      <c r="H44" s="41"/>
      <c r="I44" s="41"/>
      <c r="J44" s="41"/>
      <c r="K44" s="41"/>
      <c r="L44" s="41"/>
      <c r="M44" s="41"/>
      <c r="N44" s="41"/>
      <c r="O44" s="41"/>
      <c r="P44" s="41"/>
      <c r="Q44" s="41"/>
      <c r="R44" s="41"/>
      <c r="S44" s="41"/>
      <c r="T44" s="41"/>
      <c r="U44" s="41"/>
      <c r="V44" s="41"/>
      <c r="W44" s="41"/>
      <c r="X44" s="41"/>
      <c r="Y44" s="41"/>
      <c r="Z44" s="41"/>
    </row>
    <row r="45" customFormat="false" ht="14.25" hidden="true" customHeight="true" outlineLevel="0" collapsed="false">
      <c r="A45" s="47" t="s">
        <v>237</v>
      </c>
      <c r="B45" s="48" t="s">
        <v>244</v>
      </c>
      <c r="C45" s="49"/>
      <c r="D45" s="48"/>
      <c r="E45" s="50"/>
      <c r="F45" s="41"/>
      <c r="G45" s="41"/>
      <c r="H45" s="41"/>
      <c r="I45" s="41"/>
      <c r="J45" s="41"/>
      <c r="K45" s="41"/>
      <c r="L45" s="41"/>
      <c r="M45" s="41"/>
      <c r="N45" s="41"/>
      <c r="O45" s="41"/>
      <c r="P45" s="41"/>
      <c r="Q45" s="41"/>
      <c r="R45" s="41"/>
      <c r="S45" s="41"/>
      <c r="T45" s="41"/>
      <c r="U45" s="41"/>
      <c r="V45" s="41"/>
      <c r="W45" s="41"/>
      <c r="X45" s="41"/>
      <c r="Y45" s="41"/>
      <c r="Z45" s="41"/>
    </row>
    <row r="46" customFormat="false" ht="14.25" hidden="true" customHeight="true" outlineLevel="0" collapsed="false">
      <c r="A46" s="47" t="s">
        <v>237</v>
      </c>
      <c r="B46" s="48" t="s">
        <v>245</v>
      </c>
      <c r="C46" s="49"/>
      <c r="D46" s="48"/>
      <c r="E46" s="50"/>
      <c r="F46" s="41"/>
      <c r="G46" s="41"/>
      <c r="H46" s="41"/>
      <c r="I46" s="41"/>
      <c r="J46" s="41"/>
      <c r="K46" s="41"/>
      <c r="L46" s="41"/>
      <c r="M46" s="41"/>
      <c r="N46" s="41"/>
      <c r="O46" s="41"/>
      <c r="P46" s="41"/>
      <c r="Q46" s="41"/>
      <c r="R46" s="41"/>
      <c r="S46" s="41"/>
      <c r="T46" s="41"/>
      <c r="U46" s="41"/>
      <c r="V46" s="41"/>
      <c r="W46" s="41"/>
      <c r="X46" s="41"/>
      <c r="Y46" s="41"/>
      <c r="Z46" s="41"/>
    </row>
    <row r="47" customFormat="false" ht="14.25" hidden="true" customHeight="true" outlineLevel="0" collapsed="false">
      <c r="A47" s="47" t="s">
        <v>237</v>
      </c>
      <c r="B47" s="48" t="s">
        <v>246</v>
      </c>
      <c r="C47" s="49"/>
      <c r="D47" s="48"/>
      <c r="E47" s="50"/>
      <c r="F47" s="41"/>
      <c r="G47" s="41"/>
      <c r="H47" s="41"/>
      <c r="I47" s="41"/>
      <c r="J47" s="41"/>
      <c r="K47" s="41"/>
      <c r="L47" s="41"/>
      <c r="M47" s="41"/>
      <c r="N47" s="41"/>
      <c r="O47" s="41"/>
      <c r="P47" s="41"/>
      <c r="Q47" s="41"/>
      <c r="R47" s="41"/>
      <c r="S47" s="41"/>
      <c r="T47" s="41"/>
      <c r="U47" s="41"/>
      <c r="V47" s="41"/>
      <c r="W47" s="41"/>
      <c r="X47" s="41"/>
      <c r="Y47" s="41"/>
      <c r="Z47" s="41"/>
    </row>
    <row r="48" customFormat="false" ht="14.25" hidden="true" customHeight="true" outlineLevel="0" collapsed="false">
      <c r="A48" s="47" t="s">
        <v>237</v>
      </c>
      <c r="B48" s="48" t="s">
        <v>247</v>
      </c>
      <c r="C48" s="49"/>
      <c r="D48" s="48"/>
      <c r="E48" s="50"/>
      <c r="F48" s="41"/>
      <c r="G48" s="41"/>
      <c r="H48" s="41"/>
      <c r="I48" s="41"/>
      <c r="J48" s="41"/>
      <c r="K48" s="41"/>
      <c r="L48" s="41"/>
      <c r="M48" s="41"/>
      <c r="N48" s="41"/>
      <c r="O48" s="41"/>
      <c r="P48" s="41"/>
      <c r="Q48" s="41"/>
      <c r="R48" s="41"/>
      <c r="S48" s="41"/>
      <c r="T48" s="41"/>
      <c r="U48" s="41"/>
      <c r="V48" s="41"/>
      <c r="W48" s="41"/>
      <c r="X48" s="41"/>
      <c r="Y48" s="41"/>
      <c r="Z48" s="41"/>
    </row>
    <row r="49" customFormat="false" ht="14.25" hidden="true" customHeight="true" outlineLevel="0" collapsed="false">
      <c r="A49" s="47" t="s">
        <v>237</v>
      </c>
      <c r="B49" s="48" t="s">
        <v>248</v>
      </c>
      <c r="C49" s="49"/>
      <c r="D49" s="48"/>
      <c r="E49" s="50"/>
      <c r="F49" s="41"/>
      <c r="G49" s="41"/>
      <c r="H49" s="41"/>
      <c r="I49" s="41"/>
      <c r="J49" s="41"/>
      <c r="K49" s="41"/>
      <c r="L49" s="41"/>
      <c r="M49" s="41"/>
      <c r="N49" s="41"/>
      <c r="O49" s="41"/>
      <c r="P49" s="41"/>
      <c r="Q49" s="41"/>
      <c r="R49" s="41"/>
      <c r="S49" s="41"/>
      <c r="T49" s="41"/>
      <c r="U49" s="41"/>
      <c r="V49" s="41"/>
      <c r="W49" s="41"/>
      <c r="X49" s="41"/>
      <c r="Y49" s="41"/>
      <c r="Z49" s="41"/>
    </row>
    <row r="50" customFormat="false" ht="14.25" hidden="true" customHeight="true" outlineLevel="0" collapsed="false">
      <c r="A50" s="47" t="s">
        <v>237</v>
      </c>
      <c r="B50" s="48" t="s">
        <v>249</v>
      </c>
      <c r="C50" s="49"/>
      <c r="D50" s="48"/>
      <c r="E50" s="50"/>
      <c r="F50" s="41"/>
      <c r="G50" s="41"/>
      <c r="H50" s="41"/>
      <c r="I50" s="41"/>
      <c r="J50" s="41"/>
      <c r="K50" s="41"/>
      <c r="L50" s="41"/>
      <c r="M50" s="41"/>
      <c r="N50" s="41"/>
      <c r="O50" s="41"/>
      <c r="P50" s="41"/>
      <c r="Q50" s="41"/>
      <c r="R50" s="41"/>
      <c r="S50" s="41"/>
      <c r="T50" s="41"/>
      <c r="U50" s="41"/>
      <c r="V50" s="41"/>
      <c r="W50" s="41"/>
      <c r="X50" s="41"/>
      <c r="Y50" s="41"/>
      <c r="Z50" s="41"/>
    </row>
    <row r="51" customFormat="false" ht="14.25" hidden="true" customHeight="true" outlineLevel="0" collapsed="false">
      <c r="A51" s="47" t="s">
        <v>237</v>
      </c>
      <c r="B51" s="48" t="s">
        <v>250</v>
      </c>
      <c r="C51" s="49"/>
      <c r="D51" s="48"/>
      <c r="E51" s="50"/>
      <c r="F51" s="41"/>
      <c r="G51" s="41"/>
      <c r="H51" s="41"/>
      <c r="I51" s="41"/>
      <c r="J51" s="41"/>
      <c r="K51" s="41"/>
      <c r="L51" s="41"/>
      <c r="M51" s="41"/>
      <c r="N51" s="41"/>
      <c r="O51" s="41"/>
      <c r="P51" s="41"/>
      <c r="Q51" s="41"/>
      <c r="R51" s="41"/>
      <c r="S51" s="41"/>
      <c r="T51" s="41"/>
      <c r="U51" s="41"/>
      <c r="V51" s="41"/>
      <c r="W51" s="41"/>
      <c r="X51" s="41"/>
      <c r="Y51" s="41"/>
      <c r="Z51" s="41"/>
    </row>
    <row r="52" customFormat="false" ht="14.25" hidden="true" customHeight="true" outlineLevel="0" collapsed="false">
      <c r="A52" s="47" t="s">
        <v>237</v>
      </c>
      <c r="B52" s="48" t="s">
        <v>251</v>
      </c>
      <c r="C52" s="49" t="s">
        <v>194</v>
      </c>
      <c r="D52" s="48"/>
      <c r="E52" s="50"/>
      <c r="F52" s="41"/>
      <c r="G52" s="41"/>
      <c r="H52" s="41"/>
      <c r="I52" s="41"/>
      <c r="J52" s="41"/>
      <c r="K52" s="41"/>
      <c r="L52" s="41"/>
      <c r="M52" s="41"/>
      <c r="N52" s="41"/>
      <c r="O52" s="41"/>
      <c r="P52" s="41"/>
      <c r="Q52" s="41"/>
      <c r="R52" s="41"/>
      <c r="S52" s="41"/>
      <c r="T52" s="41"/>
      <c r="U52" s="41"/>
      <c r="V52" s="41"/>
      <c r="W52" s="41"/>
      <c r="X52" s="41"/>
      <c r="Y52" s="41"/>
      <c r="Z52" s="41"/>
    </row>
    <row r="53" customFormat="false" ht="14.25" hidden="true" customHeight="true" outlineLevel="0" collapsed="false">
      <c r="A53" s="47" t="s">
        <v>237</v>
      </c>
      <c r="B53" s="48" t="s">
        <v>252</v>
      </c>
      <c r="C53" s="49"/>
      <c r="D53" s="48"/>
      <c r="E53" s="50"/>
      <c r="F53" s="41"/>
      <c r="G53" s="41"/>
      <c r="H53" s="41"/>
      <c r="I53" s="41"/>
      <c r="J53" s="41"/>
      <c r="K53" s="41"/>
      <c r="L53" s="41"/>
      <c r="M53" s="41"/>
      <c r="N53" s="41"/>
      <c r="O53" s="41"/>
      <c r="P53" s="41"/>
      <c r="Q53" s="41"/>
      <c r="R53" s="41"/>
      <c r="S53" s="41"/>
      <c r="T53" s="41"/>
      <c r="U53" s="41"/>
      <c r="V53" s="41"/>
      <c r="W53" s="41"/>
      <c r="X53" s="41"/>
      <c r="Y53" s="41"/>
      <c r="Z53" s="41"/>
    </row>
    <row r="54" customFormat="false" ht="14.25" hidden="true" customHeight="true" outlineLevel="0" collapsed="false">
      <c r="A54" s="47" t="s">
        <v>253</v>
      </c>
      <c r="B54" s="48" t="s">
        <v>254</v>
      </c>
      <c r="C54" s="49"/>
      <c r="D54" s="48"/>
      <c r="E54" s="50"/>
      <c r="F54" s="41"/>
      <c r="G54" s="41"/>
      <c r="H54" s="41"/>
      <c r="I54" s="41"/>
      <c r="J54" s="41"/>
      <c r="K54" s="41"/>
      <c r="L54" s="41"/>
      <c r="M54" s="41"/>
      <c r="N54" s="41"/>
      <c r="O54" s="41"/>
      <c r="P54" s="41"/>
      <c r="Q54" s="41"/>
      <c r="R54" s="41"/>
      <c r="S54" s="41"/>
      <c r="T54" s="41"/>
      <c r="U54" s="41"/>
      <c r="V54" s="41"/>
      <c r="W54" s="41"/>
      <c r="X54" s="41"/>
      <c r="Y54" s="41"/>
      <c r="Z54" s="41"/>
    </row>
    <row r="55" customFormat="false" ht="14.25" hidden="true" customHeight="true" outlineLevel="0" collapsed="false">
      <c r="A55" s="47" t="s">
        <v>255</v>
      </c>
      <c r="B55" s="48" t="s">
        <v>256</v>
      </c>
      <c r="C55" s="49"/>
      <c r="D55" s="48"/>
      <c r="E55" s="50"/>
      <c r="F55" s="41"/>
      <c r="G55" s="41"/>
      <c r="H55" s="41"/>
      <c r="I55" s="41"/>
      <c r="J55" s="41"/>
      <c r="K55" s="41"/>
      <c r="L55" s="41"/>
      <c r="M55" s="41"/>
      <c r="N55" s="41"/>
      <c r="O55" s="41"/>
      <c r="P55" s="41"/>
      <c r="Q55" s="41"/>
      <c r="R55" s="41"/>
      <c r="S55" s="41"/>
      <c r="T55" s="41"/>
      <c r="U55" s="41"/>
      <c r="V55" s="41"/>
      <c r="W55" s="41"/>
      <c r="X55" s="41"/>
      <c r="Y55" s="41"/>
      <c r="Z55" s="41"/>
    </row>
    <row r="56" customFormat="false" ht="14.25" hidden="true" customHeight="true" outlineLevel="0" collapsed="false">
      <c r="A56" s="47" t="s">
        <v>255</v>
      </c>
      <c r="B56" s="48" t="s">
        <v>257</v>
      </c>
      <c r="C56" s="49"/>
      <c r="D56" s="48"/>
      <c r="E56" s="50"/>
      <c r="F56" s="41"/>
      <c r="G56" s="41"/>
      <c r="H56" s="41"/>
      <c r="I56" s="41"/>
      <c r="J56" s="41"/>
      <c r="K56" s="41"/>
      <c r="L56" s="41"/>
      <c r="M56" s="41"/>
      <c r="N56" s="41"/>
      <c r="O56" s="41"/>
      <c r="P56" s="41"/>
      <c r="Q56" s="41"/>
      <c r="R56" s="41"/>
      <c r="S56" s="41"/>
      <c r="T56" s="41"/>
      <c r="U56" s="41"/>
      <c r="V56" s="41"/>
      <c r="W56" s="41"/>
      <c r="X56" s="41"/>
      <c r="Y56" s="41"/>
      <c r="Z56" s="41"/>
    </row>
    <row r="57" customFormat="false" ht="14.25" hidden="true" customHeight="true" outlineLevel="0" collapsed="false">
      <c r="A57" s="47" t="s">
        <v>258</v>
      </c>
      <c r="B57" s="48" t="s">
        <v>259</v>
      </c>
      <c r="C57" s="49"/>
      <c r="D57" s="48"/>
      <c r="E57" s="50"/>
      <c r="F57" s="41"/>
      <c r="G57" s="41"/>
      <c r="H57" s="41"/>
      <c r="I57" s="41"/>
      <c r="J57" s="41"/>
      <c r="K57" s="41"/>
      <c r="L57" s="41"/>
      <c r="M57" s="41"/>
      <c r="N57" s="41"/>
      <c r="O57" s="41"/>
      <c r="P57" s="41"/>
      <c r="Q57" s="41"/>
      <c r="R57" s="41"/>
      <c r="S57" s="41"/>
      <c r="T57" s="41"/>
      <c r="U57" s="41"/>
      <c r="V57" s="41"/>
      <c r="W57" s="41"/>
      <c r="X57" s="41"/>
      <c r="Y57" s="41"/>
      <c r="Z57" s="41"/>
    </row>
    <row r="58" customFormat="false" ht="14.25" hidden="true" customHeight="true" outlineLevel="0" collapsed="false">
      <c r="A58" s="47" t="s">
        <v>258</v>
      </c>
      <c r="B58" s="48" t="s">
        <v>260</v>
      </c>
      <c r="C58" s="49"/>
      <c r="D58" s="48"/>
      <c r="E58" s="50"/>
      <c r="F58" s="41"/>
      <c r="G58" s="41"/>
      <c r="H58" s="41"/>
      <c r="I58" s="41"/>
      <c r="J58" s="41"/>
      <c r="K58" s="41"/>
      <c r="L58" s="41"/>
      <c r="M58" s="41"/>
      <c r="N58" s="41"/>
      <c r="O58" s="41"/>
      <c r="P58" s="41"/>
      <c r="Q58" s="41"/>
      <c r="R58" s="41"/>
      <c r="S58" s="41"/>
      <c r="T58" s="41"/>
      <c r="U58" s="41"/>
      <c r="V58" s="41"/>
      <c r="W58" s="41"/>
      <c r="X58" s="41"/>
      <c r="Y58" s="41"/>
      <c r="Z58" s="41"/>
    </row>
    <row r="59" customFormat="false" ht="14.25" hidden="true" customHeight="true" outlineLevel="0" collapsed="false">
      <c r="A59" s="47" t="s">
        <v>258</v>
      </c>
      <c r="B59" s="48" t="s">
        <v>261</v>
      </c>
      <c r="C59" s="49"/>
      <c r="D59" s="48"/>
      <c r="E59" s="50"/>
      <c r="F59" s="41"/>
      <c r="G59" s="41"/>
      <c r="H59" s="41"/>
      <c r="I59" s="41"/>
      <c r="J59" s="41"/>
      <c r="K59" s="41"/>
      <c r="L59" s="41"/>
      <c r="M59" s="41"/>
      <c r="N59" s="41"/>
      <c r="O59" s="41"/>
      <c r="P59" s="41"/>
      <c r="Q59" s="41"/>
      <c r="R59" s="41"/>
      <c r="S59" s="41"/>
      <c r="T59" s="41"/>
      <c r="U59" s="41"/>
      <c r="V59" s="41"/>
      <c r="W59" s="41"/>
      <c r="X59" s="41"/>
      <c r="Y59" s="41"/>
      <c r="Z59" s="41"/>
    </row>
    <row r="60" customFormat="false" ht="14.25" hidden="true" customHeight="true" outlineLevel="0" collapsed="false">
      <c r="A60" s="47" t="s">
        <v>258</v>
      </c>
      <c r="B60" s="48" t="s">
        <v>262</v>
      </c>
      <c r="C60" s="49"/>
      <c r="D60" s="48"/>
      <c r="E60" s="50"/>
      <c r="F60" s="41"/>
      <c r="G60" s="41"/>
      <c r="H60" s="41"/>
      <c r="I60" s="41"/>
      <c r="J60" s="41"/>
      <c r="K60" s="41"/>
      <c r="L60" s="41"/>
      <c r="M60" s="41"/>
      <c r="N60" s="41"/>
      <c r="O60" s="41"/>
      <c r="P60" s="41"/>
      <c r="Q60" s="41"/>
      <c r="R60" s="41"/>
      <c r="S60" s="41"/>
      <c r="T60" s="41"/>
      <c r="U60" s="41"/>
      <c r="V60" s="41"/>
      <c r="W60" s="41"/>
      <c r="X60" s="41"/>
      <c r="Y60" s="41"/>
      <c r="Z60" s="41"/>
    </row>
    <row r="61" customFormat="false" ht="14.25" hidden="true" customHeight="true" outlineLevel="0" collapsed="false">
      <c r="A61" s="47" t="s">
        <v>258</v>
      </c>
      <c r="B61" s="48" t="s">
        <v>263</v>
      </c>
      <c r="C61" s="49"/>
      <c r="D61" s="48"/>
      <c r="E61" s="50"/>
      <c r="F61" s="41"/>
      <c r="G61" s="41"/>
      <c r="H61" s="41"/>
      <c r="I61" s="41"/>
      <c r="J61" s="41"/>
      <c r="K61" s="41"/>
      <c r="L61" s="41"/>
      <c r="M61" s="41"/>
      <c r="N61" s="41"/>
      <c r="O61" s="41"/>
      <c r="P61" s="41"/>
      <c r="Q61" s="41"/>
      <c r="R61" s="41"/>
      <c r="S61" s="41"/>
      <c r="T61" s="41"/>
      <c r="U61" s="41"/>
      <c r="V61" s="41"/>
      <c r="W61" s="41"/>
      <c r="X61" s="41"/>
      <c r="Y61" s="41"/>
      <c r="Z61" s="41"/>
    </row>
    <row r="62" customFormat="false" ht="14.25" hidden="true" customHeight="true" outlineLevel="0" collapsed="false">
      <c r="A62" s="47" t="s">
        <v>258</v>
      </c>
      <c r="B62" s="48" t="s">
        <v>264</v>
      </c>
      <c r="C62" s="49" t="s">
        <v>196</v>
      </c>
      <c r="D62" s="48"/>
      <c r="E62" s="50"/>
      <c r="F62" s="41"/>
      <c r="G62" s="41"/>
      <c r="H62" s="41"/>
      <c r="I62" s="41"/>
      <c r="J62" s="41"/>
      <c r="K62" s="41"/>
      <c r="L62" s="41"/>
      <c r="M62" s="41"/>
      <c r="N62" s="41"/>
      <c r="O62" s="41"/>
      <c r="P62" s="41"/>
      <c r="Q62" s="41"/>
      <c r="R62" s="41"/>
      <c r="S62" s="41"/>
      <c r="T62" s="41"/>
      <c r="U62" s="41"/>
      <c r="V62" s="41"/>
      <c r="W62" s="41"/>
      <c r="X62" s="41"/>
      <c r="Y62" s="41"/>
      <c r="Z62" s="41"/>
    </row>
    <row r="63" customFormat="false" ht="14.25" hidden="true" customHeight="true" outlineLevel="0" collapsed="false">
      <c r="A63" s="47" t="s">
        <v>265</v>
      </c>
      <c r="B63" s="48" t="s">
        <v>266</v>
      </c>
      <c r="C63" s="49"/>
      <c r="D63" s="48"/>
      <c r="E63" s="50"/>
      <c r="F63" s="41"/>
      <c r="G63" s="41"/>
      <c r="H63" s="41"/>
      <c r="I63" s="41"/>
      <c r="J63" s="41"/>
      <c r="K63" s="41"/>
      <c r="L63" s="41"/>
      <c r="M63" s="41"/>
      <c r="N63" s="41"/>
      <c r="O63" s="41"/>
      <c r="P63" s="41"/>
      <c r="Q63" s="41"/>
      <c r="R63" s="41"/>
      <c r="S63" s="41"/>
      <c r="T63" s="41"/>
      <c r="U63" s="41"/>
      <c r="V63" s="41"/>
      <c r="W63" s="41"/>
      <c r="X63" s="41"/>
      <c r="Y63" s="41"/>
      <c r="Z63" s="41"/>
    </row>
    <row r="64" customFormat="false" ht="14.25" hidden="true" customHeight="true" outlineLevel="0" collapsed="false">
      <c r="A64" s="47" t="s">
        <v>265</v>
      </c>
      <c r="B64" s="48" t="s">
        <v>267</v>
      </c>
      <c r="C64" s="49"/>
      <c r="D64" s="48"/>
      <c r="E64" s="50"/>
      <c r="F64" s="41"/>
      <c r="G64" s="41"/>
      <c r="H64" s="41"/>
      <c r="I64" s="41"/>
      <c r="J64" s="41"/>
      <c r="K64" s="41"/>
      <c r="L64" s="41"/>
      <c r="M64" s="41"/>
      <c r="N64" s="41"/>
      <c r="O64" s="41"/>
      <c r="P64" s="41"/>
      <c r="Q64" s="41"/>
      <c r="R64" s="41"/>
      <c r="S64" s="41"/>
      <c r="T64" s="41"/>
      <c r="U64" s="41"/>
      <c r="V64" s="41"/>
      <c r="W64" s="41"/>
      <c r="X64" s="41"/>
      <c r="Y64" s="41"/>
      <c r="Z64" s="41"/>
    </row>
    <row r="65" customFormat="false" ht="14.25" hidden="true" customHeight="true" outlineLevel="0" collapsed="false">
      <c r="A65" s="47" t="s">
        <v>265</v>
      </c>
      <c r="B65" s="48" t="s">
        <v>268</v>
      </c>
      <c r="C65" s="49"/>
      <c r="D65" s="48"/>
      <c r="E65" s="50"/>
      <c r="F65" s="41"/>
      <c r="G65" s="41"/>
      <c r="H65" s="41"/>
      <c r="I65" s="41"/>
      <c r="J65" s="41"/>
      <c r="K65" s="41"/>
      <c r="L65" s="41"/>
      <c r="M65" s="41"/>
      <c r="N65" s="41"/>
      <c r="O65" s="41"/>
      <c r="P65" s="41"/>
      <c r="Q65" s="41"/>
      <c r="R65" s="41"/>
      <c r="S65" s="41"/>
      <c r="T65" s="41"/>
      <c r="U65" s="41"/>
      <c r="V65" s="41"/>
      <c r="W65" s="41"/>
      <c r="X65" s="41"/>
      <c r="Y65" s="41"/>
      <c r="Z65" s="41"/>
    </row>
    <row r="66" customFormat="false" ht="14.25" hidden="true" customHeight="true" outlineLevel="0" collapsed="false">
      <c r="A66" s="47" t="s">
        <v>265</v>
      </c>
      <c r="B66" s="48" t="s">
        <v>269</v>
      </c>
      <c r="C66" s="49"/>
      <c r="D66" s="48"/>
      <c r="E66" s="50"/>
      <c r="F66" s="41"/>
      <c r="G66" s="41"/>
      <c r="H66" s="41"/>
      <c r="I66" s="41"/>
      <c r="J66" s="41"/>
      <c r="K66" s="41"/>
      <c r="L66" s="41"/>
      <c r="M66" s="41"/>
      <c r="N66" s="41"/>
      <c r="O66" s="41"/>
      <c r="P66" s="41"/>
      <c r="Q66" s="41"/>
      <c r="R66" s="41"/>
      <c r="S66" s="41"/>
      <c r="T66" s="41"/>
      <c r="U66" s="41"/>
      <c r="V66" s="41"/>
      <c r="W66" s="41"/>
      <c r="X66" s="41"/>
      <c r="Y66" s="41"/>
      <c r="Z66" s="41"/>
    </row>
    <row r="67" customFormat="false" ht="14.25" hidden="true" customHeight="true" outlineLevel="0" collapsed="false">
      <c r="A67" s="47" t="s">
        <v>265</v>
      </c>
      <c r="B67" s="48" t="s">
        <v>270</v>
      </c>
      <c r="C67" s="49"/>
      <c r="D67" s="48"/>
      <c r="E67" s="50"/>
      <c r="F67" s="41"/>
      <c r="G67" s="41"/>
      <c r="H67" s="41"/>
      <c r="I67" s="41"/>
      <c r="J67" s="41"/>
      <c r="K67" s="41"/>
      <c r="L67" s="41"/>
      <c r="M67" s="41"/>
      <c r="N67" s="41"/>
      <c r="O67" s="41"/>
      <c r="P67" s="41"/>
      <c r="Q67" s="41"/>
      <c r="R67" s="41"/>
      <c r="S67" s="41"/>
      <c r="T67" s="41"/>
      <c r="U67" s="41"/>
      <c r="V67" s="41"/>
      <c r="W67" s="41"/>
      <c r="X67" s="41"/>
      <c r="Y67" s="41"/>
      <c r="Z67" s="41"/>
    </row>
    <row r="68" customFormat="false" ht="14.25" hidden="true" customHeight="true" outlineLevel="0" collapsed="false">
      <c r="A68" s="47" t="s">
        <v>265</v>
      </c>
      <c r="B68" s="48" t="s">
        <v>271</v>
      </c>
      <c r="C68" s="49"/>
      <c r="D68" s="48"/>
      <c r="E68" s="50"/>
      <c r="F68" s="41"/>
      <c r="G68" s="41"/>
      <c r="H68" s="41"/>
      <c r="I68" s="41"/>
      <c r="J68" s="41"/>
      <c r="K68" s="41"/>
      <c r="L68" s="41"/>
      <c r="M68" s="41"/>
      <c r="N68" s="41"/>
      <c r="O68" s="41"/>
      <c r="P68" s="41"/>
      <c r="Q68" s="41"/>
      <c r="R68" s="41"/>
      <c r="S68" s="41"/>
      <c r="T68" s="41"/>
      <c r="U68" s="41"/>
      <c r="V68" s="41"/>
      <c r="W68" s="41"/>
      <c r="X68" s="41"/>
      <c r="Y68" s="41"/>
      <c r="Z68" s="41"/>
    </row>
    <row r="69" customFormat="false" ht="14.25" hidden="true" customHeight="true" outlineLevel="0" collapsed="false">
      <c r="A69" s="47" t="s">
        <v>272</v>
      </c>
      <c r="B69" s="48" t="s">
        <v>273</v>
      </c>
      <c r="C69" s="49"/>
      <c r="D69" s="48"/>
      <c r="E69" s="50"/>
      <c r="F69" s="41"/>
      <c r="G69" s="41"/>
      <c r="H69" s="41"/>
      <c r="I69" s="41"/>
      <c r="J69" s="41"/>
      <c r="K69" s="41"/>
      <c r="L69" s="41"/>
      <c r="M69" s="41"/>
      <c r="N69" s="41"/>
      <c r="O69" s="41"/>
      <c r="P69" s="41"/>
      <c r="Q69" s="41"/>
      <c r="R69" s="41"/>
      <c r="S69" s="41"/>
      <c r="T69" s="41"/>
      <c r="U69" s="41"/>
      <c r="V69" s="41"/>
      <c r="W69" s="41"/>
      <c r="X69" s="41"/>
      <c r="Y69" s="41"/>
      <c r="Z69" s="41"/>
    </row>
    <row r="70" customFormat="false" ht="14.25" hidden="true" customHeight="true" outlineLevel="0" collapsed="false">
      <c r="A70" s="47" t="s">
        <v>272</v>
      </c>
      <c r="B70" s="48" t="s">
        <v>274</v>
      </c>
      <c r="C70" s="49"/>
      <c r="D70" s="48"/>
      <c r="E70" s="50"/>
      <c r="F70" s="41"/>
      <c r="G70" s="41"/>
      <c r="H70" s="41"/>
      <c r="I70" s="41"/>
      <c r="J70" s="41"/>
      <c r="K70" s="41"/>
      <c r="L70" s="41"/>
      <c r="M70" s="41"/>
      <c r="N70" s="41"/>
      <c r="O70" s="41"/>
      <c r="P70" s="41"/>
      <c r="Q70" s="41"/>
      <c r="R70" s="41"/>
      <c r="S70" s="41"/>
      <c r="T70" s="41"/>
      <c r="U70" s="41"/>
      <c r="V70" s="41"/>
      <c r="W70" s="41"/>
      <c r="X70" s="41"/>
      <c r="Y70" s="41"/>
      <c r="Z70" s="41"/>
    </row>
    <row r="71" customFormat="false" ht="14.25" hidden="true" customHeight="true" outlineLevel="0" collapsed="false">
      <c r="A71" s="47" t="s">
        <v>272</v>
      </c>
      <c r="B71" s="48" t="s">
        <v>275</v>
      </c>
      <c r="C71" s="49"/>
      <c r="D71" s="48"/>
      <c r="E71" s="50"/>
      <c r="F71" s="41"/>
      <c r="G71" s="41"/>
      <c r="H71" s="41"/>
      <c r="I71" s="41"/>
      <c r="J71" s="41"/>
      <c r="K71" s="41"/>
      <c r="L71" s="41"/>
      <c r="M71" s="41"/>
      <c r="N71" s="41"/>
      <c r="O71" s="41"/>
      <c r="P71" s="41"/>
      <c r="Q71" s="41"/>
      <c r="R71" s="41"/>
      <c r="S71" s="41"/>
      <c r="T71" s="41"/>
      <c r="U71" s="41"/>
      <c r="V71" s="41"/>
      <c r="W71" s="41"/>
      <c r="X71" s="41"/>
      <c r="Y71" s="41"/>
      <c r="Z71" s="41"/>
    </row>
    <row r="72" customFormat="false" ht="14.25" hidden="true" customHeight="true" outlineLevel="0" collapsed="false">
      <c r="A72" s="47" t="s">
        <v>272</v>
      </c>
      <c r="B72" s="48" t="s">
        <v>276</v>
      </c>
      <c r="C72" s="49" t="s">
        <v>194</v>
      </c>
      <c r="D72" s="48"/>
      <c r="E72" s="50"/>
      <c r="F72" s="41"/>
      <c r="G72" s="41"/>
      <c r="H72" s="41"/>
      <c r="I72" s="41"/>
      <c r="J72" s="41"/>
      <c r="K72" s="41"/>
      <c r="L72" s="41"/>
      <c r="M72" s="41"/>
      <c r="N72" s="41"/>
      <c r="O72" s="41"/>
      <c r="P72" s="41"/>
      <c r="Q72" s="41"/>
      <c r="R72" s="41"/>
      <c r="S72" s="41"/>
      <c r="T72" s="41"/>
      <c r="U72" s="41"/>
      <c r="V72" s="41"/>
      <c r="W72" s="41"/>
      <c r="X72" s="41"/>
      <c r="Y72" s="41"/>
      <c r="Z72" s="41"/>
    </row>
    <row r="73" customFormat="false" ht="14.25" hidden="false" customHeight="true" outlineLevel="0" collapsed="false">
      <c r="A73" s="38"/>
      <c r="B73" s="38"/>
      <c r="C73" s="39"/>
      <c r="D73" s="40"/>
      <c r="E73" s="40"/>
      <c r="F73" s="41"/>
      <c r="G73" s="41"/>
      <c r="H73" s="41"/>
      <c r="I73" s="41"/>
      <c r="J73" s="41"/>
      <c r="K73" s="41"/>
      <c r="L73" s="41"/>
      <c r="M73" s="41"/>
      <c r="N73" s="41"/>
      <c r="O73" s="41"/>
      <c r="P73" s="41"/>
      <c r="Q73" s="41"/>
      <c r="R73" s="41"/>
      <c r="S73" s="41"/>
      <c r="T73" s="41"/>
      <c r="U73" s="41"/>
      <c r="V73" s="41"/>
      <c r="W73" s="41"/>
      <c r="X73" s="41"/>
      <c r="Y73" s="41"/>
      <c r="Z73" s="41"/>
    </row>
    <row r="74" customFormat="false" ht="14.25" hidden="false" customHeight="true" outlineLevel="0" collapsed="false">
      <c r="A74" s="38"/>
      <c r="B74" s="38"/>
      <c r="C74" s="39"/>
      <c r="D74" s="40"/>
      <c r="E74" s="40"/>
      <c r="F74" s="41"/>
      <c r="G74" s="41"/>
      <c r="H74" s="41"/>
      <c r="I74" s="41"/>
      <c r="J74" s="41"/>
      <c r="K74" s="41"/>
      <c r="L74" s="41"/>
      <c r="M74" s="41"/>
      <c r="N74" s="41"/>
      <c r="O74" s="41"/>
      <c r="P74" s="41"/>
      <c r="Q74" s="41"/>
      <c r="R74" s="41"/>
      <c r="S74" s="41"/>
      <c r="T74" s="41"/>
      <c r="U74" s="41"/>
      <c r="V74" s="41"/>
      <c r="W74" s="41"/>
      <c r="X74" s="41"/>
      <c r="Y74" s="41"/>
      <c r="Z74" s="41"/>
    </row>
    <row r="75" customFormat="false" ht="14.25" hidden="false" customHeight="true" outlineLevel="0" collapsed="false">
      <c r="A75" s="38"/>
      <c r="B75" s="38"/>
      <c r="C75" s="39"/>
      <c r="D75" s="40"/>
      <c r="E75" s="40"/>
      <c r="F75" s="41"/>
      <c r="G75" s="41"/>
      <c r="H75" s="41"/>
      <c r="I75" s="41"/>
      <c r="J75" s="41"/>
      <c r="K75" s="41"/>
      <c r="L75" s="41"/>
      <c r="M75" s="41"/>
      <c r="N75" s="41"/>
      <c r="O75" s="41"/>
      <c r="P75" s="41"/>
      <c r="Q75" s="41"/>
      <c r="R75" s="41"/>
      <c r="S75" s="41"/>
      <c r="T75" s="41"/>
      <c r="U75" s="41"/>
      <c r="V75" s="41"/>
      <c r="W75" s="41"/>
      <c r="X75" s="41"/>
      <c r="Y75" s="41"/>
      <c r="Z75" s="41"/>
    </row>
    <row r="76" customFormat="false" ht="14.25" hidden="false" customHeight="true" outlineLevel="0" collapsed="false">
      <c r="A76" s="38"/>
      <c r="B76" s="38"/>
      <c r="C76" s="39"/>
      <c r="D76" s="40"/>
      <c r="E76" s="40"/>
      <c r="F76" s="41"/>
      <c r="G76" s="41"/>
      <c r="H76" s="41"/>
      <c r="I76" s="41"/>
      <c r="J76" s="41"/>
      <c r="K76" s="41"/>
      <c r="L76" s="41"/>
      <c r="M76" s="41"/>
      <c r="N76" s="41"/>
      <c r="O76" s="41"/>
      <c r="P76" s="41"/>
      <c r="Q76" s="41"/>
      <c r="R76" s="41"/>
      <c r="S76" s="41"/>
      <c r="T76" s="41"/>
      <c r="U76" s="41"/>
      <c r="V76" s="41"/>
      <c r="W76" s="41"/>
      <c r="X76" s="41"/>
      <c r="Y76" s="41"/>
      <c r="Z76" s="41"/>
    </row>
    <row r="77" customFormat="false" ht="14.25" hidden="false" customHeight="true" outlineLevel="0" collapsed="false">
      <c r="A77" s="38"/>
      <c r="B77" s="38"/>
      <c r="C77" s="39"/>
      <c r="D77" s="40"/>
      <c r="E77" s="40"/>
      <c r="F77" s="41"/>
      <c r="G77" s="41"/>
      <c r="H77" s="41"/>
      <c r="I77" s="41"/>
      <c r="J77" s="41"/>
      <c r="K77" s="41"/>
      <c r="L77" s="41"/>
      <c r="M77" s="41"/>
      <c r="N77" s="41"/>
      <c r="O77" s="41"/>
      <c r="P77" s="41"/>
      <c r="Q77" s="41"/>
      <c r="R77" s="41"/>
      <c r="S77" s="41"/>
      <c r="T77" s="41"/>
      <c r="U77" s="41"/>
      <c r="V77" s="41"/>
      <c r="W77" s="41"/>
      <c r="X77" s="41"/>
      <c r="Y77" s="41"/>
      <c r="Z77" s="41"/>
    </row>
    <row r="78" customFormat="false" ht="14.25" hidden="false" customHeight="true" outlineLevel="0" collapsed="false">
      <c r="A78" s="38"/>
      <c r="B78" s="38"/>
      <c r="C78" s="39"/>
      <c r="D78" s="40"/>
      <c r="E78" s="40"/>
      <c r="F78" s="41"/>
      <c r="G78" s="41"/>
      <c r="H78" s="41"/>
      <c r="I78" s="41"/>
      <c r="J78" s="41"/>
      <c r="K78" s="41"/>
      <c r="L78" s="41"/>
      <c r="M78" s="41"/>
      <c r="N78" s="41"/>
      <c r="O78" s="41"/>
      <c r="P78" s="41"/>
      <c r="Q78" s="41"/>
      <c r="R78" s="41"/>
      <c r="S78" s="41"/>
      <c r="T78" s="41"/>
      <c r="U78" s="41"/>
      <c r="V78" s="41"/>
      <c r="W78" s="41"/>
      <c r="X78" s="41"/>
      <c r="Y78" s="41"/>
      <c r="Z78" s="41"/>
    </row>
    <row r="79" customFormat="false" ht="14.25" hidden="false" customHeight="true" outlineLevel="0" collapsed="false">
      <c r="A79" s="38"/>
      <c r="B79" s="38"/>
      <c r="C79" s="39"/>
      <c r="D79" s="40"/>
      <c r="E79" s="40"/>
      <c r="F79" s="41"/>
      <c r="G79" s="41"/>
      <c r="H79" s="41"/>
      <c r="I79" s="41"/>
      <c r="J79" s="41"/>
      <c r="K79" s="41"/>
      <c r="L79" s="41"/>
      <c r="M79" s="41"/>
      <c r="N79" s="41"/>
      <c r="O79" s="41"/>
      <c r="P79" s="41"/>
      <c r="Q79" s="41"/>
      <c r="R79" s="41"/>
      <c r="S79" s="41"/>
      <c r="T79" s="41"/>
      <c r="U79" s="41"/>
      <c r="V79" s="41"/>
      <c r="W79" s="41"/>
      <c r="X79" s="41"/>
      <c r="Y79" s="41"/>
      <c r="Z79" s="41"/>
    </row>
    <row r="80" customFormat="false" ht="14.25" hidden="false" customHeight="true" outlineLevel="0" collapsed="false">
      <c r="A80" s="38"/>
      <c r="B80" s="38"/>
      <c r="C80" s="39"/>
      <c r="D80" s="40"/>
      <c r="E80" s="40"/>
      <c r="F80" s="41"/>
      <c r="G80" s="41"/>
      <c r="H80" s="41"/>
      <c r="I80" s="41"/>
      <c r="J80" s="41"/>
      <c r="K80" s="41"/>
      <c r="L80" s="41"/>
      <c r="M80" s="41"/>
      <c r="N80" s="41"/>
      <c r="O80" s="41"/>
      <c r="P80" s="41"/>
      <c r="Q80" s="41"/>
      <c r="R80" s="41"/>
      <c r="S80" s="41"/>
      <c r="T80" s="41"/>
      <c r="U80" s="41"/>
      <c r="V80" s="41"/>
      <c r="W80" s="41"/>
      <c r="X80" s="41"/>
      <c r="Y80" s="41"/>
      <c r="Z80" s="41"/>
    </row>
    <row r="81" customFormat="false" ht="14.25" hidden="false" customHeight="true" outlineLevel="0" collapsed="false">
      <c r="A81" s="38"/>
      <c r="B81" s="38"/>
      <c r="C81" s="39"/>
      <c r="D81" s="40"/>
      <c r="E81" s="40"/>
      <c r="F81" s="41"/>
      <c r="G81" s="41"/>
      <c r="H81" s="41"/>
      <c r="I81" s="41"/>
      <c r="J81" s="41"/>
      <c r="K81" s="41"/>
      <c r="L81" s="41"/>
      <c r="M81" s="41"/>
      <c r="N81" s="41"/>
      <c r="O81" s="41"/>
      <c r="P81" s="41"/>
      <c r="Q81" s="41"/>
      <c r="R81" s="41"/>
      <c r="S81" s="41"/>
      <c r="T81" s="41"/>
      <c r="U81" s="41"/>
      <c r="V81" s="41"/>
      <c r="W81" s="41"/>
      <c r="X81" s="41"/>
      <c r="Y81" s="41"/>
      <c r="Z81" s="41"/>
    </row>
    <row r="82" customFormat="false" ht="14.25" hidden="false" customHeight="true" outlineLevel="0" collapsed="false">
      <c r="A82" s="38"/>
      <c r="B82" s="38"/>
      <c r="C82" s="39"/>
      <c r="D82" s="40"/>
      <c r="E82" s="40"/>
      <c r="F82" s="41"/>
      <c r="G82" s="41"/>
      <c r="H82" s="41"/>
      <c r="I82" s="41"/>
      <c r="J82" s="41"/>
      <c r="K82" s="41"/>
      <c r="L82" s="41"/>
      <c r="M82" s="41"/>
      <c r="N82" s="41"/>
      <c r="O82" s="41"/>
      <c r="P82" s="41"/>
      <c r="Q82" s="41"/>
      <c r="R82" s="41"/>
      <c r="S82" s="41"/>
      <c r="T82" s="41"/>
      <c r="U82" s="41"/>
      <c r="V82" s="41"/>
      <c r="W82" s="41"/>
      <c r="X82" s="41"/>
      <c r="Y82" s="41"/>
      <c r="Z82" s="41"/>
    </row>
    <row r="83" customFormat="false" ht="14.25" hidden="false" customHeight="true" outlineLevel="0" collapsed="false">
      <c r="A83" s="38"/>
      <c r="B83" s="38"/>
      <c r="C83" s="39"/>
      <c r="D83" s="40"/>
      <c r="E83" s="40"/>
      <c r="F83" s="41"/>
      <c r="G83" s="41"/>
      <c r="H83" s="41"/>
      <c r="I83" s="41"/>
      <c r="J83" s="41"/>
      <c r="K83" s="41"/>
      <c r="L83" s="41"/>
      <c r="M83" s="41"/>
      <c r="N83" s="41"/>
      <c r="O83" s="41"/>
      <c r="P83" s="41"/>
      <c r="Q83" s="41"/>
      <c r="R83" s="41"/>
      <c r="S83" s="41"/>
      <c r="T83" s="41"/>
      <c r="U83" s="41"/>
      <c r="V83" s="41"/>
      <c r="W83" s="41"/>
      <c r="X83" s="41"/>
      <c r="Y83" s="41"/>
      <c r="Z83" s="41"/>
    </row>
    <row r="84" customFormat="false" ht="14.25" hidden="false" customHeight="true" outlineLevel="0" collapsed="false">
      <c r="A84" s="38"/>
      <c r="B84" s="38"/>
      <c r="C84" s="39"/>
      <c r="D84" s="40"/>
      <c r="E84" s="40"/>
      <c r="F84" s="41"/>
      <c r="G84" s="41"/>
      <c r="H84" s="41"/>
      <c r="I84" s="41"/>
      <c r="J84" s="41"/>
      <c r="K84" s="41"/>
      <c r="L84" s="41"/>
      <c r="M84" s="41"/>
      <c r="N84" s="41"/>
      <c r="O84" s="41"/>
      <c r="P84" s="41"/>
      <c r="Q84" s="41"/>
      <c r="R84" s="41"/>
      <c r="S84" s="41"/>
      <c r="T84" s="41"/>
      <c r="U84" s="41"/>
      <c r="V84" s="41"/>
      <c r="W84" s="41"/>
      <c r="X84" s="41"/>
      <c r="Y84" s="41"/>
      <c r="Z84" s="41"/>
    </row>
    <row r="85" customFormat="false" ht="14.25" hidden="false" customHeight="true" outlineLevel="0" collapsed="false">
      <c r="A85" s="38"/>
      <c r="B85" s="38"/>
      <c r="C85" s="39"/>
      <c r="D85" s="40"/>
      <c r="E85" s="40"/>
      <c r="F85" s="41"/>
      <c r="G85" s="41"/>
      <c r="H85" s="41"/>
      <c r="I85" s="41"/>
      <c r="J85" s="41"/>
      <c r="K85" s="41"/>
      <c r="L85" s="41"/>
      <c r="M85" s="41"/>
      <c r="N85" s="41"/>
      <c r="O85" s="41"/>
      <c r="P85" s="41"/>
      <c r="Q85" s="41"/>
      <c r="R85" s="41"/>
      <c r="S85" s="41"/>
      <c r="T85" s="41"/>
      <c r="U85" s="41"/>
      <c r="V85" s="41"/>
      <c r="W85" s="41"/>
      <c r="X85" s="41"/>
      <c r="Y85" s="41"/>
      <c r="Z85" s="41"/>
    </row>
    <row r="86" customFormat="false" ht="14.25" hidden="false" customHeight="true" outlineLevel="0" collapsed="false">
      <c r="A86" s="38"/>
      <c r="B86" s="38"/>
      <c r="C86" s="39"/>
      <c r="D86" s="40"/>
      <c r="E86" s="40"/>
      <c r="F86" s="41"/>
      <c r="G86" s="41"/>
      <c r="H86" s="41"/>
      <c r="I86" s="41"/>
      <c r="J86" s="41"/>
      <c r="K86" s="41"/>
      <c r="L86" s="41"/>
      <c r="M86" s="41"/>
      <c r="N86" s="41"/>
      <c r="O86" s="41"/>
      <c r="P86" s="41"/>
      <c r="Q86" s="41"/>
      <c r="R86" s="41"/>
      <c r="S86" s="41"/>
      <c r="T86" s="41"/>
      <c r="U86" s="41"/>
      <c r="V86" s="41"/>
      <c r="W86" s="41"/>
      <c r="X86" s="41"/>
      <c r="Y86" s="41"/>
      <c r="Z86" s="41"/>
    </row>
    <row r="87" customFormat="false" ht="14.25" hidden="false" customHeight="true" outlineLevel="0" collapsed="false">
      <c r="A87" s="38"/>
      <c r="B87" s="38"/>
      <c r="C87" s="39"/>
      <c r="D87" s="40"/>
      <c r="E87" s="40"/>
      <c r="F87" s="41"/>
      <c r="G87" s="41"/>
      <c r="H87" s="41"/>
      <c r="I87" s="41"/>
      <c r="J87" s="41"/>
      <c r="K87" s="41"/>
      <c r="L87" s="41"/>
      <c r="M87" s="41"/>
      <c r="N87" s="41"/>
      <c r="O87" s="41"/>
      <c r="P87" s="41"/>
      <c r="Q87" s="41"/>
      <c r="R87" s="41"/>
      <c r="S87" s="41"/>
      <c r="T87" s="41"/>
      <c r="U87" s="41"/>
      <c r="V87" s="41"/>
      <c r="W87" s="41"/>
      <c r="X87" s="41"/>
      <c r="Y87" s="41"/>
      <c r="Z87" s="41"/>
    </row>
    <row r="88" customFormat="false" ht="14.25" hidden="false" customHeight="true" outlineLevel="0" collapsed="false">
      <c r="A88" s="38"/>
      <c r="B88" s="38"/>
      <c r="C88" s="39"/>
      <c r="D88" s="40"/>
      <c r="E88" s="40"/>
      <c r="F88" s="41"/>
      <c r="G88" s="41"/>
      <c r="H88" s="41"/>
      <c r="I88" s="41"/>
      <c r="J88" s="41"/>
      <c r="K88" s="41"/>
      <c r="L88" s="41"/>
      <c r="M88" s="41"/>
      <c r="N88" s="41"/>
      <c r="O88" s="41"/>
      <c r="P88" s="41"/>
      <c r="Q88" s="41"/>
      <c r="R88" s="41"/>
      <c r="S88" s="41"/>
      <c r="T88" s="41"/>
      <c r="U88" s="41"/>
      <c r="V88" s="41"/>
      <c r="W88" s="41"/>
      <c r="X88" s="41"/>
      <c r="Y88" s="41"/>
      <c r="Z88" s="41"/>
    </row>
    <row r="89" customFormat="false" ht="14.25" hidden="false" customHeight="true" outlineLevel="0" collapsed="false">
      <c r="A89" s="38"/>
      <c r="B89" s="38"/>
      <c r="C89" s="39"/>
      <c r="D89" s="40"/>
      <c r="E89" s="40"/>
      <c r="F89" s="41"/>
      <c r="G89" s="41"/>
      <c r="H89" s="41"/>
      <c r="I89" s="41"/>
      <c r="J89" s="41"/>
      <c r="K89" s="41"/>
      <c r="L89" s="41"/>
      <c r="M89" s="41"/>
      <c r="N89" s="41"/>
      <c r="O89" s="41"/>
      <c r="P89" s="41"/>
      <c r="Q89" s="41"/>
      <c r="R89" s="41"/>
      <c r="S89" s="41"/>
      <c r="T89" s="41"/>
      <c r="U89" s="41"/>
      <c r="V89" s="41"/>
      <c r="W89" s="41"/>
      <c r="X89" s="41"/>
      <c r="Y89" s="41"/>
      <c r="Z89" s="41"/>
    </row>
    <row r="90" customFormat="false" ht="14.25" hidden="false" customHeight="true" outlineLevel="0" collapsed="false">
      <c r="A90" s="38"/>
      <c r="B90" s="38"/>
      <c r="C90" s="39"/>
      <c r="D90" s="40"/>
      <c r="E90" s="40"/>
      <c r="F90" s="41"/>
      <c r="G90" s="41"/>
      <c r="H90" s="41"/>
      <c r="I90" s="41"/>
      <c r="J90" s="41"/>
      <c r="K90" s="41"/>
      <c r="L90" s="41"/>
      <c r="M90" s="41"/>
      <c r="N90" s="41"/>
      <c r="O90" s="41"/>
      <c r="P90" s="41"/>
      <c r="Q90" s="41"/>
      <c r="R90" s="41"/>
      <c r="S90" s="41"/>
      <c r="T90" s="41"/>
      <c r="U90" s="41"/>
      <c r="V90" s="41"/>
      <c r="W90" s="41"/>
      <c r="X90" s="41"/>
      <c r="Y90" s="41"/>
      <c r="Z90" s="41"/>
    </row>
    <row r="91" customFormat="false" ht="14.25" hidden="false" customHeight="true" outlineLevel="0" collapsed="false">
      <c r="A91" s="38"/>
      <c r="B91" s="38"/>
      <c r="C91" s="39"/>
      <c r="D91" s="40"/>
      <c r="E91" s="40"/>
      <c r="F91" s="41"/>
      <c r="G91" s="41"/>
      <c r="H91" s="41"/>
      <c r="I91" s="41"/>
      <c r="J91" s="41"/>
      <c r="K91" s="41"/>
      <c r="L91" s="41"/>
      <c r="M91" s="41"/>
      <c r="N91" s="41"/>
      <c r="O91" s="41"/>
      <c r="P91" s="41"/>
      <c r="Q91" s="41"/>
      <c r="R91" s="41"/>
      <c r="S91" s="41"/>
      <c r="T91" s="41"/>
      <c r="U91" s="41"/>
      <c r="V91" s="41"/>
      <c r="W91" s="41"/>
      <c r="X91" s="41"/>
      <c r="Y91" s="41"/>
      <c r="Z91" s="41"/>
    </row>
    <row r="92" customFormat="false" ht="14.25" hidden="false" customHeight="true" outlineLevel="0" collapsed="false">
      <c r="A92" s="38"/>
      <c r="B92" s="38"/>
      <c r="C92" s="39"/>
      <c r="D92" s="40"/>
      <c r="E92" s="40"/>
      <c r="F92" s="41"/>
      <c r="G92" s="41"/>
      <c r="H92" s="41"/>
      <c r="I92" s="41"/>
      <c r="J92" s="41"/>
      <c r="K92" s="41"/>
      <c r="L92" s="41"/>
      <c r="M92" s="41"/>
      <c r="N92" s="41"/>
      <c r="O92" s="41"/>
      <c r="P92" s="41"/>
      <c r="Q92" s="41"/>
      <c r="R92" s="41"/>
      <c r="S92" s="41"/>
      <c r="T92" s="41"/>
      <c r="U92" s="41"/>
      <c r="V92" s="41"/>
      <c r="W92" s="41"/>
      <c r="X92" s="41"/>
      <c r="Y92" s="41"/>
      <c r="Z92" s="41"/>
    </row>
    <row r="93" customFormat="false" ht="14.25" hidden="false" customHeight="true" outlineLevel="0" collapsed="false">
      <c r="A93" s="38"/>
      <c r="B93" s="38"/>
      <c r="C93" s="39"/>
      <c r="D93" s="40"/>
      <c r="E93" s="40"/>
      <c r="F93" s="41"/>
      <c r="G93" s="41"/>
      <c r="H93" s="41"/>
      <c r="I93" s="41"/>
      <c r="J93" s="41"/>
      <c r="K93" s="41"/>
      <c r="L93" s="41"/>
      <c r="M93" s="41"/>
      <c r="N93" s="41"/>
      <c r="O93" s="41"/>
      <c r="P93" s="41"/>
      <c r="Q93" s="41"/>
      <c r="R93" s="41"/>
      <c r="S93" s="41"/>
      <c r="T93" s="41"/>
      <c r="U93" s="41"/>
      <c r="V93" s="41"/>
      <c r="W93" s="41"/>
      <c r="X93" s="41"/>
      <c r="Y93" s="41"/>
      <c r="Z93" s="41"/>
    </row>
    <row r="94" customFormat="false" ht="14.25" hidden="false" customHeight="true" outlineLevel="0" collapsed="false">
      <c r="A94" s="38"/>
      <c r="B94" s="38"/>
      <c r="C94" s="39"/>
      <c r="D94" s="40"/>
      <c r="E94" s="40"/>
      <c r="F94" s="41"/>
      <c r="G94" s="41"/>
      <c r="H94" s="41"/>
      <c r="I94" s="41"/>
      <c r="J94" s="41"/>
      <c r="K94" s="41"/>
      <c r="L94" s="41"/>
      <c r="M94" s="41"/>
      <c r="N94" s="41"/>
      <c r="O94" s="41"/>
      <c r="P94" s="41"/>
      <c r="Q94" s="41"/>
      <c r="R94" s="41"/>
      <c r="S94" s="41"/>
      <c r="T94" s="41"/>
      <c r="U94" s="41"/>
      <c r="V94" s="41"/>
      <c r="W94" s="41"/>
      <c r="X94" s="41"/>
      <c r="Y94" s="41"/>
      <c r="Z94" s="41"/>
    </row>
    <row r="95" customFormat="false" ht="14.25" hidden="false" customHeight="true" outlineLevel="0" collapsed="false">
      <c r="A95" s="38"/>
      <c r="B95" s="38"/>
      <c r="C95" s="39"/>
      <c r="D95" s="40"/>
      <c r="E95" s="40"/>
      <c r="F95" s="41"/>
      <c r="G95" s="41"/>
      <c r="H95" s="41"/>
      <c r="I95" s="41"/>
      <c r="J95" s="41"/>
      <c r="K95" s="41"/>
      <c r="L95" s="41"/>
      <c r="M95" s="41"/>
      <c r="N95" s="41"/>
      <c r="O95" s="41"/>
      <c r="P95" s="41"/>
      <c r="Q95" s="41"/>
      <c r="R95" s="41"/>
      <c r="S95" s="41"/>
      <c r="T95" s="41"/>
      <c r="U95" s="41"/>
      <c r="V95" s="41"/>
      <c r="W95" s="41"/>
      <c r="X95" s="41"/>
      <c r="Y95" s="41"/>
      <c r="Z95" s="41"/>
    </row>
    <row r="96" customFormat="false" ht="14.25" hidden="false" customHeight="true" outlineLevel="0" collapsed="false">
      <c r="A96" s="38"/>
      <c r="B96" s="38"/>
      <c r="C96" s="39"/>
      <c r="D96" s="40"/>
      <c r="E96" s="40"/>
      <c r="F96" s="41"/>
      <c r="G96" s="41"/>
      <c r="H96" s="41"/>
      <c r="I96" s="41"/>
      <c r="J96" s="41"/>
      <c r="K96" s="41"/>
      <c r="L96" s="41"/>
      <c r="M96" s="41"/>
      <c r="N96" s="41"/>
      <c r="O96" s="41"/>
      <c r="P96" s="41"/>
      <c r="Q96" s="41"/>
      <c r="R96" s="41"/>
      <c r="S96" s="41"/>
      <c r="T96" s="41"/>
      <c r="U96" s="41"/>
      <c r="V96" s="41"/>
      <c r="W96" s="41"/>
      <c r="X96" s="41"/>
      <c r="Y96" s="41"/>
      <c r="Z96" s="41"/>
    </row>
    <row r="97" customFormat="false" ht="14.25" hidden="false" customHeight="true" outlineLevel="0" collapsed="false">
      <c r="A97" s="38"/>
      <c r="B97" s="38"/>
      <c r="C97" s="39"/>
      <c r="D97" s="40"/>
      <c r="E97" s="40"/>
      <c r="F97" s="41"/>
      <c r="G97" s="41"/>
      <c r="H97" s="41"/>
      <c r="I97" s="41"/>
      <c r="J97" s="41"/>
      <c r="K97" s="41"/>
      <c r="L97" s="41"/>
      <c r="M97" s="41"/>
      <c r="N97" s="41"/>
      <c r="O97" s="41"/>
      <c r="P97" s="41"/>
      <c r="Q97" s="41"/>
      <c r="R97" s="41"/>
      <c r="S97" s="41"/>
      <c r="T97" s="41"/>
      <c r="U97" s="41"/>
      <c r="V97" s="41"/>
      <c r="W97" s="41"/>
      <c r="X97" s="41"/>
      <c r="Y97" s="41"/>
      <c r="Z97" s="41"/>
    </row>
    <row r="98" customFormat="false" ht="14.25" hidden="false" customHeight="true" outlineLevel="0" collapsed="false">
      <c r="A98" s="38"/>
      <c r="B98" s="38"/>
      <c r="C98" s="39"/>
      <c r="D98" s="40"/>
      <c r="E98" s="40"/>
      <c r="F98" s="41"/>
      <c r="G98" s="41"/>
      <c r="H98" s="41"/>
      <c r="I98" s="41"/>
      <c r="J98" s="41"/>
      <c r="K98" s="41"/>
      <c r="L98" s="41"/>
      <c r="M98" s="41"/>
      <c r="N98" s="41"/>
      <c r="O98" s="41"/>
      <c r="P98" s="41"/>
      <c r="Q98" s="41"/>
      <c r="R98" s="41"/>
      <c r="S98" s="41"/>
      <c r="T98" s="41"/>
      <c r="U98" s="41"/>
      <c r="V98" s="41"/>
      <c r="W98" s="41"/>
      <c r="X98" s="41"/>
      <c r="Y98" s="41"/>
      <c r="Z98" s="41"/>
    </row>
    <row r="99" customFormat="false" ht="14.25" hidden="false" customHeight="true" outlineLevel="0" collapsed="false">
      <c r="A99" s="38"/>
      <c r="B99" s="38"/>
      <c r="C99" s="39"/>
      <c r="D99" s="40"/>
      <c r="E99" s="40"/>
      <c r="F99" s="41"/>
      <c r="G99" s="41"/>
      <c r="H99" s="41"/>
      <c r="I99" s="41"/>
      <c r="J99" s="41"/>
      <c r="K99" s="41"/>
      <c r="L99" s="41"/>
      <c r="M99" s="41"/>
      <c r="N99" s="41"/>
      <c r="O99" s="41"/>
      <c r="P99" s="41"/>
      <c r="Q99" s="41"/>
      <c r="R99" s="41"/>
      <c r="S99" s="41"/>
      <c r="T99" s="41"/>
      <c r="U99" s="41"/>
      <c r="V99" s="41"/>
      <c r="W99" s="41"/>
      <c r="X99" s="41"/>
      <c r="Y99" s="41"/>
      <c r="Z99" s="41"/>
    </row>
    <row r="100" customFormat="false" ht="14.25" hidden="false" customHeight="true" outlineLevel="0" collapsed="false">
      <c r="A100" s="38"/>
      <c r="B100" s="38"/>
      <c r="C100" s="39"/>
      <c r="D100" s="40"/>
      <c r="E100" s="40"/>
      <c r="F100" s="41"/>
      <c r="G100" s="41"/>
      <c r="H100" s="41"/>
      <c r="I100" s="41"/>
      <c r="J100" s="41"/>
      <c r="K100" s="41"/>
      <c r="L100" s="41"/>
      <c r="M100" s="41"/>
      <c r="N100" s="41"/>
      <c r="O100" s="41"/>
      <c r="P100" s="41"/>
      <c r="Q100" s="41"/>
      <c r="R100" s="41"/>
      <c r="S100" s="41"/>
      <c r="T100" s="41"/>
      <c r="U100" s="41"/>
      <c r="V100" s="41"/>
      <c r="W100" s="41"/>
      <c r="X100" s="41"/>
      <c r="Y100" s="41"/>
      <c r="Z100" s="41"/>
    </row>
    <row r="101" customFormat="false" ht="14.25" hidden="false" customHeight="true" outlineLevel="0" collapsed="false">
      <c r="A101" s="38"/>
      <c r="B101" s="38"/>
      <c r="C101" s="39"/>
      <c r="D101" s="40"/>
      <c r="E101" s="40"/>
      <c r="F101" s="41"/>
      <c r="G101" s="41"/>
      <c r="H101" s="41"/>
      <c r="I101" s="41"/>
      <c r="J101" s="41"/>
      <c r="K101" s="41"/>
      <c r="L101" s="41"/>
      <c r="M101" s="41"/>
      <c r="N101" s="41"/>
      <c r="O101" s="41"/>
      <c r="P101" s="41"/>
      <c r="Q101" s="41"/>
      <c r="R101" s="41"/>
      <c r="S101" s="41"/>
      <c r="T101" s="41"/>
      <c r="U101" s="41"/>
      <c r="V101" s="41"/>
      <c r="W101" s="41"/>
      <c r="X101" s="41"/>
      <c r="Y101" s="41"/>
      <c r="Z101" s="41"/>
    </row>
    <row r="102" customFormat="false" ht="14.25" hidden="false" customHeight="true" outlineLevel="0" collapsed="false">
      <c r="A102" s="38"/>
      <c r="B102" s="38"/>
      <c r="C102" s="39"/>
      <c r="D102" s="40"/>
      <c r="E102" s="40"/>
      <c r="F102" s="41"/>
      <c r="G102" s="41"/>
      <c r="H102" s="41"/>
      <c r="I102" s="41"/>
      <c r="J102" s="41"/>
      <c r="K102" s="41"/>
      <c r="L102" s="41"/>
      <c r="M102" s="41"/>
      <c r="N102" s="41"/>
      <c r="O102" s="41"/>
      <c r="P102" s="41"/>
      <c r="Q102" s="41"/>
      <c r="R102" s="41"/>
      <c r="S102" s="41"/>
      <c r="T102" s="41"/>
      <c r="U102" s="41"/>
      <c r="V102" s="41"/>
      <c r="W102" s="41"/>
      <c r="X102" s="41"/>
      <c r="Y102" s="41"/>
      <c r="Z102" s="41"/>
    </row>
    <row r="103" customFormat="false" ht="14.25" hidden="false" customHeight="true" outlineLevel="0" collapsed="false">
      <c r="A103" s="38"/>
      <c r="B103" s="38"/>
      <c r="C103" s="39"/>
      <c r="D103" s="40"/>
      <c r="E103" s="40"/>
      <c r="F103" s="41"/>
      <c r="G103" s="41"/>
      <c r="H103" s="41"/>
      <c r="I103" s="41"/>
      <c r="J103" s="41"/>
      <c r="K103" s="41"/>
      <c r="L103" s="41"/>
      <c r="M103" s="41"/>
      <c r="N103" s="41"/>
      <c r="O103" s="41"/>
      <c r="P103" s="41"/>
      <c r="Q103" s="41"/>
      <c r="R103" s="41"/>
      <c r="S103" s="41"/>
      <c r="T103" s="41"/>
      <c r="U103" s="41"/>
      <c r="V103" s="41"/>
      <c r="W103" s="41"/>
      <c r="X103" s="41"/>
      <c r="Y103" s="41"/>
      <c r="Z103" s="41"/>
    </row>
    <row r="104" customFormat="false" ht="14.25" hidden="false" customHeight="true" outlineLevel="0" collapsed="false">
      <c r="A104" s="38"/>
      <c r="B104" s="38"/>
      <c r="C104" s="39"/>
      <c r="D104" s="40"/>
      <c r="E104" s="40"/>
      <c r="F104" s="41"/>
      <c r="G104" s="41"/>
      <c r="H104" s="41"/>
      <c r="I104" s="41"/>
      <c r="J104" s="41"/>
      <c r="K104" s="41"/>
      <c r="L104" s="41"/>
      <c r="M104" s="41"/>
      <c r="N104" s="41"/>
      <c r="O104" s="41"/>
      <c r="P104" s="41"/>
      <c r="Q104" s="41"/>
      <c r="R104" s="41"/>
      <c r="S104" s="41"/>
      <c r="T104" s="41"/>
      <c r="U104" s="41"/>
      <c r="V104" s="41"/>
      <c r="W104" s="41"/>
      <c r="X104" s="41"/>
      <c r="Y104" s="41"/>
      <c r="Z104" s="41"/>
    </row>
    <row r="105" customFormat="false" ht="14.25" hidden="false" customHeight="true" outlineLevel="0" collapsed="false">
      <c r="A105" s="38"/>
      <c r="B105" s="38"/>
      <c r="C105" s="39"/>
      <c r="D105" s="40"/>
      <c r="E105" s="40"/>
      <c r="F105" s="41"/>
      <c r="G105" s="41"/>
      <c r="H105" s="41"/>
      <c r="I105" s="41"/>
      <c r="J105" s="41"/>
      <c r="K105" s="41"/>
      <c r="L105" s="41"/>
      <c r="M105" s="41"/>
      <c r="N105" s="41"/>
      <c r="O105" s="41"/>
      <c r="P105" s="41"/>
      <c r="Q105" s="41"/>
      <c r="R105" s="41"/>
      <c r="S105" s="41"/>
      <c r="T105" s="41"/>
      <c r="U105" s="41"/>
      <c r="V105" s="41"/>
      <c r="W105" s="41"/>
      <c r="X105" s="41"/>
      <c r="Y105" s="41"/>
      <c r="Z105" s="41"/>
    </row>
    <row r="106" customFormat="false" ht="14.25" hidden="false" customHeight="true" outlineLevel="0" collapsed="false">
      <c r="A106" s="38"/>
      <c r="B106" s="38"/>
      <c r="C106" s="39"/>
      <c r="D106" s="40"/>
      <c r="E106" s="40"/>
      <c r="F106" s="41"/>
      <c r="G106" s="41"/>
      <c r="H106" s="41"/>
      <c r="I106" s="41"/>
      <c r="J106" s="41"/>
      <c r="K106" s="41"/>
      <c r="L106" s="41"/>
      <c r="M106" s="41"/>
      <c r="N106" s="41"/>
      <c r="O106" s="41"/>
      <c r="P106" s="41"/>
      <c r="Q106" s="41"/>
      <c r="R106" s="41"/>
      <c r="S106" s="41"/>
      <c r="T106" s="41"/>
      <c r="U106" s="41"/>
      <c r="V106" s="41"/>
      <c r="W106" s="41"/>
      <c r="X106" s="41"/>
      <c r="Y106" s="41"/>
      <c r="Z106" s="41"/>
    </row>
    <row r="107" customFormat="false" ht="14.25" hidden="false" customHeight="true" outlineLevel="0" collapsed="false">
      <c r="A107" s="38"/>
      <c r="B107" s="38"/>
      <c r="C107" s="39"/>
      <c r="D107" s="40"/>
      <c r="E107" s="40"/>
      <c r="F107" s="41"/>
      <c r="G107" s="41"/>
      <c r="H107" s="41"/>
      <c r="I107" s="41"/>
      <c r="J107" s="41"/>
      <c r="K107" s="41"/>
      <c r="L107" s="41"/>
      <c r="M107" s="41"/>
      <c r="N107" s="41"/>
      <c r="O107" s="41"/>
      <c r="P107" s="41"/>
      <c r="Q107" s="41"/>
      <c r="R107" s="41"/>
      <c r="S107" s="41"/>
      <c r="T107" s="41"/>
      <c r="U107" s="41"/>
      <c r="V107" s="41"/>
      <c r="W107" s="41"/>
      <c r="X107" s="41"/>
      <c r="Y107" s="41"/>
      <c r="Z107" s="41"/>
    </row>
    <row r="108" customFormat="false" ht="14.25" hidden="false" customHeight="true" outlineLevel="0" collapsed="false">
      <c r="A108" s="38"/>
      <c r="B108" s="38"/>
      <c r="C108" s="39"/>
      <c r="D108" s="40"/>
      <c r="E108" s="40"/>
      <c r="F108" s="41"/>
      <c r="G108" s="41"/>
      <c r="H108" s="41"/>
      <c r="I108" s="41"/>
      <c r="J108" s="41"/>
      <c r="K108" s="41"/>
      <c r="L108" s="41"/>
      <c r="M108" s="41"/>
      <c r="N108" s="41"/>
      <c r="O108" s="41"/>
      <c r="P108" s="41"/>
      <c r="Q108" s="41"/>
      <c r="R108" s="41"/>
      <c r="S108" s="41"/>
      <c r="T108" s="41"/>
      <c r="U108" s="41"/>
      <c r="V108" s="41"/>
      <c r="W108" s="41"/>
      <c r="X108" s="41"/>
      <c r="Y108" s="41"/>
      <c r="Z108" s="41"/>
    </row>
    <row r="109" customFormat="false" ht="14.25" hidden="false" customHeight="true" outlineLevel="0" collapsed="false">
      <c r="A109" s="38"/>
      <c r="B109" s="38"/>
      <c r="C109" s="39"/>
      <c r="D109" s="40"/>
      <c r="E109" s="40"/>
      <c r="F109" s="41"/>
      <c r="G109" s="41"/>
      <c r="H109" s="41"/>
      <c r="I109" s="41"/>
      <c r="J109" s="41"/>
      <c r="K109" s="41"/>
      <c r="L109" s="41"/>
      <c r="M109" s="41"/>
      <c r="N109" s="41"/>
      <c r="O109" s="41"/>
      <c r="P109" s="41"/>
      <c r="Q109" s="41"/>
      <c r="R109" s="41"/>
      <c r="S109" s="41"/>
      <c r="T109" s="41"/>
      <c r="U109" s="41"/>
      <c r="V109" s="41"/>
      <c r="W109" s="41"/>
      <c r="X109" s="41"/>
      <c r="Y109" s="41"/>
      <c r="Z109" s="41"/>
    </row>
    <row r="110" customFormat="false" ht="14.25" hidden="false" customHeight="true" outlineLevel="0" collapsed="false">
      <c r="A110" s="38"/>
      <c r="B110" s="38"/>
      <c r="C110" s="39"/>
      <c r="D110" s="40"/>
      <c r="E110" s="40"/>
      <c r="F110" s="41"/>
      <c r="G110" s="41"/>
      <c r="H110" s="41"/>
      <c r="I110" s="41"/>
      <c r="J110" s="41"/>
      <c r="K110" s="41"/>
      <c r="L110" s="41"/>
      <c r="M110" s="41"/>
      <c r="N110" s="41"/>
      <c r="O110" s="41"/>
      <c r="P110" s="41"/>
      <c r="Q110" s="41"/>
      <c r="R110" s="41"/>
      <c r="S110" s="41"/>
      <c r="T110" s="41"/>
      <c r="U110" s="41"/>
      <c r="V110" s="41"/>
      <c r="W110" s="41"/>
      <c r="X110" s="41"/>
      <c r="Y110" s="41"/>
      <c r="Z110" s="41"/>
    </row>
    <row r="111" customFormat="false" ht="14.25" hidden="false" customHeight="true" outlineLevel="0" collapsed="false">
      <c r="A111" s="38"/>
      <c r="B111" s="38"/>
      <c r="C111" s="39"/>
      <c r="D111" s="40"/>
      <c r="E111" s="40"/>
      <c r="F111" s="41"/>
      <c r="G111" s="41"/>
      <c r="H111" s="41"/>
      <c r="I111" s="41"/>
      <c r="J111" s="41"/>
      <c r="K111" s="41"/>
      <c r="L111" s="41"/>
      <c r="M111" s="41"/>
      <c r="N111" s="41"/>
      <c r="O111" s="41"/>
      <c r="P111" s="41"/>
      <c r="Q111" s="41"/>
      <c r="R111" s="41"/>
      <c r="S111" s="41"/>
      <c r="T111" s="41"/>
      <c r="U111" s="41"/>
      <c r="V111" s="41"/>
      <c r="W111" s="41"/>
      <c r="X111" s="41"/>
      <c r="Y111" s="41"/>
      <c r="Z111" s="41"/>
    </row>
    <row r="112" customFormat="false" ht="14.25" hidden="false" customHeight="true" outlineLevel="0" collapsed="false">
      <c r="A112" s="38"/>
      <c r="B112" s="38"/>
      <c r="C112" s="39"/>
      <c r="D112" s="40"/>
      <c r="E112" s="40"/>
      <c r="F112" s="41"/>
      <c r="G112" s="41"/>
      <c r="H112" s="41"/>
      <c r="I112" s="41"/>
      <c r="J112" s="41"/>
      <c r="K112" s="41"/>
      <c r="L112" s="41"/>
      <c r="M112" s="41"/>
      <c r="N112" s="41"/>
      <c r="O112" s="41"/>
      <c r="P112" s="41"/>
      <c r="Q112" s="41"/>
      <c r="R112" s="41"/>
      <c r="S112" s="41"/>
      <c r="T112" s="41"/>
      <c r="U112" s="41"/>
      <c r="V112" s="41"/>
      <c r="W112" s="41"/>
      <c r="X112" s="41"/>
      <c r="Y112" s="41"/>
      <c r="Z112" s="41"/>
    </row>
    <row r="113" customFormat="false" ht="14.25" hidden="false" customHeight="true" outlineLevel="0" collapsed="false">
      <c r="A113" s="38"/>
      <c r="B113" s="38"/>
      <c r="C113" s="39"/>
      <c r="D113" s="40"/>
      <c r="E113" s="40"/>
      <c r="F113" s="41"/>
      <c r="G113" s="41"/>
      <c r="H113" s="41"/>
      <c r="I113" s="41"/>
      <c r="J113" s="41"/>
      <c r="K113" s="41"/>
      <c r="L113" s="41"/>
      <c r="M113" s="41"/>
      <c r="N113" s="41"/>
      <c r="O113" s="41"/>
      <c r="P113" s="41"/>
      <c r="Q113" s="41"/>
      <c r="R113" s="41"/>
      <c r="S113" s="41"/>
      <c r="T113" s="41"/>
      <c r="U113" s="41"/>
      <c r="V113" s="41"/>
      <c r="W113" s="41"/>
      <c r="X113" s="41"/>
      <c r="Y113" s="41"/>
      <c r="Z113" s="41"/>
    </row>
    <row r="114" customFormat="false" ht="14.25" hidden="false" customHeight="true" outlineLevel="0" collapsed="false">
      <c r="A114" s="38"/>
      <c r="B114" s="38"/>
      <c r="C114" s="39"/>
      <c r="D114" s="40"/>
      <c r="E114" s="40"/>
      <c r="F114" s="41"/>
      <c r="G114" s="41"/>
      <c r="H114" s="41"/>
      <c r="I114" s="41"/>
      <c r="J114" s="41"/>
      <c r="K114" s="41"/>
      <c r="L114" s="41"/>
      <c r="M114" s="41"/>
      <c r="N114" s="41"/>
      <c r="O114" s="41"/>
      <c r="P114" s="41"/>
      <c r="Q114" s="41"/>
      <c r="R114" s="41"/>
      <c r="S114" s="41"/>
      <c r="T114" s="41"/>
      <c r="U114" s="41"/>
      <c r="V114" s="41"/>
      <c r="W114" s="41"/>
      <c r="X114" s="41"/>
      <c r="Y114" s="41"/>
      <c r="Z114" s="41"/>
    </row>
    <row r="115" customFormat="false" ht="14.25" hidden="false" customHeight="true" outlineLevel="0" collapsed="false">
      <c r="A115" s="38"/>
      <c r="B115" s="38"/>
      <c r="C115" s="39"/>
      <c r="D115" s="40"/>
      <c r="E115" s="40"/>
      <c r="F115" s="41"/>
      <c r="G115" s="41"/>
      <c r="H115" s="41"/>
      <c r="I115" s="41"/>
      <c r="J115" s="41"/>
      <c r="K115" s="41"/>
      <c r="L115" s="41"/>
      <c r="M115" s="41"/>
      <c r="N115" s="41"/>
      <c r="O115" s="41"/>
      <c r="P115" s="41"/>
      <c r="Q115" s="41"/>
      <c r="R115" s="41"/>
      <c r="S115" s="41"/>
      <c r="T115" s="41"/>
      <c r="U115" s="41"/>
      <c r="V115" s="41"/>
      <c r="W115" s="41"/>
      <c r="X115" s="41"/>
      <c r="Y115" s="41"/>
      <c r="Z115" s="41"/>
    </row>
    <row r="116" customFormat="false" ht="14.25" hidden="false" customHeight="true" outlineLevel="0" collapsed="false">
      <c r="A116" s="38"/>
      <c r="B116" s="38"/>
      <c r="C116" s="39"/>
      <c r="D116" s="40"/>
      <c r="E116" s="40"/>
      <c r="F116" s="41"/>
      <c r="G116" s="41"/>
      <c r="H116" s="41"/>
      <c r="I116" s="41"/>
      <c r="J116" s="41"/>
      <c r="K116" s="41"/>
      <c r="L116" s="41"/>
      <c r="M116" s="41"/>
      <c r="N116" s="41"/>
      <c r="O116" s="41"/>
      <c r="P116" s="41"/>
      <c r="Q116" s="41"/>
      <c r="R116" s="41"/>
      <c r="S116" s="41"/>
      <c r="T116" s="41"/>
      <c r="U116" s="41"/>
      <c r="V116" s="41"/>
      <c r="W116" s="41"/>
      <c r="X116" s="41"/>
      <c r="Y116" s="41"/>
      <c r="Z116" s="41"/>
    </row>
    <row r="117" customFormat="false" ht="14.25" hidden="false" customHeight="true" outlineLevel="0" collapsed="false">
      <c r="A117" s="38"/>
      <c r="B117" s="38"/>
      <c r="C117" s="39"/>
      <c r="D117" s="40"/>
      <c r="E117" s="40"/>
      <c r="F117" s="41"/>
      <c r="G117" s="41"/>
      <c r="H117" s="41"/>
      <c r="I117" s="41"/>
      <c r="J117" s="41"/>
      <c r="K117" s="41"/>
      <c r="L117" s="41"/>
      <c r="M117" s="41"/>
      <c r="N117" s="41"/>
      <c r="O117" s="41"/>
      <c r="P117" s="41"/>
      <c r="Q117" s="41"/>
      <c r="R117" s="41"/>
      <c r="S117" s="41"/>
      <c r="T117" s="41"/>
      <c r="U117" s="41"/>
      <c r="V117" s="41"/>
      <c r="W117" s="41"/>
      <c r="X117" s="41"/>
      <c r="Y117" s="41"/>
      <c r="Z117" s="41"/>
    </row>
    <row r="118" customFormat="false" ht="14.25" hidden="false" customHeight="true" outlineLevel="0" collapsed="false">
      <c r="A118" s="38"/>
      <c r="B118" s="38"/>
      <c r="C118" s="39"/>
      <c r="D118" s="40"/>
      <c r="E118" s="40"/>
      <c r="F118" s="41"/>
      <c r="G118" s="41"/>
      <c r="H118" s="41"/>
      <c r="I118" s="41"/>
      <c r="J118" s="41"/>
      <c r="K118" s="41"/>
      <c r="L118" s="41"/>
      <c r="M118" s="41"/>
      <c r="N118" s="41"/>
      <c r="O118" s="41"/>
      <c r="P118" s="41"/>
      <c r="Q118" s="41"/>
      <c r="R118" s="41"/>
      <c r="S118" s="41"/>
      <c r="T118" s="41"/>
      <c r="U118" s="41"/>
      <c r="V118" s="41"/>
      <c r="W118" s="41"/>
      <c r="X118" s="41"/>
      <c r="Y118" s="41"/>
      <c r="Z118" s="41"/>
    </row>
    <row r="119" customFormat="false" ht="14.25" hidden="false" customHeight="true" outlineLevel="0" collapsed="false">
      <c r="A119" s="38"/>
      <c r="B119" s="38"/>
      <c r="C119" s="39"/>
      <c r="D119" s="40"/>
      <c r="E119" s="40"/>
      <c r="F119" s="41"/>
      <c r="G119" s="41"/>
      <c r="H119" s="41"/>
      <c r="I119" s="41"/>
      <c r="J119" s="41"/>
      <c r="K119" s="41"/>
      <c r="L119" s="41"/>
      <c r="M119" s="41"/>
      <c r="N119" s="41"/>
      <c r="O119" s="41"/>
      <c r="P119" s="41"/>
      <c r="Q119" s="41"/>
      <c r="R119" s="41"/>
      <c r="S119" s="41"/>
      <c r="T119" s="41"/>
      <c r="U119" s="41"/>
      <c r="V119" s="41"/>
      <c r="W119" s="41"/>
      <c r="X119" s="41"/>
      <c r="Y119" s="41"/>
      <c r="Z119" s="41"/>
    </row>
    <row r="120" customFormat="false" ht="14.25" hidden="false" customHeight="true" outlineLevel="0" collapsed="false">
      <c r="A120" s="38"/>
      <c r="B120" s="38"/>
      <c r="C120" s="39"/>
      <c r="D120" s="40"/>
      <c r="E120" s="40"/>
      <c r="F120" s="41"/>
      <c r="G120" s="41"/>
      <c r="H120" s="41"/>
      <c r="I120" s="41"/>
      <c r="J120" s="41"/>
      <c r="K120" s="41"/>
      <c r="L120" s="41"/>
      <c r="M120" s="41"/>
      <c r="N120" s="41"/>
      <c r="O120" s="41"/>
      <c r="P120" s="41"/>
      <c r="Q120" s="41"/>
      <c r="R120" s="41"/>
      <c r="S120" s="41"/>
      <c r="T120" s="41"/>
      <c r="U120" s="41"/>
      <c r="V120" s="41"/>
      <c r="W120" s="41"/>
      <c r="X120" s="41"/>
      <c r="Y120" s="41"/>
      <c r="Z120" s="41"/>
    </row>
    <row r="121" customFormat="false" ht="14.25" hidden="false" customHeight="true" outlineLevel="0" collapsed="false">
      <c r="A121" s="38"/>
      <c r="B121" s="38"/>
      <c r="C121" s="39"/>
      <c r="D121" s="40"/>
      <c r="E121" s="40"/>
      <c r="F121" s="41"/>
      <c r="G121" s="41"/>
      <c r="H121" s="41"/>
      <c r="I121" s="41"/>
      <c r="J121" s="41"/>
      <c r="K121" s="41"/>
      <c r="L121" s="41"/>
      <c r="M121" s="41"/>
      <c r="N121" s="41"/>
      <c r="O121" s="41"/>
      <c r="P121" s="41"/>
      <c r="Q121" s="41"/>
      <c r="R121" s="41"/>
      <c r="S121" s="41"/>
      <c r="T121" s="41"/>
      <c r="U121" s="41"/>
      <c r="V121" s="41"/>
      <c r="W121" s="41"/>
      <c r="X121" s="41"/>
      <c r="Y121" s="41"/>
      <c r="Z121" s="41"/>
    </row>
    <row r="122" customFormat="false" ht="14.25" hidden="false" customHeight="true" outlineLevel="0" collapsed="false">
      <c r="A122" s="38"/>
      <c r="B122" s="38"/>
      <c r="C122" s="39"/>
      <c r="D122" s="40"/>
      <c r="E122" s="40"/>
      <c r="F122" s="41"/>
      <c r="G122" s="41"/>
      <c r="H122" s="41"/>
      <c r="I122" s="41"/>
      <c r="J122" s="41"/>
      <c r="K122" s="41"/>
      <c r="L122" s="41"/>
      <c r="M122" s="41"/>
      <c r="N122" s="41"/>
      <c r="O122" s="41"/>
      <c r="P122" s="41"/>
      <c r="Q122" s="41"/>
      <c r="R122" s="41"/>
      <c r="S122" s="41"/>
      <c r="T122" s="41"/>
      <c r="U122" s="41"/>
      <c r="V122" s="41"/>
      <c r="W122" s="41"/>
      <c r="X122" s="41"/>
      <c r="Y122" s="41"/>
      <c r="Z122" s="41"/>
    </row>
    <row r="123" customFormat="false" ht="14.25" hidden="false" customHeight="true" outlineLevel="0" collapsed="false">
      <c r="A123" s="38"/>
      <c r="B123" s="38"/>
      <c r="C123" s="39"/>
      <c r="D123" s="40"/>
      <c r="E123" s="40"/>
      <c r="F123" s="41"/>
      <c r="G123" s="41"/>
      <c r="H123" s="41"/>
      <c r="I123" s="41"/>
      <c r="J123" s="41"/>
      <c r="K123" s="41"/>
      <c r="L123" s="41"/>
      <c r="M123" s="41"/>
      <c r="N123" s="41"/>
      <c r="O123" s="41"/>
      <c r="P123" s="41"/>
      <c r="Q123" s="41"/>
      <c r="R123" s="41"/>
      <c r="S123" s="41"/>
      <c r="T123" s="41"/>
      <c r="U123" s="41"/>
      <c r="V123" s="41"/>
      <c r="W123" s="41"/>
      <c r="X123" s="41"/>
      <c r="Y123" s="41"/>
      <c r="Z123" s="41"/>
    </row>
    <row r="124" customFormat="false" ht="14.25" hidden="false" customHeight="true" outlineLevel="0" collapsed="false">
      <c r="A124" s="38"/>
      <c r="B124" s="38"/>
      <c r="C124" s="39"/>
      <c r="D124" s="40"/>
      <c r="E124" s="40"/>
      <c r="F124" s="41"/>
      <c r="G124" s="41"/>
      <c r="H124" s="41"/>
      <c r="I124" s="41"/>
      <c r="J124" s="41"/>
      <c r="K124" s="41"/>
      <c r="L124" s="41"/>
      <c r="M124" s="41"/>
      <c r="N124" s="41"/>
      <c r="O124" s="41"/>
      <c r="P124" s="41"/>
      <c r="Q124" s="41"/>
      <c r="R124" s="41"/>
      <c r="S124" s="41"/>
      <c r="T124" s="41"/>
      <c r="U124" s="41"/>
      <c r="V124" s="41"/>
      <c r="W124" s="41"/>
      <c r="X124" s="41"/>
      <c r="Y124" s="41"/>
      <c r="Z124" s="41"/>
    </row>
    <row r="125" customFormat="false" ht="14.25" hidden="false" customHeight="true" outlineLevel="0" collapsed="false">
      <c r="A125" s="38"/>
      <c r="B125" s="38"/>
      <c r="C125" s="39"/>
      <c r="D125" s="40"/>
      <c r="E125" s="40"/>
      <c r="F125" s="41"/>
      <c r="G125" s="41"/>
      <c r="H125" s="41"/>
      <c r="I125" s="41"/>
      <c r="J125" s="41"/>
      <c r="K125" s="41"/>
      <c r="L125" s="41"/>
      <c r="M125" s="41"/>
      <c r="N125" s="41"/>
      <c r="O125" s="41"/>
      <c r="P125" s="41"/>
      <c r="Q125" s="41"/>
      <c r="R125" s="41"/>
      <c r="S125" s="41"/>
      <c r="T125" s="41"/>
      <c r="U125" s="41"/>
      <c r="V125" s="41"/>
      <c r="W125" s="41"/>
      <c r="X125" s="41"/>
      <c r="Y125" s="41"/>
      <c r="Z125" s="41"/>
    </row>
    <row r="126" customFormat="false" ht="14.25" hidden="false" customHeight="true" outlineLevel="0" collapsed="false">
      <c r="A126" s="38"/>
      <c r="B126" s="38"/>
      <c r="C126" s="39"/>
      <c r="D126" s="40"/>
      <c r="E126" s="40"/>
      <c r="F126" s="41"/>
      <c r="G126" s="41"/>
      <c r="H126" s="41"/>
      <c r="I126" s="41"/>
      <c r="J126" s="41"/>
      <c r="K126" s="41"/>
      <c r="L126" s="41"/>
      <c r="M126" s="41"/>
      <c r="N126" s="41"/>
      <c r="O126" s="41"/>
      <c r="P126" s="41"/>
      <c r="Q126" s="41"/>
      <c r="R126" s="41"/>
      <c r="S126" s="41"/>
      <c r="T126" s="41"/>
      <c r="U126" s="41"/>
      <c r="V126" s="41"/>
      <c r="W126" s="41"/>
      <c r="X126" s="41"/>
      <c r="Y126" s="41"/>
      <c r="Z126" s="41"/>
    </row>
    <row r="127" customFormat="false" ht="14.25" hidden="false" customHeight="true" outlineLevel="0" collapsed="false">
      <c r="A127" s="38"/>
      <c r="B127" s="38"/>
      <c r="C127" s="39"/>
      <c r="D127" s="40"/>
      <c r="E127" s="40"/>
      <c r="F127" s="41"/>
      <c r="G127" s="41"/>
      <c r="H127" s="41"/>
      <c r="I127" s="41"/>
      <c r="J127" s="41"/>
      <c r="K127" s="41"/>
      <c r="L127" s="41"/>
      <c r="M127" s="41"/>
      <c r="N127" s="41"/>
      <c r="O127" s="41"/>
      <c r="P127" s="41"/>
      <c r="Q127" s="41"/>
      <c r="R127" s="41"/>
      <c r="S127" s="41"/>
      <c r="T127" s="41"/>
      <c r="U127" s="41"/>
      <c r="V127" s="41"/>
      <c r="W127" s="41"/>
      <c r="X127" s="41"/>
      <c r="Y127" s="41"/>
      <c r="Z127" s="41"/>
    </row>
    <row r="128" customFormat="false" ht="14.25" hidden="false" customHeight="true" outlineLevel="0" collapsed="false">
      <c r="A128" s="38"/>
      <c r="B128" s="38"/>
      <c r="C128" s="39"/>
      <c r="D128" s="40"/>
      <c r="E128" s="40"/>
      <c r="F128" s="41"/>
      <c r="G128" s="41"/>
      <c r="H128" s="41"/>
      <c r="I128" s="41"/>
      <c r="J128" s="41"/>
      <c r="K128" s="41"/>
      <c r="L128" s="41"/>
      <c r="M128" s="41"/>
      <c r="N128" s="41"/>
      <c r="O128" s="41"/>
      <c r="P128" s="41"/>
      <c r="Q128" s="41"/>
      <c r="R128" s="41"/>
      <c r="S128" s="41"/>
      <c r="T128" s="41"/>
      <c r="U128" s="41"/>
      <c r="V128" s="41"/>
      <c r="W128" s="41"/>
      <c r="X128" s="41"/>
      <c r="Y128" s="41"/>
      <c r="Z128" s="41"/>
    </row>
    <row r="129" customFormat="false" ht="14.25" hidden="false" customHeight="true" outlineLevel="0" collapsed="false">
      <c r="A129" s="38"/>
      <c r="B129" s="38"/>
      <c r="C129" s="39"/>
      <c r="D129" s="40"/>
      <c r="E129" s="40"/>
      <c r="F129" s="41"/>
      <c r="G129" s="41"/>
      <c r="H129" s="41"/>
      <c r="I129" s="41"/>
      <c r="J129" s="41"/>
      <c r="K129" s="41"/>
      <c r="L129" s="41"/>
      <c r="M129" s="41"/>
      <c r="N129" s="41"/>
      <c r="O129" s="41"/>
      <c r="P129" s="41"/>
      <c r="Q129" s="41"/>
      <c r="R129" s="41"/>
      <c r="S129" s="41"/>
      <c r="T129" s="41"/>
      <c r="U129" s="41"/>
      <c r="V129" s="41"/>
      <c r="W129" s="41"/>
      <c r="X129" s="41"/>
      <c r="Y129" s="41"/>
      <c r="Z129" s="41"/>
    </row>
    <row r="130" customFormat="false" ht="14.25" hidden="false" customHeight="true" outlineLevel="0" collapsed="false">
      <c r="A130" s="38"/>
      <c r="B130" s="38"/>
      <c r="C130" s="39"/>
      <c r="D130" s="40"/>
      <c r="E130" s="40"/>
      <c r="F130" s="41"/>
      <c r="G130" s="41"/>
      <c r="H130" s="41"/>
      <c r="I130" s="41"/>
      <c r="J130" s="41"/>
      <c r="K130" s="41"/>
      <c r="L130" s="41"/>
      <c r="M130" s="41"/>
      <c r="N130" s="41"/>
      <c r="O130" s="41"/>
      <c r="P130" s="41"/>
      <c r="Q130" s="41"/>
      <c r="R130" s="41"/>
      <c r="S130" s="41"/>
      <c r="T130" s="41"/>
      <c r="U130" s="41"/>
      <c r="V130" s="41"/>
      <c r="W130" s="41"/>
      <c r="X130" s="41"/>
      <c r="Y130" s="41"/>
      <c r="Z130" s="41"/>
    </row>
    <row r="131" customFormat="false" ht="14.25" hidden="false" customHeight="true" outlineLevel="0" collapsed="false">
      <c r="A131" s="38"/>
      <c r="B131" s="38"/>
      <c r="C131" s="39"/>
      <c r="D131" s="40"/>
      <c r="E131" s="40"/>
      <c r="F131" s="41"/>
      <c r="G131" s="41"/>
      <c r="H131" s="41"/>
      <c r="I131" s="41"/>
      <c r="J131" s="41"/>
      <c r="K131" s="41"/>
      <c r="L131" s="41"/>
      <c r="M131" s="41"/>
      <c r="N131" s="41"/>
      <c r="O131" s="41"/>
      <c r="P131" s="41"/>
      <c r="Q131" s="41"/>
      <c r="R131" s="41"/>
      <c r="S131" s="41"/>
      <c r="T131" s="41"/>
      <c r="U131" s="41"/>
      <c r="V131" s="41"/>
      <c r="W131" s="41"/>
      <c r="X131" s="41"/>
      <c r="Y131" s="41"/>
      <c r="Z131" s="41"/>
    </row>
    <row r="132" customFormat="false" ht="14.25" hidden="false" customHeight="true" outlineLevel="0" collapsed="false">
      <c r="A132" s="38"/>
      <c r="B132" s="38"/>
      <c r="C132" s="39"/>
      <c r="D132" s="40"/>
      <c r="E132" s="40"/>
      <c r="F132" s="41"/>
      <c r="G132" s="41"/>
      <c r="H132" s="41"/>
      <c r="I132" s="41"/>
      <c r="J132" s="41"/>
      <c r="K132" s="41"/>
      <c r="L132" s="41"/>
      <c r="M132" s="41"/>
      <c r="N132" s="41"/>
      <c r="O132" s="41"/>
      <c r="P132" s="41"/>
      <c r="Q132" s="41"/>
      <c r="R132" s="41"/>
      <c r="S132" s="41"/>
      <c r="T132" s="41"/>
      <c r="U132" s="41"/>
      <c r="V132" s="41"/>
      <c r="W132" s="41"/>
      <c r="X132" s="41"/>
      <c r="Y132" s="41"/>
      <c r="Z132" s="41"/>
    </row>
    <row r="133" customFormat="false" ht="14.25" hidden="false" customHeight="true" outlineLevel="0" collapsed="false">
      <c r="A133" s="38"/>
      <c r="B133" s="38"/>
      <c r="C133" s="39"/>
      <c r="D133" s="40"/>
      <c r="E133" s="40"/>
      <c r="F133" s="41"/>
      <c r="G133" s="41"/>
      <c r="H133" s="41"/>
      <c r="I133" s="41"/>
      <c r="J133" s="41"/>
      <c r="K133" s="41"/>
      <c r="L133" s="41"/>
      <c r="M133" s="41"/>
      <c r="N133" s="41"/>
      <c r="O133" s="41"/>
      <c r="P133" s="41"/>
      <c r="Q133" s="41"/>
      <c r="R133" s="41"/>
      <c r="S133" s="41"/>
      <c r="T133" s="41"/>
      <c r="U133" s="41"/>
      <c r="V133" s="41"/>
      <c r="W133" s="41"/>
      <c r="X133" s="41"/>
      <c r="Y133" s="41"/>
      <c r="Z133" s="41"/>
    </row>
    <row r="134" customFormat="false" ht="14.25" hidden="false" customHeight="true" outlineLevel="0" collapsed="false">
      <c r="A134" s="38"/>
      <c r="B134" s="38"/>
      <c r="C134" s="39"/>
      <c r="D134" s="40"/>
      <c r="E134" s="40"/>
      <c r="F134" s="41"/>
      <c r="G134" s="41"/>
      <c r="H134" s="41"/>
      <c r="I134" s="41"/>
      <c r="J134" s="41"/>
      <c r="K134" s="41"/>
      <c r="L134" s="41"/>
      <c r="M134" s="41"/>
      <c r="N134" s="41"/>
      <c r="O134" s="41"/>
      <c r="P134" s="41"/>
      <c r="Q134" s="41"/>
      <c r="R134" s="41"/>
      <c r="S134" s="41"/>
      <c r="T134" s="41"/>
      <c r="U134" s="41"/>
      <c r="V134" s="41"/>
      <c r="W134" s="41"/>
      <c r="X134" s="41"/>
      <c r="Y134" s="41"/>
      <c r="Z134" s="41"/>
    </row>
    <row r="135" customFormat="false" ht="14.25" hidden="false" customHeight="true" outlineLevel="0" collapsed="false">
      <c r="A135" s="38"/>
      <c r="B135" s="38"/>
      <c r="C135" s="39"/>
      <c r="D135" s="40"/>
      <c r="E135" s="40"/>
      <c r="F135" s="41"/>
      <c r="G135" s="41"/>
      <c r="H135" s="41"/>
      <c r="I135" s="41"/>
      <c r="J135" s="41"/>
      <c r="K135" s="41"/>
      <c r="L135" s="41"/>
      <c r="M135" s="41"/>
      <c r="N135" s="41"/>
      <c r="O135" s="41"/>
      <c r="P135" s="41"/>
      <c r="Q135" s="41"/>
      <c r="R135" s="41"/>
      <c r="S135" s="41"/>
      <c r="T135" s="41"/>
      <c r="U135" s="41"/>
      <c r="V135" s="41"/>
      <c r="W135" s="41"/>
      <c r="X135" s="41"/>
      <c r="Y135" s="41"/>
      <c r="Z135" s="41"/>
    </row>
    <row r="136" customFormat="false" ht="14.25" hidden="false" customHeight="true" outlineLevel="0" collapsed="false">
      <c r="A136" s="38"/>
      <c r="B136" s="38"/>
      <c r="C136" s="39"/>
      <c r="D136" s="40"/>
      <c r="E136" s="40"/>
      <c r="F136" s="41"/>
      <c r="G136" s="41"/>
      <c r="H136" s="41"/>
      <c r="I136" s="41"/>
      <c r="J136" s="41"/>
      <c r="K136" s="41"/>
      <c r="L136" s="41"/>
      <c r="M136" s="41"/>
      <c r="N136" s="41"/>
      <c r="O136" s="41"/>
      <c r="P136" s="41"/>
      <c r="Q136" s="41"/>
      <c r="R136" s="41"/>
      <c r="S136" s="41"/>
      <c r="T136" s="41"/>
      <c r="U136" s="41"/>
      <c r="V136" s="41"/>
      <c r="W136" s="41"/>
      <c r="X136" s="41"/>
      <c r="Y136" s="41"/>
      <c r="Z136" s="41"/>
    </row>
    <row r="137" customFormat="false" ht="14.25" hidden="false" customHeight="true" outlineLevel="0" collapsed="false">
      <c r="A137" s="38"/>
      <c r="B137" s="38"/>
      <c r="C137" s="39"/>
      <c r="D137" s="40"/>
      <c r="E137" s="40"/>
      <c r="F137" s="41"/>
      <c r="G137" s="41"/>
      <c r="H137" s="41"/>
      <c r="I137" s="41"/>
      <c r="J137" s="41"/>
      <c r="K137" s="41"/>
      <c r="L137" s="41"/>
      <c r="M137" s="41"/>
      <c r="N137" s="41"/>
      <c r="O137" s="41"/>
      <c r="P137" s="41"/>
      <c r="Q137" s="41"/>
      <c r="R137" s="41"/>
      <c r="S137" s="41"/>
      <c r="T137" s="41"/>
      <c r="U137" s="41"/>
      <c r="V137" s="41"/>
      <c r="W137" s="41"/>
      <c r="X137" s="41"/>
      <c r="Y137" s="41"/>
      <c r="Z137" s="41"/>
    </row>
    <row r="138" customFormat="false" ht="14.25" hidden="false" customHeight="true" outlineLevel="0" collapsed="false">
      <c r="A138" s="38"/>
      <c r="B138" s="38"/>
      <c r="C138" s="39"/>
      <c r="D138" s="40"/>
      <c r="E138" s="40"/>
      <c r="F138" s="41"/>
      <c r="G138" s="41"/>
      <c r="H138" s="41"/>
      <c r="I138" s="41"/>
      <c r="J138" s="41"/>
      <c r="K138" s="41"/>
      <c r="L138" s="41"/>
      <c r="M138" s="41"/>
      <c r="N138" s="41"/>
      <c r="O138" s="41"/>
      <c r="P138" s="41"/>
      <c r="Q138" s="41"/>
      <c r="R138" s="41"/>
      <c r="S138" s="41"/>
      <c r="T138" s="41"/>
      <c r="U138" s="41"/>
      <c r="V138" s="41"/>
      <c r="W138" s="41"/>
      <c r="X138" s="41"/>
      <c r="Y138" s="41"/>
      <c r="Z138" s="41"/>
    </row>
    <row r="139" customFormat="false" ht="14.25" hidden="false" customHeight="true" outlineLevel="0" collapsed="false">
      <c r="A139" s="38"/>
      <c r="B139" s="38"/>
      <c r="C139" s="39"/>
      <c r="D139" s="40"/>
      <c r="E139" s="40"/>
      <c r="F139" s="41"/>
      <c r="G139" s="41"/>
      <c r="H139" s="41"/>
      <c r="I139" s="41"/>
      <c r="J139" s="41"/>
      <c r="K139" s="41"/>
      <c r="L139" s="41"/>
      <c r="M139" s="41"/>
      <c r="N139" s="41"/>
      <c r="O139" s="41"/>
      <c r="P139" s="41"/>
      <c r="Q139" s="41"/>
      <c r="R139" s="41"/>
      <c r="S139" s="41"/>
      <c r="T139" s="41"/>
      <c r="U139" s="41"/>
      <c r="V139" s="41"/>
      <c r="W139" s="41"/>
      <c r="X139" s="41"/>
      <c r="Y139" s="41"/>
      <c r="Z139" s="41"/>
    </row>
    <row r="140" customFormat="false" ht="14.25" hidden="false" customHeight="true" outlineLevel="0" collapsed="false">
      <c r="A140" s="38"/>
      <c r="B140" s="38"/>
      <c r="C140" s="39"/>
      <c r="D140" s="40"/>
      <c r="E140" s="40"/>
      <c r="F140" s="41"/>
      <c r="G140" s="41"/>
      <c r="H140" s="41"/>
      <c r="I140" s="41"/>
      <c r="J140" s="41"/>
      <c r="K140" s="41"/>
      <c r="L140" s="41"/>
      <c r="M140" s="41"/>
      <c r="N140" s="41"/>
      <c r="O140" s="41"/>
      <c r="P140" s="41"/>
      <c r="Q140" s="41"/>
      <c r="R140" s="41"/>
      <c r="S140" s="41"/>
      <c r="T140" s="41"/>
      <c r="U140" s="41"/>
      <c r="V140" s="41"/>
      <c r="W140" s="41"/>
      <c r="X140" s="41"/>
      <c r="Y140" s="41"/>
      <c r="Z140" s="41"/>
    </row>
    <row r="141" customFormat="false" ht="14.25" hidden="false" customHeight="true" outlineLevel="0" collapsed="false">
      <c r="A141" s="38"/>
      <c r="B141" s="38"/>
      <c r="C141" s="39"/>
      <c r="D141" s="40"/>
      <c r="E141" s="40"/>
      <c r="F141" s="41"/>
      <c r="G141" s="41"/>
      <c r="H141" s="41"/>
      <c r="I141" s="41"/>
      <c r="J141" s="41"/>
      <c r="K141" s="41"/>
      <c r="L141" s="41"/>
      <c r="M141" s="41"/>
      <c r="N141" s="41"/>
      <c r="O141" s="41"/>
      <c r="P141" s="41"/>
      <c r="Q141" s="41"/>
      <c r="R141" s="41"/>
      <c r="S141" s="41"/>
      <c r="T141" s="41"/>
      <c r="U141" s="41"/>
      <c r="V141" s="41"/>
      <c r="W141" s="41"/>
      <c r="X141" s="41"/>
      <c r="Y141" s="41"/>
      <c r="Z141" s="41"/>
    </row>
    <row r="142" customFormat="false" ht="14.25" hidden="false" customHeight="true" outlineLevel="0" collapsed="false">
      <c r="A142" s="38"/>
      <c r="B142" s="38"/>
      <c r="C142" s="39"/>
      <c r="D142" s="40"/>
      <c r="E142" s="40"/>
      <c r="F142" s="41"/>
      <c r="G142" s="41"/>
      <c r="H142" s="41"/>
      <c r="I142" s="41"/>
      <c r="J142" s="41"/>
      <c r="K142" s="41"/>
      <c r="L142" s="41"/>
      <c r="M142" s="41"/>
      <c r="N142" s="41"/>
      <c r="O142" s="41"/>
      <c r="P142" s="41"/>
      <c r="Q142" s="41"/>
      <c r="R142" s="41"/>
      <c r="S142" s="41"/>
      <c r="T142" s="41"/>
      <c r="U142" s="41"/>
      <c r="V142" s="41"/>
      <c r="W142" s="41"/>
      <c r="X142" s="41"/>
      <c r="Y142" s="41"/>
      <c r="Z142" s="41"/>
    </row>
    <row r="143" customFormat="false" ht="14.25" hidden="false" customHeight="true" outlineLevel="0" collapsed="false">
      <c r="A143" s="38"/>
      <c r="B143" s="38"/>
      <c r="C143" s="39"/>
      <c r="D143" s="40"/>
      <c r="E143" s="40"/>
      <c r="F143" s="41"/>
      <c r="G143" s="41"/>
      <c r="H143" s="41"/>
      <c r="I143" s="41"/>
      <c r="J143" s="41"/>
      <c r="K143" s="41"/>
      <c r="L143" s="41"/>
      <c r="M143" s="41"/>
      <c r="N143" s="41"/>
      <c r="O143" s="41"/>
      <c r="P143" s="41"/>
      <c r="Q143" s="41"/>
      <c r="R143" s="41"/>
      <c r="S143" s="41"/>
      <c r="T143" s="41"/>
      <c r="U143" s="41"/>
      <c r="V143" s="41"/>
      <c r="W143" s="41"/>
      <c r="X143" s="41"/>
      <c r="Y143" s="41"/>
      <c r="Z143" s="41"/>
    </row>
    <row r="144" customFormat="false" ht="14.25" hidden="false" customHeight="true" outlineLevel="0" collapsed="false">
      <c r="A144" s="38"/>
      <c r="B144" s="38"/>
      <c r="C144" s="39"/>
      <c r="D144" s="40"/>
      <c r="E144" s="40"/>
      <c r="F144" s="41"/>
      <c r="G144" s="41"/>
      <c r="H144" s="41"/>
      <c r="I144" s="41"/>
      <c r="J144" s="41"/>
      <c r="K144" s="41"/>
      <c r="L144" s="41"/>
      <c r="M144" s="41"/>
      <c r="N144" s="41"/>
      <c r="O144" s="41"/>
      <c r="P144" s="41"/>
      <c r="Q144" s="41"/>
      <c r="R144" s="41"/>
      <c r="S144" s="41"/>
      <c r="T144" s="41"/>
      <c r="U144" s="41"/>
      <c r="V144" s="41"/>
      <c r="W144" s="41"/>
      <c r="X144" s="41"/>
      <c r="Y144" s="41"/>
      <c r="Z144" s="41"/>
    </row>
    <row r="145" customFormat="false" ht="14.25" hidden="false" customHeight="true" outlineLevel="0" collapsed="false">
      <c r="A145" s="38"/>
      <c r="B145" s="38"/>
      <c r="C145" s="39"/>
      <c r="D145" s="40"/>
      <c r="E145" s="40"/>
      <c r="F145" s="41"/>
      <c r="G145" s="41"/>
      <c r="H145" s="41"/>
      <c r="I145" s="41"/>
      <c r="J145" s="41"/>
      <c r="K145" s="41"/>
      <c r="L145" s="41"/>
      <c r="M145" s="41"/>
      <c r="N145" s="41"/>
      <c r="O145" s="41"/>
      <c r="P145" s="41"/>
      <c r="Q145" s="41"/>
      <c r="R145" s="41"/>
      <c r="S145" s="41"/>
      <c r="T145" s="41"/>
      <c r="U145" s="41"/>
      <c r="V145" s="41"/>
      <c r="W145" s="41"/>
      <c r="X145" s="41"/>
      <c r="Y145" s="41"/>
      <c r="Z145" s="41"/>
    </row>
    <row r="146" customFormat="false" ht="14.25" hidden="false" customHeight="true" outlineLevel="0" collapsed="false">
      <c r="A146" s="38"/>
      <c r="B146" s="38"/>
      <c r="C146" s="39"/>
      <c r="D146" s="40"/>
      <c r="E146" s="40"/>
      <c r="F146" s="41"/>
      <c r="G146" s="41"/>
      <c r="H146" s="41"/>
      <c r="I146" s="41"/>
      <c r="J146" s="41"/>
      <c r="K146" s="41"/>
      <c r="L146" s="41"/>
      <c r="M146" s="41"/>
      <c r="N146" s="41"/>
      <c r="O146" s="41"/>
      <c r="P146" s="41"/>
      <c r="Q146" s="41"/>
      <c r="R146" s="41"/>
      <c r="S146" s="41"/>
      <c r="T146" s="41"/>
      <c r="U146" s="41"/>
      <c r="V146" s="41"/>
      <c r="W146" s="41"/>
      <c r="X146" s="41"/>
      <c r="Y146" s="41"/>
      <c r="Z146" s="41"/>
    </row>
    <row r="147" customFormat="false" ht="14.25" hidden="false" customHeight="true" outlineLevel="0" collapsed="false">
      <c r="A147" s="38"/>
      <c r="B147" s="38"/>
      <c r="C147" s="39"/>
      <c r="D147" s="40"/>
      <c r="E147" s="40"/>
      <c r="F147" s="41"/>
      <c r="G147" s="41"/>
      <c r="H147" s="41"/>
      <c r="I147" s="41"/>
      <c r="J147" s="41"/>
      <c r="K147" s="41"/>
      <c r="L147" s="41"/>
      <c r="M147" s="41"/>
      <c r="N147" s="41"/>
      <c r="O147" s="41"/>
      <c r="P147" s="41"/>
      <c r="Q147" s="41"/>
      <c r="R147" s="41"/>
      <c r="S147" s="41"/>
      <c r="T147" s="41"/>
      <c r="U147" s="41"/>
      <c r="V147" s="41"/>
      <c r="W147" s="41"/>
      <c r="X147" s="41"/>
      <c r="Y147" s="41"/>
      <c r="Z147" s="41"/>
    </row>
    <row r="148" customFormat="false" ht="14.25" hidden="false" customHeight="true" outlineLevel="0" collapsed="false">
      <c r="A148" s="38"/>
      <c r="B148" s="38"/>
      <c r="C148" s="39"/>
      <c r="D148" s="40"/>
      <c r="E148" s="40"/>
      <c r="F148" s="41"/>
      <c r="G148" s="41"/>
      <c r="H148" s="41"/>
      <c r="I148" s="41"/>
      <c r="J148" s="41"/>
      <c r="K148" s="41"/>
      <c r="L148" s="41"/>
      <c r="M148" s="41"/>
      <c r="N148" s="41"/>
      <c r="O148" s="41"/>
      <c r="P148" s="41"/>
      <c r="Q148" s="41"/>
      <c r="R148" s="41"/>
      <c r="S148" s="41"/>
      <c r="T148" s="41"/>
      <c r="U148" s="41"/>
      <c r="V148" s="41"/>
      <c r="W148" s="41"/>
      <c r="X148" s="41"/>
      <c r="Y148" s="41"/>
      <c r="Z148" s="41"/>
    </row>
    <row r="149" customFormat="false" ht="14.25" hidden="false" customHeight="true" outlineLevel="0" collapsed="false">
      <c r="A149" s="38"/>
      <c r="B149" s="38"/>
      <c r="C149" s="39"/>
      <c r="D149" s="40"/>
      <c r="E149" s="40"/>
      <c r="F149" s="41"/>
      <c r="G149" s="41"/>
      <c r="H149" s="41"/>
      <c r="I149" s="41"/>
      <c r="J149" s="41"/>
      <c r="K149" s="41"/>
      <c r="L149" s="41"/>
      <c r="M149" s="41"/>
      <c r="N149" s="41"/>
      <c r="O149" s="41"/>
      <c r="P149" s="41"/>
      <c r="Q149" s="41"/>
      <c r="R149" s="41"/>
      <c r="S149" s="41"/>
      <c r="T149" s="41"/>
      <c r="U149" s="41"/>
      <c r="V149" s="41"/>
      <c r="W149" s="41"/>
      <c r="X149" s="41"/>
      <c r="Y149" s="41"/>
      <c r="Z149" s="41"/>
    </row>
    <row r="150" customFormat="false" ht="14.25" hidden="false" customHeight="true" outlineLevel="0" collapsed="false">
      <c r="A150" s="38"/>
      <c r="B150" s="38"/>
      <c r="C150" s="39"/>
      <c r="D150" s="40"/>
      <c r="E150" s="40"/>
      <c r="F150" s="41"/>
      <c r="G150" s="41"/>
      <c r="H150" s="41"/>
      <c r="I150" s="41"/>
      <c r="J150" s="41"/>
      <c r="K150" s="41"/>
      <c r="L150" s="41"/>
      <c r="M150" s="41"/>
      <c r="N150" s="41"/>
      <c r="O150" s="41"/>
      <c r="P150" s="41"/>
      <c r="Q150" s="41"/>
      <c r="R150" s="41"/>
      <c r="S150" s="41"/>
      <c r="T150" s="41"/>
      <c r="U150" s="41"/>
      <c r="V150" s="41"/>
      <c r="W150" s="41"/>
      <c r="X150" s="41"/>
      <c r="Y150" s="41"/>
      <c r="Z150" s="41"/>
    </row>
    <row r="151" customFormat="false" ht="14.25" hidden="false" customHeight="true" outlineLevel="0" collapsed="false">
      <c r="A151" s="38"/>
      <c r="B151" s="38"/>
      <c r="C151" s="39"/>
      <c r="D151" s="40"/>
      <c r="E151" s="40"/>
      <c r="F151" s="41"/>
      <c r="G151" s="41"/>
      <c r="H151" s="41"/>
      <c r="I151" s="41"/>
      <c r="J151" s="41"/>
      <c r="K151" s="41"/>
      <c r="L151" s="41"/>
      <c r="M151" s="41"/>
      <c r="N151" s="41"/>
      <c r="O151" s="41"/>
      <c r="P151" s="41"/>
      <c r="Q151" s="41"/>
      <c r="R151" s="41"/>
      <c r="S151" s="41"/>
      <c r="T151" s="41"/>
      <c r="U151" s="41"/>
      <c r="V151" s="41"/>
      <c r="W151" s="41"/>
      <c r="X151" s="41"/>
      <c r="Y151" s="41"/>
      <c r="Z151" s="41"/>
    </row>
    <row r="152" customFormat="false" ht="14.25" hidden="false" customHeight="true" outlineLevel="0" collapsed="false">
      <c r="A152" s="38"/>
      <c r="B152" s="38"/>
      <c r="C152" s="39"/>
      <c r="D152" s="40"/>
      <c r="E152" s="40"/>
      <c r="F152" s="41"/>
      <c r="G152" s="41"/>
      <c r="H152" s="41"/>
      <c r="I152" s="41"/>
      <c r="J152" s="41"/>
      <c r="K152" s="41"/>
      <c r="L152" s="41"/>
      <c r="M152" s="41"/>
      <c r="N152" s="41"/>
      <c r="O152" s="41"/>
      <c r="P152" s="41"/>
      <c r="Q152" s="41"/>
      <c r="R152" s="41"/>
      <c r="S152" s="41"/>
      <c r="T152" s="41"/>
      <c r="U152" s="41"/>
      <c r="V152" s="41"/>
      <c r="W152" s="41"/>
      <c r="X152" s="41"/>
      <c r="Y152" s="41"/>
      <c r="Z152" s="41"/>
    </row>
    <row r="153" customFormat="false" ht="14.25" hidden="false" customHeight="true" outlineLevel="0" collapsed="false">
      <c r="A153" s="38"/>
      <c r="B153" s="38"/>
      <c r="C153" s="39"/>
      <c r="D153" s="40"/>
      <c r="E153" s="40"/>
      <c r="F153" s="41"/>
      <c r="G153" s="41"/>
      <c r="H153" s="41"/>
      <c r="I153" s="41"/>
      <c r="J153" s="41"/>
      <c r="K153" s="41"/>
      <c r="L153" s="41"/>
      <c r="M153" s="41"/>
      <c r="N153" s="41"/>
      <c r="O153" s="41"/>
      <c r="P153" s="41"/>
      <c r="Q153" s="41"/>
      <c r="R153" s="41"/>
      <c r="S153" s="41"/>
      <c r="T153" s="41"/>
      <c r="U153" s="41"/>
      <c r="V153" s="41"/>
      <c r="W153" s="41"/>
      <c r="X153" s="41"/>
      <c r="Y153" s="41"/>
      <c r="Z153" s="41"/>
    </row>
    <row r="154" customFormat="false" ht="14.25" hidden="false" customHeight="true" outlineLevel="0" collapsed="false">
      <c r="A154" s="38"/>
      <c r="B154" s="38"/>
      <c r="C154" s="39"/>
      <c r="D154" s="40"/>
      <c r="E154" s="40"/>
      <c r="F154" s="41"/>
      <c r="G154" s="41"/>
      <c r="H154" s="41"/>
      <c r="I154" s="41"/>
      <c r="J154" s="41"/>
      <c r="K154" s="41"/>
      <c r="L154" s="41"/>
      <c r="M154" s="41"/>
      <c r="N154" s="41"/>
      <c r="O154" s="41"/>
      <c r="P154" s="41"/>
      <c r="Q154" s="41"/>
      <c r="R154" s="41"/>
      <c r="S154" s="41"/>
      <c r="T154" s="41"/>
      <c r="U154" s="41"/>
      <c r="V154" s="41"/>
      <c r="W154" s="41"/>
      <c r="X154" s="41"/>
      <c r="Y154" s="41"/>
      <c r="Z154" s="41"/>
    </row>
    <row r="155" customFormat="false" ht="14.25" hidden="false" customHeight="true" outlineLevel="0" collapsed="false">
      <c r="A155" s="38"/>
      <c r="B155" s="38"/>
      <c r="C155" s="39"/>
      <c r="D155" s="40"/>
      <c r="E155" s="40"/>
      <c r="F155" s="41"/>
      <c r="G155" s="41"/>
      <c r="H155" s="41"/>
      <c r="I155" s="41"/>
      <c r="J155" s="41"/>
      <c r="K155" s="41"/>
      <c r="L155" s="41"/>
      <c r="M155" s="41"/>
      <c r="N155" s="41"/>
      <c r="O155" s="41"/>
      <c r="P155" s="41"/>
      <c r="Q155" s="41"/>
      <c r="R155" s="41"/>
      <c r="S155" s="41"/>
      <c r="T155" s="41"/>
      <c r="U155" s="41"/>
      <c r="V155" s="41"/>
      <c r="W155" s="41"/>
      <c r="X155" s="41"/>
      <c r="Y155" s="41"/>
      <c r="Z155" s="41"/>
    </row>
    <row r="156" customFormat="false" ht="14.25" hidden="false" customHeight="true" outlineLevel="0" collapsed="false">
      <c r="A156" s="38"/>
      <c r="B156" s="38"/>
      <c r="C156" s="39"/>
      <c r="D156" s="40"/>
      <c r="E156" s="40"/>
      <c r="F156" s="41"/>
      <c r="G156" s="41"/>
      <c r="H156" s="41"/>
      <c r="I156" s="41"/>
      <c r="J156" s="41"/>
      <c r="K156" s="41"/>
      <c r="L156" s="41"/>
      <c r="M156" s="41"/>
      <c r="N156" s="41"/>
      <c r="O156" s="41"/>
      <c r="P156" s="41"/>
      <c r="Q156" s="41"/>
      <c r="R156" s="41"/>
      <c r="S156" s="41"/>
      <c r="T156" s="41"/>
      <c r="U156" s="41"/>
      <c r="V156" s="41"/>
      <c r="W156" s="41"/>
      <c r="X156" s="41"/>
      <c r="Y156" s="41"/>
      <c r="Z156" s="41"/>
    </row>
    <row r="157" customFormat="false" ht="14.25" hidden="false" customHeight="true" outlineLevel="0" collapsed="false">
      <c r="A157" s="38"/>
      <c r="B157" s="38"/>
      <c r="C157" s="39"/>
      <c r="D157" s="40"/>
      <c r="E157" s="40"/>
      <c r="F157" s="41"/>
      <c r="G157" s="41"/>
      <c r="H157" s="41"/>
      <c r="I157" s="41"/>
      <c r="J157" s="41"/>
      <c r="K157" s="41"/>
      <c r="L157" s="41"/>
      <c r="M157" s="41"/>
      <c r="N157" s="41"/>
      <c r="O157" s="41"/>
      <c r="P157" s="41"/>
      <c r="Q157" s="41"/>
      <c r="R157" s="41"/>
      <c r="S157" s="41"/>
      <c r="T157" s="41"/>
      <c r="U157" s="41"/>
      <c r="V157" s="41"/>
      <c r="W157" s="41"/>
      <c r="X157" s="41"/>
      <c r="Y157" s="41"/>
      <c r="Z157" s="41"/>
    </row>
    <row r="158" customFormat="false" ht="14.25" hidden="false" customHeight="true" outlineLevel="0" collapsed="false">
      <c r="A158" s="38"/>
      <c r="B158" s="38"/>
      <c r="C158" s="39"/>
      <c r="D158" s="40"/>
      <c r="E158" s="40"/>
      <c r="F158" s="41"/>
      <c r="G158" s="41"/>
      <c r="H158" s="41"/>
      <c r="I158" s="41"/>
      <c r="J158" s="41"/>
      <c r="K158" s="41"/>
      <c r="L158" s="41"/>
      <c r="M158" s="41"/>
      <c r="N158" s="41"/>
      <c r="O158" s="41"/>
      <c r="P158" s="41"/>
      <c r="Q158" s="41"/>
      <c r="R158" s="41"/>
      <c r="S158" s="41"/>
      <c r="T158" s="41"/>
      <c r="U158" s="41"/>
      <c r="V158" s="41"/>
      <c r="W158" s="41"/>
      <c r="X158" s="41"/>
      <c r="Y158" s="41"/>
      <c r="Z158" s="41"/>
    </row>
    <row r="159" customFormat="false" ht="14.25" hidden="false" customHeight="true" outlineLevel="0" collapsed="false">
      <c r="A159" s="38"/>
      <c r="B159" s="38"/>
      <c r="C159" s="39"/>
      <c r="D159" s="40"/>
      <c r="E159" s="40"/>
      <c r="F159" s="41"/>
      <c r="G159" s="41"/>
      <c r="H159" s="41"/>
      <c r="I159" s="41"/>
      <c r="J159" s="41"/>
      <c r="K159" s="41"/>
      <c r="L159" s="41"/>
      <c r="M159" s="41"/>
      <c r="N159" s="41"/>
      <c r="O159" s="41"/>
      <c r="P159" s="41"/>
      <c r="Q159" s="41"/>
      <c r="R159" s="41"/>
      <c r="S159" s="41"/>
      <c r="T159" s="41"/>
      <c r="U159" s="41"/>
      <c r="V159" s="41"/>
      <c r="W159" s="41"/>
      <c r="X159" s="41"/>
      <c r="Y159" s="41"/>
      <c r="Z159" s="41"/>
    </row>
    <row r="160" customFormat="false" ht="14.25" hidden="false" customHeight="true" outlineLevel="0" collapsed="false">
      <c r="A160" s="38"/>
      <c r="B160" s="38"/>
      <c r="C160" s="39"/>
      <c r="D160" s="40"/>
      <c r="E160" s="40"/>
      <c r="F160" s="41"/>
      <c r="G160" s="41"/>
      <c r="H160" s="41"/>
      <c r="I160" s="41"/>
      <c r="J160" s="41"/>
      <c r="K160" s="41"/>
      <c r="L160" s="41"/>
      <c r="M160" s="41"/>
      <c r="N160" s="41"/>
      <c r="O160" s="41"/>
      <c r="P160" s="41"/>
      <c r="Q160" s="41"/>
      <c r="R160" s="41"/>
      <c r="S160" s="41"/>
      <c r="T160" s="41"/>
      <c r="U160" s="41"/>
      <c r="V160" s="41"/>
      <c r="W160" s="41"/>
      <c r="X160" s="41"/>
      <c r="Y160" s="41"/>
      <c r="Z160" s="41"/>
    </row>
    <row r="161" customFormat="false" ht="14.25" hidden="false" customHeight="true" outlineLevel="0" collapsed="false">
      <c r="A161" s="38"/>
      <c r="B161" s="38"/>
      <c r="C161" s="39"/>
      <c r="D161" s="40"/>
      <c r="E161" s="40"/>
      <c r="F161" s="41"/>
      <c r="G161" s="41"/>
      <c r="H161" s="41"/>
      <c r="I161" s="41"/>
      <c r="J161" s="41"/>
      <c r="K161" s="41"/>
      <c r="L161" s="41"/>
      <c r="M161" s="41"/>
      <c r="N161" s="41"/>
      <c r="O161" s="41"/>
      <c r="P161" s="41"/>
      <c r="Q161" s="41"/>
      <c r="R161" s="41"/>
      <c r="S161" s="41"/>
      <c r="T161" s="41"/>
      <c r="U161" s="41"/>
      <c r="V161" s="41"/>
      <c r="W161" s="41"/>
      <c r="X161" s="41"/>
      <c r="Y161" s="41"/>
      <c r="Z161" s="41"/>
    </row>
    <row r="162" customFormat="false" ht="14.25" hidden="false" customHeight="true" outlineLevel="0" collapsed="false">
      <c r="A162" s="38"/>
      <c r="B162" s="38"/>
      <c r="C162" s="39"/>
      <c r="D162" s="40"/>
      <c r="E162" s="40"/>
      <c r="F162" s="41"/>
      <c r="G162" s="41"/>
      <c r="H162" s="41"/>
      <c r="I162" s="41"/>
      <c r="J162" s="41"/>
      <c r="K162" s="41"/>
      <c r="L162" s="41"/>
      <c r="M162" s="41"/>
      <c r="N162" s="41"/>
      <c r="O162" s="41"/>
      <c r="P162" s="41"/>
      <c r="Q162" s="41"/>
      <c r="R162" s="41"/>
      <c r="S162" s="41"/>
      <c r="T162" s="41"/>
      <c r="U162" s="41"/>
      <c r="V162" s="41"/>
      <c r="W162" s="41"/>
      <c r="X162" s="41"/>
      <c r="Y162" s="41"/>
      <c r="Z162" s="41"/>
    </row>
    <row r="163" customFormat="false" ht="14.25" hidden="false" customHeight="true" outlineLevel="0" collapsed="false">
      <c r="A163" s="38"/>
      <c r="B163" s="38"/>
      <c r="C163" s="39"/>
      <c r="D163" s="40"/>
      <c r="E163" s="40"/>
      <c r="F163" s="41"/>
      <c r="G163" s="41"/>
      <c r="H163" s="41"/>
      <c r="I163" s="41"/>
      <c r="J163" s="41"/>
      <c r="K163" s="41"/>
      <c r="L163" s="41"/>
      <c r="M163" s="41"/>
      <c r="N163" s="41"/>
      <c r="O163" s="41"/>
      <c r="P163" s="41"/>
      <c r="Q163" s="41"/>
      <c r="R163" s="41"/>
      <c r="S163" s="41"/>
      <c r="T163" s="41"/>
      <c r="U163" s="41"/>
      <c r="V163" s="41"/>
      <c r="W163" s="41"/>
      <c r="X163" s="41"/>
      <c r="Y163" s="41"/>
      <c r="Z163" s="41"/>
    </row>
    <row r="164" customFormat="false" ht="14.25" hidden="false" customHeight="true" outlineLevel="0" collapsed="false">
      <c r="A164" s="38"/>
      <c r="B164" s="38"/>
      <c r="C164" s="39"/>
      <c r="D164" s="40"/>
      <c r="E164" s="40"/>
      <c r="F164" s="41"/>
      <c r="G164" s="41"/>
      <c r="H164" s="41"/>
      <c r="I164" s="41"/>
      <c r="J164" s="41"/>
      <c r="K164" s="41"/>
      <c r="L164" s="41"/>
      <c r="M164" s="41"/>
      <c r="N164" s="41"/>
      <c r="O164" s="41"/>
      <c r="P164" s="41"/>
      <c r="Q164" s="41"/>
      <c r="R164" s="41"/>
      <c r="S164" s="41"/>
      <c r="T164" s="41"/>
      <c r="U164" s="41"/>
      <c r="V164" s="41"/>
      <c r="W164" s="41"/>
      <c r="X164" s="41"/>
      <c r="Y164" s="41"/>
      <c r="Z164" s="41"/>
    </row>
    <row r="165" customFormat="false" ht="14.25" hidden="false" customHeight="true" outlineLevel="0" collapsed="false">
      <c r="A165" s="38"/>
      <c r="B165" s="38"/>
      <c r="C165" s="39"/>
      <c r="D165" s="40"/>
      <c r="E165" s="40"/>
      <c r="F165" s="41"/>
      <c r="G165" s="41"/>
      <c r="H165" s="41"/>
      <c r="I165" s="41"/>
      <c r="J165" s="41"/>
      <c r="K165" s="41"/>
      <c r="L165" s="41"/>
      <c r="M165" s="41"/>
      <c r="N165" s="41"/>
      <c r="O165" s="41"/>
      <c r="P165" s="41"/>
      <c r="Q165" s="41"/>
      <c r="R165" s="41"/>
      <c r="S165" s="41"/>
      <c r="T165" s="41"/>
      <c r="U165" s="41"/>
      <c r="V165" s="41"/>
      <c r="W165" s="41"/>
      <c r="X165" s="41"/>
      <c r="Y165" s="41"/>
      <c r="Z165" s="41"/>
    </row>
    <row r="166" customFormat="false" ht="14.25" hidden="false" customHeight="true" outlineLevel="0" collapsed="false">
      <c r="A166" s="38"/>
      <c r="B166" s="38"/>
      <c r="C166" s="39"/>
      <c r="D166" s="40"/>
      <c r="E166" s="40"/>
      <c r="F166" s="41"/>
      <c r="G166" s="41"/>
      <c r="H166" s="41"/>
      <c r="I166" s="41"/>
      <c r="J166" s="41"/>
      <c r="K166" s="41"/>
      <c r="L166" s="41"/>
      <c r="M166" s="41"/>
      <c r="N166" s="41"/>
      <c r="O166" s="41"/>
      <c r="P166" s="41"/>
      <c r="Q166" s="41"/>
      <c r="R166" s="41"/>
      <c r="S166" s="41"/>
      <c r="T166" s="41"/>
      <c r="U166" s="41"/>
      <c r="V166" s="41"/>
      <c r="W166" s="41"/>
      <c r="X166" s="41"/>
      <c r="Y166" s="41"/>
      <c r="Z166" s="41"/>
    </row>
    <row r="167" customFormat="false" ht="14.25" hidden="false" customHeight="true" outlineLevel="0" collapsed="false">
      <c r="A167" s="38"/>
      <c r="B167" s="38"/>
      <c r="C167" s="39"/>
      <c r="D167" s="40"/>
      <c r="E167" s="40"/>
      <c r="F167" s="41"/>
      <c r="G167" s="41"/>
      <c r="H167" s="41"/>
      <c r="I167" s="41"/>
      <c r="J167" s="41"/>
      <c r="K167" s="41"/>
      <c r="L167" s="41"/>
      <c r="M167" s="41"/>
      <c r="N167" s="41"/>
      <c r="O167" s="41"/>
      <c r="P167" s="41"/>
      <c r="Q167" s="41"/>
      <c r="R167" s="41"/>
      <c r="S167" s="41"/>
      <c r="T167" s="41"/>
      <c r="U167" s="41"/>
      <c r="V167" s="41"/>
      <c r="W167" s="41"/>
      <c r="X167" s="41"/>
      <c r="Y167" s="41"/>
      <c r="Z167" s="41"/>
    </row>
    <row r="168" customFormat="false" ht="14.25" hidden="false" customHeight="true" outlineLevel="0" collapsed="false">
      <c r="A168" s="38"/>
      <c r="B168" s="38"/>
      <c r="C168" s="39"/>
      <c r="D168" s="40"/>
      <c r="E168" s="40"/>
      <c r="F168" s="41"/>
      <c r="G168" s="41"/>
      <c r="H168" s="41"/>
      <c r="I168" s="41"/>
      <c r="J168" s="41"/>
      <c r="K168" s="41"/>
      <c r="L168" s="41"/>
      <c r="M168" s="41"/>
      <c r="N168" s="41"/>
      <c r="O168" s="41"/>
      <c r="P168" s="41"/>
      <c r="Q168" s="41"/>
      <c r="R168" s="41"/>
      <c r="S168" s="41"/>
      <c r="T168" s="41"/>
      <c r="U168" s="41"/>
      <c r="V168" s="41"/>
      <c r="W168" s="41"/>
      <c r="X168" s="41"/>
      <c r="Y168" s="41"/>
      <c r="Z168" s="41"/>
    </row>
    <row r="169" customFormat="false" ht="14.25" hidden="false" customHeight="true" outlineLevel="0" collapsed="false">
      <c r="A169" s="38"/>
      <c r="B169" s="38"/>
      <c r="C169" s="39"/>
      <c r="D169" s="40"/>
      <c r="E169" s="40"/>
      <c r="F169" s="41"/>
      <c r="G169" s="41"/>
      <c r="H169" s="41"/>
      <c r="I169" s="41"/>
      <c r="J169" s="41"/>
      <c r="K169" s="41"/>
      <c r="L169" s="41"/>
      <c r="M169" s="41"/>
      <c r="N169" s="41"/>
      <c r="O169" s="41"/>
      <c r="P169" s="41"/>
      <c r="Q169" s="41"/>
      <c r="R169" s="41"/>
      <c r="S169" s="41"/>
      <c r="T169" s="41"/>
      <c r="U169" s="41"/>
      <c r="V169" s="41"/>
      <c r="W169" s="41"/>
      <c r="X169" s="41"/>
      <c r="Y169" s="41"/>
      <c r="Z169" s="41"/>
    </row>
    <row r="170" customFormat="false" ht="14.25" hidden="false" customHeight="true" outlineLevel="0" collapsed="false">
      <c r="A170" s="38"/>
      <c r="B170" s="38"/>
      <c r="C170" s="39"/>
      <c r="D170" s="40"/>
      <c r="E170" s="40"/>
      <c r="F170" s="41"/>
      <c r="G170" s="41"/>
      <c r="H170" s="41"/>
      <c r="I170" s="41"/>
      <c r="J170" s="41"/>
      <c r="K170" s="41"/>
      <c r="L170" s="41"/>
      <c r="M170" s="41"/>
      <c r="N170" s="41"/>
      <c r="O170" s="41"/>
      <c r="P170" s="41"/>
      <c r="Q170" s="41"/>
      <c r="R170" s="41"/>
      <c r="S170" s="41"/>
      <c r="T170" s="41"/>
      <c r="U170" s="41"/>
      <c r="V170" s="41"/>
      <c r="W170" s="41"/>
      <c r="X170" s="41"/>
      <c r="Y170" s="41"/>
      <c r="Z170" s="41"/>
    </row>
    <row r="171" customFormat="false" ht="14.25" hidden="false" customHeight="true" outlineLevel="0" collapsed="false">
      <c r="A171" s="38"/>
      <c r="B171" s="38"/>
      <c r="C171" s="39"/>
      <c r="D171" s="40"/>
      <c r="E171" s="40"/>
      <c r="F171" s="41"/>
      <c r="G171" s="41"/>
      <c r="H171" s="41"/>
      <c r="I171" s="41"/>
      <c r="J171" s="41"/>
      <c r="K171" s="41"/>
      <c r="L171" s="41"/>
      <c r="M171" s="41"/>
      <c r="N171" s="41"/>
      <c r="O171" s="41"/>
      <c r="P171" s="41"/>
      <c r="Q171" s="41"/>
      <c r="R171" s="41"/>
      <c r="S171" s="41"/>
      <c r="T171" s="41"/>
      <c r="U171" s="41"/>
      <c r="V171" s="41"/>
      <c r="W171" s="41"/>
      <c r="X171" s="41"/>
      <c r="Y171" s="41"/>
      <c r="Z171" s="41"/>
    </row>
    <row r="172" customFormat="false" ht="14.25" hidden="false" customHeight="true" outlineLevel="0" collapsed="false">
      <c r="A172" s="38"/>
      <c r="B172" s="38"/>
      <c r="C172" s="39"/>
      <c r="D172" s="40"/>
      <c r="E172" s="40"/>
      <c r="F172" s="41"/>
      <c r="G172" s="41"/>
      <c r="H172" s="41"/>
      <c r="I172" s="41"/>
      <c r="J172" s="41"/>
      <c r="K172" s="41"/>
      <c r="L172" s="41"/>
      <c r="M172" s="41"/>
      <c r="N172" s="41"/>
      <c r="O172" s="41"/>
      <c r="P172" s="41"/>
      <c r="Q172" s="41"/>
      <c r="R172" s="41"/>
      <c r="S172" s="41"/>
      <c r="T172" s="41"/>
      <c r="U172" s="41"/>
      <c r="V172" s="41"/>
      <c r="W172" s="41"/>
      <c r="X172" s="41"/>
      <c r="Y172" s="41"/>
      <c r="Z172" s="41"/>
    </row>
    <row r="173" customFormat="false" ht="14.25" hidden="false" customHeight="true" outlineLevel="0" collapsed="false">
      <c r="A173" s="38"/>
      <c r="B173" s="38"/>
      <c r="C173" s="39"/>
      <c r="D173" s="40"/>
      <c r="E173" s="40"/>
      <c r="F173" s="41"/>
      <c r="G173" s="41"/>
      <c r="H173" s="41"/>
      <c r="I173" s="41"/>
      <c r="J173" s="41"/>
      <c r="K173" s="41"/>
      <c r="L173" s="41"/>
      <c r="M173" s="41"/>
      <c r="N173" s="41"/>
      <c r="O173" s="41"/>
      <c r="P173" s="41"/>
      <c r="Q173" s="41"/>
      <c r="R173" s="41"/>
      <c r="S173" s="41"/>
      <c r="T173" s="41"/>
      <c r="U173" s="41"/>
      <c r="V173" s="41"/>
      <c r="W173" s="41"/>
      <c r="X173" s="41"/>
      <c r="Y173" s="41"/>
      <c r="Z173" s="41"/>
    </row>
    <row r="174" customFormat="false" ht="14.25" hidden="false" customHeight="true" outlineLevel="0" collapsed="false">
      <c r="A174" s="38"/>
      <c r="B174" s="38"/>
      <c r="C174" s="39"/>
      <c r="D174" s="40"/>
      <c r="E174" s="40"/>
      <c r="F174" s="41"/>
      <c r="G174" s="41"/>
      <c r="H174" s="41"/>
      <c r="I174" s="41"/>
      <c r="J174" s="41"/>
      <c r="K174" s="41"/>
      <c r="L174" s="41"/>
      <c r="M174" s="41"/>
      <c r="N174" s="41"/>
      <c r="O174" s="41"/>
      <c r="P174" s="41"/>
      <c r="Q174" s="41"/>
      <c r="R174" s="41"/>
      <c r="S174" s="41"/>
      <c r="T174" s="41"/>
      <c r="U174" s="41"/>
      <c r="V174" s="41"/>
      <c r="W174" s="41"/>
      <c r="X174" s="41"/>
      <c r="Y174" s="41"/>
      <c r="Z174" s="41"/>
    </row>
    <row r="175" customFormat="false" ht="14.25" hidden="false" customHeight="true" outlineLevel="0" collapsed="false">
      <c r="A175" s="38"/>
      <c r="B175" s="38"/>
      <c r="C175" s="39"/>
      <c r="D175" s="40"/>
      <c r="E175" s="40"/>
      <c r="F175" s="41"/>
      <c r="G175" s="41"/>
      <c r="H175" s="41"/>
      <c r="I175" s="41"/>
      <c r="J175" s="41"/>
      <c r="K175" s="41"/>
      <c r="L175" s="41"/>
      <c r="M175" s="41"/>
      <c r="N175" s="41"/>
      <c r="O175" s="41"/>
      <c r="P175" s="41"/>
      <c r="Q175" s="41"/>
      <c r="R175" s="41"/>
      <c r="S175" s="41"/>
      <c r="T175" s="41"/>
      <c r="U175" s="41"/>
      <c r="V175" s="41"/>
      <c r="W175" s="41"/>
      <c r="X175" s="41"/>
      <c r="Y175" s="41"/>
      <c r="Z175" s="41"/>
    </row>
    <row r="176" customFormat="false" ht="14.25" hidden="false" customHeight="true" outlineLevel="0" collapsed="false">
      <c r="A176" s="38"/>
      <c r="B176" s="38"/>
      <c r="C176" s="39"/>
      <c r="D176" s="40"/>
      <c r="E176" s="40"/>
      <c r="F176" s="41"/>
      <c r="G176" s="41"/>
      <c r="H176" s="41"/>
      <c r="I176" s="41"/>
      <c r="J176" s="41"/>
      <c r="K176" s="41"/>
      <c r="L176" s="41"/>
      <c r="M176" s="41"/>
      <c r="N176" s="41"/>
      <c r="O176" s="41"/>
      <c r="P176" s="41"/>
      <c r="Q176" s="41"/>
      <c r="R176" s="41"/>
      <c r="S176" s="41"/>
      <c r="T176" s="41"/>
      <c r="U176" s="41"/>
      <c r="V176" s="41"/>
      <c r="W176" s="41"/>
      <c r="X176" s="41"/>
      <c r="Y176" s="41"/>
      <c r="Z176" s="41"/>
    </row>
    <row r="177" customFormat="false" ht="14.25" hidden="false" customHeight="true" outlineLevel="0" collapsed="false">
      <c r="A177" s="38"/>
      <c r="B177" s="38"/>
      <c r="C177" s="39"/>
      <c r="D177" s="40"/>
      <c r="E177" s="40"/>
      <c r="F177" s="41"/>
      <c r="G177" s="41"/>
      <c r="H177" s="41"/>
      <c r="I177" s="41"/>
      <c r="J177" s="41"/>
      <c r="K177" s="41"/>
      <c r="L177" s="41"/>
      <c r="M177" s="41"/>
      <c r="N177" s="41"/>
      <c r="O177" s="41"/>
      <c r="P177" s="41"/>
      <c r="Q177" s="41"/>
      <c r="R177" s="41"/>
      <c r="S177" s="41"/>
      <c r="T177" s="41"/>
      <c r="U177" s="41"/>
      <c r="V177" s="41"/>
      <c r="W177" s="41"/>
      <c r="X177" s="41"/>
      <c r="Y177" s="41"/>
      <c r="Z177" s="41"/>
    </row>
    <row r="178" customFormat="false" ht="14.25" hidden="false" customHeight="true" outlineLevel="0" collapsed="false">
      <c r="A178" s="38"/>
      <c r="B178" s="38"/>
      <c r="C178" s="39"/>
      <c r="D178" s="40"/>
      <c r="E178" s="40"/>
      <c r="F178" s="41"/>
      <c r="G178" s="41"/>
      <c r="H178" s="41"/>
      <c r="I178" s="41"/>
      <c r="J178" s="41"/>
      <c r="K178" s="41"/>
      <c r="L178" s="41"/>
      <c r="M178" s="41"/>
      <c r="N178" s="41"/>
      <c r="O178" s="41"/>
      <c r="P178" s="41"/>
      <c r="Q178" s="41"/>
      <c r="R178" s="41"/>
      <c r="S178" s="41"/>
      <c r="T178" s="41"/>
      <c r="U178" s="41"/>
      <c r="V178" s="41"/>
      <c r="W178" s="41"/>
      <c r="X178" s="41"/>
      <c r="Y178" s="41"/>
      <c r="Z178" s="41"/>
    </row>
    <row r="179" customFormat="false" ht="14.25" hidden="false" customHeight="true" outlineLevel="0" collapsed="false">
      <c r="A179" s="38"/>
      <c r="B179" s="38"/>
      <c r="C179" s="39"/>
      <c r="D179" s="40"/>
      <c r="E179" s="40"/>
      <c r="F179" s="41"/>
      <c r="G179" s="41"/>
      <c r="H179" s="41"/>
      <c r="I179" s="41"/>
      <c r="J179" s="41"/>
      <c r="K179" s="41"/>
      <c r="L179" s="41"/>
      <c r="M179" s="41"/>
      <c r="N179" s="41"/>
      <c r="O179" s="41"/>
      <c r="P179" s="41"/>
      <c r="Q179" s="41"/>
      <c r="R179" s="41"/>
      <c r="S179" s="41"/>
      <c r="T179" s="41"/>
      <c r="U179" s="41"/>
      <c r="V179" s="41"/>
      <c r="W179" s="41"/>
      <c r="X179" s="41"/>
      <c r="Y179" s="41"/>
      <c r="Z179" s="41"/>
    </row>
    <row r="180" customFormat="false" ht="14.25" hidden="false" customHeight="true" outlineLevel="0" collapsed="false">
      <c r="A180" s="38"/>
      <c r="B180" s="38"/>
      <c r="C180" s="39"/>
      <c r="D180" s="40"/>
      <c r="E180" s="40"/>
      <c r="F180" s="41"/>
      <c r="G180" s="41"/>
      <c r="H180" s="41"/>
      <c r="I180" s="41"/>
      <c r="J180" s="41"/>
      <c r="K180" s="41"/>
      <c r="L180" s="41"/>
      <c r="M180" s="41"/>
      <c r="N180" s="41"/>
      <c r="O180" s="41"/>
      <c r="P180" s="41"/>
      <c r="Q180" s="41"/>
      <c r="R180" s="41"/>
      <c r="S180" s="41"/>
      <c r="T180" s="41"/>
      <c r="U180" s="41"/>
      <c r="V180" s="41"/>
      <c r="W180" s="41"/>
      <c r="X180" s="41"/>
      <c r="Y180" s="41"/>
      <c r="Z180" s="41"/>
    </row>
    <row r="181" customFormat="false" ht="14.25" hidden="false" customHeight="true" outlineLevel="0" collapsed="false">
      <c r="A181" s="38"/>
      <c r="B181" s="38"/>
      <c r="C181" s="39"/>
      <c r="D181" s="40"/>
      <c r="E181" s="40"/>
      <c r="F181" s="41"/>
      <c r="G181" s="41"/>
      <c r="H181" s="41"/>
      <c r="I181" s="41"/>
      <c r="J181" s="41"/>
      <c r="K181" s="41"/>
      <c r="L181" s="41"/>
      <c r="M181" s="41"/>
      <c r="N181" s="41"/>
      <c r="O181" s="41"/>
      <c r="P181" s="41"/>
      <c r="Q181" s="41"/>
      <c r="R181" s="41"/>
      <c r="S181" s="41"/>
      <c r="T181" s="41"/>
      <c r="U181" s="41"/>
      <c r="V181" s="41"/>
      <c r="W181" s="41"/>
      <c r="X181" s="41"/>
      <c r="Y181" s="41"/>
      <c r="Z181" s="41"/>
    </row>
    <row r="182" customFormat="false" ht="14.25" hidden="false" customHeight="true" outlineLevel="0" collapsed="false">
      <c r="A182" s="38"/>
      <c r="B182" s="38"/>
      <c r="C182" s="39"/>
      <c r="D182" s="40"/>
      <c r="E182" s="40"/>
      <c r="F182" s="41"/>
      <c r="G182" s="41"/>
      <c r="H182" s="41"/>
      <c r="I182" s="41"/>
      <c r="J182" s="41"/>
      <c r="K182" s="41"/>
      <c r="L182" s="41"/>
      <c r="M182" s="41"/>
      <c r="N182" s="41"/>
      <c r="O182" s="41"/>
      <c r="P182" s="41"/>
      <c r="Q182" s="41"/>
      <c r="R182" s="41"/>
      <c r="S182" s="41"/>
      <c r="T182" s="41"/>
      <c r="U182" s="41"/>
      <c r="V182" s="41"/>
      <c r="W182" s="41"/>
      <c r="X182" s="41"/>
      <c r="Y182" s="41"/>
      <c r="Z182" s="41"/>
    </row>
    <row r="183" customFormat="false" ht="14.25" hidden="false" customHeight="true" outlineLevel="0" collapsed="false">
      <c r="A183" s="38"/>
      <c r="B183" s="38"/>
      <c r="C183" s="39"/>
      <c r="D183" s="40"/>
      <c r="E183" s="40"/>
      <c r="F183" s="41"/>
      <c r="G183" s="41"/>
      <c r="H183" s="41"/>
      <c r="I183" s="41"/>
      <c r="J183" s="41"/>
      <c r="K183" s="41"/>
      <c r="L183" s="41"/>
      <c r="M183" s="41"/>
      <c r="N183" s="41"/>
      <c r="O183" s="41"/>
      <c r="P183" s="41"/>
      <c r="Q183" s="41"/>
      <c r="R183" s="41"/>
      <c r="S183" s="41"/>
      <c r="T183" s="41"/>
      <c r="U183" s="41"/>
      <c r="V183" s="41"/>
      <c r="W183" s="41"/>
      <c r="X183" s="41"/>
      <c r="Y183" s="41"/>
      <c r="Z183" s="41"/>
    </row>
    <row r="184" customFormat="false" ht="14.25" hidden="false" customHeight="true" outlineLevel="0" collapsed="false">
      <c r="A184" s="38"/>
      <c r="B184" s="38"/>
      <c r="C184" s="39"/>
      <c r="D184" s="40"/>
      <c r="E184" s="40"/>
      <c r="F184" s="41"/>
      <c r="G184" s="41"/>
      <c r="H184" s="41"/>
      <c r="I184" s="41"/>
      <c r="J184" s="41"/>
      <c r="K184" s="41"/>
      <c r="L184" s="41"/>
      <c r="M184" s="41"/>
      <c r="N184" s="41"/>
      <c r="O184" s="41"/>
      <c r="P184" s="41"/>
      <c r="Q184" s="41"/>
      <c r="R184" s="41"/>
      <c r="S184" s="41"/>
      <c r="T184" s="41"/>
      <c r="U184" s="41"/>
      <c r="V184" s="41"/>
      <c r="W184" s="41"/>
      <c r="X184" s="41"/>
      <c r="Y184" s="41"/>
      <c r="Z184" s="41"/>
    </row>
    <row r="185" customFormat="false" ht="14.25" hidden="false" customHeight="true" outlineLevel="0" collapsed="false">
      <c r="A185" s="38"/>
      <c r="B185" s="38"/>
      <c r="C185" s="39"/>
      <c r="D185" s="40"/>
      <c r="E185" s="40"/>
      <c r="F185" s="41"/>
      <c r="G185" s="41"/>
      <c r="H185" s="41"/>
      <c r="I185" s="41"/>
      <c r="J185" s="41"/>
      <c r="K185" s="41"/>
      <c r="L185" s="41"/>
      <c r="M185" s="41"/>
      <c r="N185" s="41"/>
      <c r="O185" s="41"/>
      <c r="P185" s="41"/>
      <c r="Q185" s="41"/>
      <c r="R185" s="41"/>
      <c r="S185" s="41"/>
      <c r="T185" s="41"/>
      <c r="U185" s="41"/>
      <c r="V185" s="41"/>
      <c r="W185" s="41"/>
      <c r="X185" s="41"/>
      <c r="Y185" s="41"/>
      <c r="Z185" s="41"/>
    </row>
    <row r="186" customFormat="false" ht="14.25" hidden="false" customHeight="true" outlineLevel="0" collapsed="false">
      <c r="A186" s="38"/>
      <c r="B186" s="38"/>
      <c r="C186" s="39"/>
      <c r="D186" s="40"/>
      <c r="E186" s="40"/>
      <c r="F186" s="41"/>
      <c r="G186" s="41"/>
      <c r="H186" s="41"/>
      <c r="I186" s="41"/>
      <c r="J186" s="41"/>
      <c r="K186" s="41"/>
      <c r="L186" s="41"/>
      <c r="M186" s="41"/>
      <c r="N186" s="41"/>
      <c r="O186" s="41"/>
      <c r="P186" s="41"/>
      <c r="Q186" s="41"/>
      <c r="R186" s="41"/>
      <c r="S186" s="41"/>
      <c r="T186" s="41"/>
      <c r="U186" s="41"/>
      <c r="V186" s="41"/>
      <c r="W186" s="41"/>
      <c r="X186" s="41"/>
      <c r="Y186" s="41"/>
      <c r="Z186" s="41"/>
    </row>
    <row r="187" customFormat="false" ht="14.25" hidden="false" customHeight="true" outlineLevel="0" collapsed="false">
      <c r="A187" s="38"/>
      <c r="B187" s="38"/>
      <c r="C187" s="39"/>
      <c r="D187" s="40"/>
      <c r="E187" s="40"/>
      <c r="F187" s="41"/>
      <c r="G187" s="41"/>
      <c r="H187" s="41"/>
      <c r="I187" s="41"/>
      <c r="J187" s="41"/>
      <c r="K187" s="41"/>
      <c r="L187" s="41"/>
      <c r="M187" s="41"/>
      <c r="N187" s="41"/>
      <c r="O187" s="41"/>
      <c r="P187" s="41"/>
      <c r="Q187" s="41"/>
      <c r="R187" s="41"/>
      <c r="S187" s="41"/>
      <c r="T187" s="41"/>
      <c r="U187" s="41"/>
      <c r="V187" s="41"/>
      <c r="W187" s="41"/>
      <c r="X187" s="41"/>
      <c r="Y187" s="41"/>
      <c r="Z187" s="41"/>
    </row>
    <row r="188" customFormat="false" ht="14.25" hidden="false" customHeight="true" outlineLevel="0" collapsed="false">
      <c r="A188" s="38"/>
      <c r="B188" s="38"/>
      <c r="C188" s="39"/>
      <c r="D188" s="40"/>
      <c r="E188" s="40"/>
      <c r="F188" s="41"/>
      <c r="G188" s="41"/>
      <c r="H188" s="41"/>
      <c r="I188" s="41"/>
      <c r="J188" s="41"/>
      <c r="K188" s="41"/>
      <c r="L188" s="41"/>
      <c r="M188" s="41"/>
      <c r="N188" s="41"/>
      <c r="O188" s="41"/>
      <c r="P188" s="41"/>
      <c r="Q188" s="41"/>
      <c r="R188" s="41"/>
      <c r="S188" s="41"/>
      <c r="T188" s="41"/>
      <c r="U188" s="41"/>
      <c r="V188" s="41"/>
      <c r="W188" s="41"/>
      <c r="X188" s="41"/>
      <c r="Y188" s="41"/>
      <c r="Z188" s="41"/>
    </row>
    <row r="189" customFormat="false" ht="14.25" hidden="false" customHeight="true" outlineLevel="0" collapsed="false">
      <c r="A189" s="38"/>
      <c r="B189" s="38"/>
      <c r="C189" s="39"/>
      <c r="D189" s="40"/>
      <c r="E189" s="40"/>
      <c r="F189" s="41"/>
      <c r="G189" s="41"/>
      <c r="H189" s="41"/>
      <c r="I189" s="41"/>
      <c r="J189" s="41"/>
      <c r="K189" s="41"/>
      <c r="L189" s="41"/>
      <c r="M189" s="41"/>
      <c r="N189" s="41"/>
      <c r="O189" s="41"/>
      <c r="P189" s="41"/>
      <c r="Q189" s="41"/>
      <c r="R189" s="41"/>
      <c r="S189" s="41"/>
      <c r="T189" s="41"/>
      <c r="U189" s="41"/>
      <c r="V189" s="41"/>
      <c r="W189" s="41"/>
      <c r="X189" s="41"/>
      <c r="Y189" s="41"/>
      <c r="Z189" s="41"/>
    </row>
    <row r="190" customFormat="false" ht="14.25" hidden="false" customHeight="true" outlineLevel="0" collapsed="false">
      <c r="A190" s="38"/>
      <c r="B190" s="38"/>
      <c r="C190" s="39"/>
      <c r="D190" s="40"/>
      <c r="E190" s="40"/>
      <c r="F190" s="41"/>
      <c r="G190" s="41"/>
      <c r="H190" s="41"/>
      <c r="I190" s="41"/>
      <c r="J190" s="41"/>
      <c r="K190" s="41"/>
      <c r="L190" s="41"/>
      <c r="M190" s="41"/>
      <c r="N190" s="41"/>
      <c r="O190" s="41"/>
      <c r="P190" s="41"/>
      <c r="Q190" s="41"/>
      <c r="R190" s="41"/>
      <c r="S190" s="41"/>
      <c r="T190" s="41"/>
      <c r="U190" s="41"/>
      <c r="V190" s="41"/>
      <c r="W190" s="41"/>
      <c r="X190" s="41"/>
      <c r="Y190" s="41"/>
      <c r="Z190" s="41"/>
    </row>
    <row r="191" customFormat="false" ht="14.25" hidden="false" customHeight="true" outlineLevel="0" collapsed="false">
      <c r="A191" s="38"/>
      <c r="B191" s="38"/>
      <c r="C191" s="39"/>
      <c r="D191" s="40"/>
      <c r="E191" s="40"/>
      <c r="F191" s="41"/>
      <c r="G191" s="41"/>
      <c r="H191" s="41"/>
      <c r="I191" s="41"/>
      <c r="J191" s="41"/>
      <c r="K191" s="41"/>
      <c r="L191" s="41"/>
      <c r="M191" s="41"/>
      <c r="N191" s="41"/>
      <c r="O191" s="41"/>
      <c r="P191" s="41"/>
      <c r="Q191" s="41"/>
      <c r="R191" s="41"/>
      <c r="S191" s="41"/>
      <c r="T191" s="41"/>
      <c r="U191" s="41"/>
      <c r="V191" s="41"/>
      <c r="W191" s="41"/>
      <c r="X191" s="41"/>
      <c r="Y191" s="41"/>
      <c r="Z191" s="41"/>
    </row>
    <row r="192" customFormat="false" ht="14.25" hidden="false" customHeight="true" outlineLevel="0" collapsed="false">
      <c r="A192" s="38"/>
      <c r="B192" s="38"/>
      <c r="C192" s="39"/>
      <c r="D192" s="40"/>
      <c r="E192" s="40"/>
      <c r="F192" s="41"/>
      <c r="G192" s="41"/>
      <c r="H192" s="41"/>
      <c r="I192" s="41"/>
      <c r="J192" s="41"/>
      <c r="K192" s="41"/>
      <c r="L192" s="41"/>
      <c r="M192" s="41"/>
      <c r="N192" s="41"/>
      <c r="O192" s="41"/>
      <c r="P192" s="41"/>
      <c r="Q192" s="41"/>
      <c r="R192" s="41"/>
      <c r="S192" s="41"/>
      <c r="T192" s="41"/>
      <c r="U192" s="41"/>
      <c r="V192" s="41"/>
      <c r="W192" s="41"/>
      <c r="X192" s="41"/>
      <c r="Y192" s="41"/>
      <c r="Z192" s="41"/>
    </row>
    <row r="193" customFormat="false" ht="14.25" hidden="false" customHeight="true" outlineLevel="0" collapsed="false">
      <c r="A193" s="38"/>
      <c r="B193" s="38"/>
      <c r="C193" s="39"/>
      <c r="D193" s="40"/>
      <c r="E193" s="40"/>
      <c r="F193" s="41"/>
      <c r="G193" s="41"/>
      <c r="H193" s="41"/>
      <c r="I193" s="41"/>
      <c r="J193" s="41"/>
      <c r="K193" s="41"/>
      <c r="L193" s="41"/>
      <c r="M193" s="41"/>
      <c r="N193" s="41"/>
      <c r="O193" s="41"/>
      <c r="P193" s="41"/>
      <c r="Q193" s="41"/>
      <c r="R193" s="41"/>
      <c r="S193" s="41"/>
      <c r="T193" s="41"/>
      <c r="U193" s="41"/>
      <c r="V193" s="41"/>
      <c r="W193" s="41"/>
      <c r="X193" s="41"/>
      <c r="Y193" s="41"/>
      <c r="Z193" s="41"/>
    </row>
    <row r="194" customFormat="false" ht="14.25" hidden="false" customHeight="true" outlineLevel="0" collapsed="false">
      <c r="A194" s="38"/>
      <c r="B194" s="38"/>
      <c r="C194" s="39"/>
      <c r="D194" s="40"/>
      <c r="E194" s="40"/>
      <c r="F194" s="41"/>
      <c r="G194" s="41"/>
      <c r="H194" s="41"/>
      <c r="I194" s="41"/>
      <c r="J194" s="41"/>
      <c r="K194" s="41"/>
      <c r="L194" s="41"/>
      <c r="M194" s="41"/>
      <c r="N194" s="41"/>
      <c r="O194" s="41"/>
      <c r="P194" s="41"/>
      <c r="Q194" s="41"/>
      <c r="R194" s="41"/>
      <c r="S194" s="41"/>
      <c r="T194" s="41"/>
      <c r="U194" s="41"/>
      <c r="V194" s="41"/>
      <c r="W194" s="41"/>
      <c r="X194" s="41"/>
      <c r="Y194" s="41"/>
      <c r="Z194" s="41"/>
    </row>
    <row r="195" customFormat="false" ht="14.25" hidden="false" customHeight="true" outlineLevel="0" collapsed="false">
      <c r="A195" s="38"/>
      <c r="B195" s="38"/>
      <c r="C195" s="39"/>
      <c r="D195" s="40"/>
      <c r="E195" s="40"/>
      <c r="F195" s="41"/>
      <c r="G195" s="41"/>
      <c r="H195" s="41"/>
      <c r="I195" s="41"/>
      <c r="J195" s="41"/>
      <c r="K195" s="41"/>
      <c r="L195" s="41"/>
      <c r="M195" s="41"/>
      <c r="N195" s="41"/>
      <c r="O195" s="41"/>
      <c r="P195" s="41"/>
      <c r="Q195" s="41"/>
      <c r="R195" s="41"/>
      <c r="S195" s="41"/>
      <c r="T195" s="41"/>
      <c r="U195" s="41"/>
      <c r="V195" s="41"/>
      <c r="W195" s="41"/>
      <c r="X195" s="41"/>
      <c r="Y195" s="41"/>
      <c r="Z195" s="41"/>
    </row>
    <row r="196" customFormat="false" ht="14.25" hidden="false" customHeight="true" outlineLevel="0" collapsed="false">
      <c r="A196" s="38"/>
      <c r="B196" s="38"/>
      <c r="C196" s="39"/>
      <c r="D196" s="40"/>
      <c r="E196" s="40"/>
      <c r="F196" s="41"/>
      <c r="G196" s="41"/>
      <c r="H196" s="41"/>
      <c r="I196" s="41"/>
      <c r="J196" s="41"/>
      <c r="K196" s="41"/>
      <c r="L196" s="41"/>
      <c r="M196" s="41"/>
      <c r="N196" s="41"/>
      <c r="O196" s="41"/>
      <c r="P196" s="41"/>
      <c r="Q196" s="41"/>
      <c r="R196" s="41"/>
      <c r="S196" s="41"/>
      <c r="T196" s="41"/>
      <c r="U196" s="41"/>
      <c r="V196" s="41"/>
      <c r="W196" s="41"/>
      <c r="X196" s="41"/>
      <c r="Y196" s="41"/>
      <c r="Z196" s="41"/>
    </row>
    <row r="197" customFormat="false" ht="14.25" hidden="false" customHeight="true" outlineLevel="0" collapsed="false">
      <c r="A197" s="38"/>
      <c r="B197" s="38"/>
      <c r="C197" s="39"/>
      <c r="D197" s="40"/>
      <c r="E197" s="40"/>
      <c r="F197" s="41"/>
      <c r="G197" s="41"/>
      <c r="H197" s="41"/>
      <c r="I197" s="41"/>
      <c r="J197" s="41"/>
      <c r="K197" s="41"/>
      <c r="L197" s="41"/>
      <c r="M197" s="41"/>
      <c r="N197" s="41"/>
      <c r="O197" s="41"/>
      <c r="P197" s="41"/>
      <c r="Q197" s="41"/>
      <c r="R197" s="41"/>
      <c r="S197" s="41"/>
      <c r="T197" s="41"/>
      <c r="U197" s="41"/>
      <c r="V197" s="41"/>
      <c r="W197" s="41"/>
      <c r="X197" s="41"/>
      <c r="Y197" s="41"/>
      <c r="Z197" s="41"/>
    </row>
    <row r="198" customFormat="false" ht="14.25" hidden="false" customHeight="true" outlineLevel="0" collapsed="false">
      <c r="A198" s="38"/>
      <c r="B198" s="38"/>
      <c r="C198" s="39"/>
      <c r="D198" s="40"/>
      <c r="E198" s="40"/>
      <c r="F198" s="41"/>
      <c r="G198" s="41"/>
      <c r="H198" s="41"/>
      <c r="I198" s="41"/>
      <c r="J198" s="41"/>
      <c r="K198" s="41"/>
      <c r="L198" s="41"/>
      <c r="M198" s="41"/>
      <c r="N198" s="41"/>
      <c r="O198" s="41"/>
      <c r="P198" s="41"/>
      <c r="Q198" s="41"/>
      <c r="R198" s="41"/>
      <c r="S198" s="41"/>
      <c r="T198" s="41"/>
      <c r="U198" s="41"/>
      <c r="V198" s="41"/>
      <c r="W198" s="41"/>
      <c r="X198" s="41"/>
      <c r="Y198" s="41"/>
      <c r="Z198" s="41"/>
    </row>
    <row r="199" customFormat="false" ht="14.25" hidden="false" customHeight="true" outlineLevel="0" collapsed="false">
      <c r="A199" s="38"/>
      <c r="B199" s="38"/>
      <c r="C199" s="39"/>
      <c r="D199" s="40"/>
      <c r="E199" s="40"/>
      <c r="F199" s="41"/>
      <c r="G199" s="41"/>
      <c r="H199" s="41"/>
      <c r="I199" s="41"/>
      <c r="J199" s="41"/>
      <c r="K199" s="41"/>
      <c r="L199" s="41"/>
      <c r="M199" s="41"/>
      <c r="N199" s="41"/>
      <c r="O199" s="41"/>
      <c r="P199" s="41"/>
      <c r="Q199" s="41"/>
      <c r="R199" s="41"/>
      <c r="S199" s="41"/>
      <c r="T199" s="41"/>
      <c r="U199" s="41"/>
      <c r="V199" s="41"/>
      <c r="W199" s="41"/>
      <c r="X199" s="41"/>
      <c r="Y199" s="41"/>
      <c r="Z199" s="41"/>
    </row>
    <row r="200" customFormat="false" ht="14.25" hidden="false" customHeight="true" outlineLevel="0" collapsed="false">
      <c r="A200" s="38"/>
      <c r="B200" s="38"/>
      <c r="C200" s="39"/>
      <c r="D200" s="40"/>
      <c r="E200" s="40"/>
      <c r="F200" s="41"/>
      <c r="G200" s="41"/>
      <c r="H200" s="41"/>
      <c r="I200" s="41"/>
      <c r="J200" s="41"/>
      <c r="K200" s="41"/>
      <c r="L200" s="41"/>
      <c r="M200" s="41"/>
      <c r="N200" s="41"/>
      <c r="O200" s="41"/>
      <c r="P200" s="41"/>
      <c r="Q200" s="41"/>
      <c r="R200" s="41"/>
      <c r="S200" s="41"/>
      <c r="T200" s="41"/>
      <c r="U200" s="41"/>
      <c r="V200" s="41"/>
      <c r="W200" s="41"/>
      <c r="X200" s="41"/>
      <c r="Y200" s="41"/>
      <c r="Z200" s="41"/>
    </row>
    <row r="201" customFormat="false" ht="14.25" hidden="false" customHeight="true" outlineLevel="0" collapsed="false">
      <c r="A201" s="38"/>
      <c r="B201" s="38"/>
      <c r="C201" s="39"/>
      <c r="D201" s="40"/>
      <c r="E201" s="40"/>
      <c r="F201" s="41"/>
      <c r="G201" s="41"/>
      <c r="H201" s="41"/>
      <c r="I201" s="41"/>
      <c r="J201" s="41"/>
      <c r="K201" s="41"/>
      <c r="L201" s="41"/>
      <c r="M201" s="41"/>
      <c r="N201" s="41"/>
      <c r="O201" s="41"/>
      <c r="P201" s="41"/>
      <c r="Q201" s="41"/>
      <c r="R201" s="41"/>
      <c r="S201" s="41"/>
      <c r="T201" s="41"/>
      <c r="U201" s="41"/>
      <c r="V201" s="41"/>
      <c r="W201" s="41"/>
      <c r="X201" s="41"/>
      <c r="Y201" s="41"/>
      <c r="Z201" s="41"/>
    </row>
    <row r="202" customFormat="false" ht="14.25" hidden="false" customHeight="true" outlineLevel="0" collapsed="false">
      <c r="A202" s="38"/>
      <c r="B202" s="38"/>
      <c r="C202" s="39"/>
      <c r="D202" s="40"/>
      <c r="E202" s="40"/>
      <c r="F202" s="41"/>
      <c r="G202" s="41"/>
      <c r="H202" s="41"/>
      <c r="I202" s="41"/>
      <c r="J202" s="41"/>
      <c r="K202" s="41"/>
      <c r="L202" s="41"/>
      <c r="M202" s="41"/>
      <c r="N202" s="41"/>
      <c r="O202" s="41"/>
      <c r="P202" s="41"/>
      <c r="Q202" s="41"/>
      <c r="R202" s="41"/>
      <c r="S202" s="41"/>
      <c r="T202" s="41"/>
      <c r="U202" s="41"/>
      <c r="V202" s="41"/>
      <c r="W202" s="41"/>
      <c r="X202" s="41"/>
      <c r="Y202" s="41"/>
      <c r="Z202" s="41"/>
    </row>
    <row r="203" customFormat="false" ht="14.25" hidden="false" customHeight="true" outlineLevel="0" collapsed="false">
      <c r="A203" s="38"/>
      <c r="B203" s="38"/>
      <c r="C203" s="39"/>
      <c r="D203" s="40"/>
      <c r="E203" s="40"/>
      <c r="F203" s="41"/>
      <c r="G203" s="41"/>
      <c r="H203" s="41"/>
      <c r="I203" s="41"/>
      <c r="J203" s="41"/>
      <c r="K203" s="41"/>
      <c r="L203" s="41"/>
      <c r="M203" s="41"/>
      <c r="N203" s="41"/>
      <c r="O203" s="41"/>
      <c r="P203" s="41"/>
      <c r="Q203" s="41"/>
      <c r="R203" s="41"/>
      <c r="S203" s="41"/>
      <c r="T203" s="41"/>
      <c r="U203" s="41"/>
      <c r="V203" s="41"/>
      <c r="W203" s="41"/>
      <c r="X203" s="41"/>
      <c r="Y203" s="41"/>
      <c r="Z203" s="41"/>
    </row>
    <row r="204" customFormat="false" ht="14.25" hidden="false" customHeight="true" outlineLevel="0" collapsed="false">
      <c r="A204" s="38"/>
      <c r="B204" s="38"/>
      <c r="C204" s="39"/>
      <c r="D204" s="40"/>
      <c r="E204" s="40"/>
      <c r="F204" s="41"/>
      <c r="G204" s="41"/>
      <c r="H204" s="41"/>
      <c r="I204" s="41"/>
      <c r="J204" s="41"/>
      <c r="K204" s="41"/>
      <c r="L204" s="41"/>
      <c r="M204" s="41"/>
      <c r="N204" s="41"/>
      <c r="O204" s="41"/>
      <c r="P204" s="41"/>
      <c r="Q204" s="41"/>
      <c r="R204" s="41"/>
      <c r="S204" s="41"/>
      <c r="T204" s="41"/>
      <c r="U204" s="41"/>
      <c r="V204" s="41"/>
      <c r="W204" s="41"/>
      <c r="X204" s="41"/>
      <c r="Y204" s="41"/>
      <c r="Z204" s="41"/>
    </row>
    <row r="205" customFormat="false" ht="14.25" hidden="false" customHeight="true" outlineLevel="0" collapsed="false">
      <c r="A205" s="38"/>
      <c r="B205" s="38"/>
      <c r="C205" s="39"/>
      <c r="D205" s="40"/>
      <c r="E205" s="40"/>
      <c r="F205" s="41"/>
      <c r="G205" s="41"/>
      <c r="H205" s="41"/>
      <c r="I205" s="41"/>
      <c r="J205" s="41"/>
      <c r="K205" s="41"/>
      <c r="L205" s="41"/>
      <c r="M205" s="41"/>
      <c r="N205" s="41"/>
      <c r="O205" s="41"/>
      <c r="P205" s="41"/>
      <c r="Q205" s="41"/>
      <c r="R205" s="41"/>
      <c r="S205" s="41"/>
      <c r="T205" s="41"/>
      <c r="U205" s="41"/>
      <c r="V205" s="41"/>
      <c r="W205" s="41"/>
      <c r="X205" s="41"/>
      <c r="Y205" s="41"/>
      <c r="Z205" s="41"/>
    </row>
    <row r="206" customFormat="false" ht="14.25" hidden="false" customHeight="true" outlineLevel="0" collapsed="false">
      <c r="A206" s="38"/>
      <c r="B206" s="38"/>
      <c r="C206" s="39"/>
      <c r="D206" s="40"/>
      <c r="E206" s="40"/>
      <c r="F206" s="41"/>
      <c r="G206" s="41"/>
      <c r="H206" s="41"/>
      <c r="I206" s="41"/>
      <c r="J206" s="41"/>
      <c r="K206" s="41"/>
      <c r="L206" s="41"/>
      <c r="M206" s="41"/>
      <c r="N206" s="41"/>
      <c r="O206" s="41"/>
      <c r="P206" s="41"/>
      <c r="Q206" s="41"/>
      <c r="R206" s="41"/>
      <c r="S206" s="41"/>
      <c r="T206" s="41"/>
      <c r="U206" s="41"/>
      <c r="V206" s="41"/>
      <c r="W206" s="41"/>
      <c r="X206" s="41"/>
      <c r="Y206" s="41"/>
      <c r="Z206" s="41"/>
    </row>
    <row r="207" customFormat="false" ht="14.25" hidden="false" customHeight="true" outlineLevel="0" collapsed="false">
      <c r="A207" s="38"/>
      <c r="B207" s="38"/>
      <c r="C207" s="39"/>
      <c r="D207" s="40"/>
      <c r="E207" s="40"/>
      <c r="F207" s="41"/>
      <c r="G207" s="41"/>
      <c r="H207" s="41"/>
      <c r="I207" s="41"/>
      <c r="J207" s="41"/>
      <c r="K207" s="41"/>
      <c r="L207" s="41"/>
      <c r="M207" s="41"/>
      <c r="N207" s="41"/>
      <c r="O207" s="41"/>
      <c r="P207" s="41"/>
      <c r="Q207" s="41"/>
      <c r="R207" s="41"/>
      <c r="S207" s="41"/>
      <c r="T207" s="41"/>
      <c r="U207" s="41"/>
      <c r="V207" s="41"/>
      <c r="W207" s="41"/>
      <c r="X207" s="41"/>
      <c r="Y207" s="41"/>
      <c r="Z207" s="41"/>
    </row>
    <row r="208" customFormat="false" ht="14.25" hidden="false" customHeight="true" outlineLevel="0" collapsed="false">
      <c r="A208" s="38"/>
      <c r="B208" s="38"/>
      <c r="C208" s="39"/>
      <c r="D208" s="40"/>
      <c r="E208" s="40"/>
      <c r="F208" s="41"/>
      <c r="G208" s="41"/>
      <c r="H208" s="41"/>
      <c r="I208" s="41"/>
      <c r="J208" s="41"/>
      <c r="K208" s="41"/>
      <c r="L208" s="41"/>
      <c r="M208" s="41"/>
      <c r="N208" s="41"/>
      <c r="O208" s="41"/>
      <c r="P208" s="41"/>
      <c r="Q208" s="41"/>
      <c r="R208" s="41"/>
      <c r="S208" s="41"/>
      <c r="T208" s="41"/>
      <c r="U208" s="41"/>
      <c r="V208" s="41"/>
      <c r="W208" s="41"/>
      <c r="X208" s="41"/>
      <c r="Y208" s="41"/>
      <c r="Z208" s="41"/>
    </row>
    <row r="209" customFormat="false" ht="14.25" hidden="false" customHeight="true" outlineLevel="0" collapsed="false">
      <c r="A209" s="38"/>
      <c r="B209" s="38"/>
      <c r="C209" s="39"/>
      <c r="D209" s="40"/>
      <c r="E209" s="40"/>
      <c r="F209" s="41"/>
      <c r="G209" s="41"/>
      <c r="H209" s="41"/>
      <c r="I209" s="41"/>
      <c r="J209" s="41"/>
      <c r="K209" s="41"/>
      <c r="L209" s="41"/>
      <c r="M209" s="41"/>
      <c r="N209" s="41"/>
      <c r="O209" s="41"/>
      <c r="P209" s="41"/>
      <c r="Q209" s="41"/>
      <c r="R209" s="41"/>
      <c r="S209" s="41"/>
      <c r="T209" s="41"/>
      <c r="U209" s="41"/>
      <c r="V209" s="41"/>
      <c r="W209" s="41"/>
      <c r="X209" s="41"/>
      <c r="Y209" s="41"/>
      <c r="Z209" s="41"/>
    </row>
    <row r="210" customFormat="false" ht="14.25" hidden="false" customHeight="true" outlineLevel="0" collapsed="false">
      <c r="A210" s="38"/>
      <c r="B210" s="38"/>
      <c r="C210" s="39"/>
      <c r="D210" s="40"/>
      <c r="E210" s="40"/>
      <c r="F210" s="41"/>
      <c r="G210" s="41"/>
      <c r="H210" s="41"/>
      <c r="I210" s="41"/>
      <c r="J210" s="41"/>
      <c r="K210" s="41"/>
      <c r="L210" s="41"/>
      <c r="M210" s="41"/>
      <c r="N210" s="41"/>
      <c r="O210" s="41"/>
      <c r="P210" s="41"/>
      <c r="Q210" s="41"/>
      <c r="R210" s="41"/>
      <c r="S210" s="41"/>
      <c r="T210" s="41"/>
      <c r="U210" s="41"/>
      <c r="V210" s="41"/>
      <c r="W210" s="41"/>
      <c r="X210" s="41"/>
      <c r="Y210" s="41"/>
      <c r="Z210" s="41"/>
    </row>
    <row r="211" customFormat="false" ht="14.25" hidden="false" customHeight="true" outlineLevel="0" collapsed="false">
      <c r="A211" s="38"/>
      <c r="B211" s="38"/>
      <c r="C211" s="39"/>
      <c r="D211" s="40"/>
      <c r="E211" s="40"/>
      <c r="F211" s="41"/>
      <c r="G211" s="41"/>
      <c r="H211" s="41"/>
      <c r="I211" s="41"/>
      <c r="J211" s="41"/>
      <c r="K211" s="41"/>
      <c r="L211" s="41"/>
      <c r="M211" s="41"/>
      <c r="N211" s="41"/>
      <c r="O211" s="41"/>
      <c r="P211" s="41"/>
      <c r="Q211" s="41"/>
      <c r="R211" s="41"/>
      <c r="S211" s="41"/>
      <c r="T211" s="41"/>
      <c r="U211" s="41"/>
      <c r="V211" s="41"/>
      <c r="W211" s="41"/>
      <c r="X211" s="41"/>
      <c r="Y211" s="41"/>
      <c r="Z211" s="41"/>
    </row>
    <row r="212" customFormat="false" ht="14.25" hidden="false" customHeight="true" outlineLevel="0" collapsed="false">
      <c r="A212" s="38"/>
      <c r="B212" s="38"/>
      <c r="C212" s="39"/>
      <c r="D212" s="40"/>
      <c r="E212" s="40"/>
      <c r="F212" s="41"/>
      <c r="G212" s="41"/>
      <c r="H212" s="41"/>
      <c r="I212" s="41"/>
      <c r="J212" s="41"/>
      <c r="K212" s="41"/>
      <c r="L212" s="41"/>
      <c r="M212" s="41"/>
      <c r="N212" s="41"/>
      <c r="O212" s="41"/>
      <c r="P212" s="41"/>
      <c r="Q212" s="41"/>
      <c r="R212" s="41"/>
      <c r="S212" s="41"/>
      <c r="T212" s="41"/>
      <c r="U212" s="41"/>
      <c r="V212" s="41"/>
      <c r="W212" s="41"/>
      <c r="X212" s="41"/>
      <c r="Y212" s="41"/>
      <c r="Z212" s="41"/>
    </row>
    <row r="213" customFormat="false" ht="14.25" hidden="false" customHeight="true" outlineLevel="0" collapsed="false">
      <c r="A213" s="38"/>
      <c r="B213" s="38"/>
      <c r="C213" s="39"/>
      <c r="D213" s="40"/>
      <c r="E213" s="40"/>
      <c r="F213" s="41"/>
      <c r="G213" s="41"/>
      <c r="H213" s="41"/>
      <c r="I213" s="41"/>
      <c r="J213" s="41"/>
      <c r="K213" s="41"/>
      <c r="L213" s="41"/>
      <c r="M213" s="41"/>
      <c r="N213" s="41"/>
      <c r="O213" s="41"/>
      <c r="P213" s="41"/>
      <c r="Q213" s="41"/>
      <c r="R213" s="41"/>
      <c r="S213" s="41"/>
      <c r="T213" s="41"/>
      <c r="U213" s="41"/>
      <c r="V213" s="41"/>
      <c r="W213" s="41"/>
      <c r="X213" s="41"/>
      <c r="Y213" s="41"/>
      <c r="Z213" s="41"/>
    </row>
    <row r="214" customFormat="false" ht="14.25" hidden="false" customHeight="true" outlineLevel="0" collapsed="false">
      <c r="A214" s="38"/>
      <c r="B214" s="38"/>
      <c r="C214" s="39"/>
      <c r="D214" s="40"/>
      <c r="E214" s="40"/>
      <c r="F214" s="41"/>
      <c r="G214" s="41"/>
      <c r="H214" s="41"/>
      <c r="I214" s="41"/>
      <c r="J214" s="41"/>
      <c r="K214" s="41"/>
      <c r="L214" s="41"/>
      <c r="M214" s="41"/>
      <c r="N214" s="41"/>
      <c r="O214" s="41"/>
      <c r="P214" s="41"/>
      <c r="Q214" s="41"/>
      <c r="R214" s="41"/>
      <c r="S214" s="41"/>
      <c r="T214" s="41"/>
      <c r="U214" s="41"/>
      <c r="V214" s="41"/>
      <c r="W214" s="41"/>
      <c r="X214" s="41"/>
      <c r="Y214" s="41"/>
      <c r="Z214" s="41"/>
    </row>
    <row r="215" customFormat="false" ht="14.25" hidden="false" customHeight="true" outlineLevel="0" collapsed="false">
      <c r="A215" s="38"/>
      <c r="B215" s="38"/>
      <c r="C215" s="39"/>
      <c r="D215" s="40"/>
      <c r="E215" s="40"/>
      <c r="F215" s="41"/>
      <c r="G215" s="41"/>
      <c r="H215" s="41"/>
      <c r="I215" s="41"/>
      <c r="J215" s="41"/>
      <c r="K215" s="41"/>
      <c r="L215" s="41"/>
      <c r="M215" s="41"/>
      <c r="N215" s="41"/>
      <c r="O215" s="41"/>
      <c r="P215" s="41"/>
      <c r="Q215" s="41"/>
      <c r="R215" s="41"/>
      <c r="S215" s="41"/>
      <c r="T215" s="41"/>
      <c r="U215" s="41"/>
      <c r="V215" s="41"/>
      <c r="W215" s="41"/>
      <c r="X215" s="41"/>
      <c r="Y215" s="41"/>
      <c r="Z215" s="41"/>
    </row>
    <row r="216" customFormat="false" ht="14.25" hidden="false" customHeight="true" outlineLevel="0" collapsed="false">
      <c r="A216" s="38"/>
      <c r="B216" s="38"/>
      <c r="C216" s="39"/>
      <c r="D216" s="40"/>
      <c r="E216" s="40"/>
      <c r="F216" s="41"/>
      <c r="G216" s="41"/>
      <c r="H216" s="41"/>
      <c r="I216" s="41"/>
      <c r="J216" s="41"/>
      <c r="K216" s="41"/>
      <c r="L216" s="41"/>
      <c r="M216" s="41"/>
      <c r="N216" s="41"/>
      <c r="O216" s="41"/>
      <c r="P216" s="41"/>
      <c r="Q216" s="41"/>
      <c r="R216" s="41"/>
      <c r="S216" s="41"/>
      <c r="T216" s="41"/>
      <c r="U216" s="41"/>
      <c r="V216" s="41"/>
      <c r="W216" s="41"/>
      <c r="X216" s="41"/>
      <c r="Y216" s="41"/>
      <c r="Z216" s="41"/>
    </row>
    <row r="217" customFormat="false" ht="14.25" hidden="false" customHeight="true" outlineLevel="0" collapsed="false">
      <c r="A217" s="38"/>
      <c r="B217" s="38"/>
      <c r="C217" s="39"/>
      <c r="D217" s="40"/>
      <c r="E217" s="40"/>
      <c r="F217" s="41"/>
      <c r="G217" s="41"/>
      <c r="H217" s="41"/>
      <c r="I217" s="41"/>
      <c r="J217" s="41"/>
      <c r="K217" s="41"/>
      <c r="L217" s="41"/>
      <c r="M217" s="41"/>
      <c r="N217" s="41"/>
      <c r="O217" s="41"/>
      <c r="P217" s="41"/>
      <c r="Q217" s="41"/>
      <c r="R217" s="41"/>
      <c r="S217" s="41"/>
      <c r="T217" s="41"/>
      <c r="U217" s="41"/>
      <c r="V217" s="41"/>
      <c r="W217" s="41"/>
      <c r="X217" s="41"/>
      <c r="Y217" s="41"/>
      <c r="Z217" s="41"/>
    </row>
    <row r="218" customFormat="false" ht="14.25" hidden="false" customHeight="true" outlineLevel="0" collapsed="false">
      <c r="A218" s="38"/>
      <c r="B218" s="38"/>
      <c r="C218" s="39"/>
      <c r="D218" s="40"/>
      <c r="E218" s="40"/>
      <c r="F218" s="41"/>
      <c r="G218" s="41"/>
      <c r="H218" s="41"/>
      <c r="I218" s="41"/>
      <c r="J218" s="41"/>
      <c r="K218" s="41"/>
      <c r="L218" s="41"/>
      <c r="M218" s="41"/>
      <c r="N218" s="41"/>
      <c r="O218" s="41"/>
      <c r="P218" s="41"/>
      <c r="Q218" s="41"/>
      <c r="R218" s="41"/>
      <c r="S218" s="41"/>
      <c r="T218" s="41"/>
      <c r="U218" s="41"/>
      <c r="V218" s="41"/>
      <c r="W218" s="41"/>
      <c r="X218" s="41"/>
      <c r="Y218" s="41"/>
      <c r="Z218" s="41"/>
    </row>
    <row r="219" customFormat="false" ht="14.25" hidden="false" customHeight="true" outlineLevel="0" collapsed="false">
      <c r="A219" s="38"/>
      <c r="B219" s="38"/>
      <c r="C219" s="39"/>
      <c r="D219" s="40"/>
      <c r="E219" s="40"/>
      <c r="F219" s="41"/>
      <c r="G219" s="41"/>
      <c r="H219" s="41"/>
      <c r="I219" s="41"/>
      <c r="J219" s="41"/>
      <c r="K219" s="41"/>
      <c r="L219" s="41"/>
      <c r="M219" s="41"/>
      <c r="N219" s="41"/>
      <c r="O219" s="41"/>
      <c r="P219" s="41"/>
      <c r="Q219" s="41"/>
      <c r="R219" s="41"/>
      <c r="S219" s="41"/>
      <c r="T219" s="41"/>
      <c r="U219" s="41"/>
      <c r="V219" s="41"/>
      <c r="W219" s="41"/>
      <c r="X219" s="41"/>
      <c r="Y219" s="41"/>
      <c r="Z219" s="41"/>
    </row>
    <row r="220" customFormat="false" ht="14.25" hidden="false" customHeight="true" outlineLevel="0" collapsed="false">
      <c r="A220" s="38"/>
      <c r="B220" s="38"/>
      <c r="C220" s="39"/>
      <c r="D220" s="40"/>
      <c r="E220" s="40"/>
      <c r="F220" s="41"/>
      <c r="G220" s="41"/>
      <c r="H220" s="41"/>
      <c r="I220" s="41"/>
      <c r="J220" s="41"/>
      <c r="K220" s="41"/>
      <c r="L220" s="41"/>
      <c r="M220" s="41"/>
      <c r="N220" s="41"/>
      <c r="O220" s="41"/>
      <c r="P220" s="41"/>
      <c r="Q220" s="41"/>
      <c r="R220" s="41"/>
      <c r="S220" s="41"/>
      <c r="T220" s="41"/>
      <c r="U220" s="41"/>
      <c r="V220" s="41"/>
      <c r="W220" s="41"/>
      <c r="X220" s="41"/>
      <c r="Y220" s="41"/>
      <c r="Z220" s="41"/>
    </row>
    <row r="221" customFormat="false" ht="14.25" hidden="false" customHeight="true" outlineLevel="0" collapsed="false">
      <c r="A221" s="38"/>
      <c r="B221" s="38"/>
      <c r="C221" s="39"/>
      <c r="D221" s="40"/>
      <c r="E221" s="40"/>
      <c r="F221" s="41"/>
      <c r="G221" s="41"/>
      <c r="H221" s="41"/>
      <c r="I221" s="41"/>
      <c r="J221" s="41"/>
      <c r="K221" s="41"/>
      <c r="L221" s="41"/>
      <c r="M221" s="41"/>
      <c r="N221" s="41"/>
      <c r="O221" s="41"/>
      <c r="P221" s="41"/>
      <c r="Q221" s="41"/>
      <c r="R221" s="41"/>
      <c r="S221" s="41"/>
      <c r="T221" s="41"/>
      <c r="U221" s="41"/>
      <c r="V221" s="41"/>
      <c r="W221" s="41"/>
      <c r="X221" s="41"/>
      <c r="Y221" s="41"/>
      <c r="Z221" s="41"/>
    </row>
    <row r="222" customFormat="false" ht="14.25" hidden="false" customHeight="true" outlineLevel="0" collapsed="false">
      <c r="A222" s="38"/>
      <c r="B222" s="38"/>
      <c r="C222" s="39"/>
      <c r="D222" s="40"/>
      <c r="E222" s="40"/>
      <c r="F222" s="41"/>
      <c r="G222" s="41"/>
      <c r="H222" s="41"/>
      <c r="I222" s="41"/>
      <c r="J222" s="41"/>
      <c r="K222" s="41"/>
      <c r="L222" s="41"/>
      <c r="M222" s="41"/>
      <c r="N222" s="41"/>
      <c r="O222" s="41"/>
      <c r="P222" s="41"/>
      <c r="Q222" s="41"/>
      <c r="R222" s="41"/>
      <c r="S222" s="41"/>
      <c r="T222" s="41"/>
      <c r="U222" s="41"/>
      <c r="V222" s="41"/>
      <c r="W222" s="41"/>
      <c r="X222" s="41"/>
      <c r="Y222" s="41"/>
      <c r="Z222" s="41"/>
    </row>
    <row r="223" customFormat="false" ht="14.25" hidden="false" customHeight="true" outlineLevel="0" collapsed="false">
      <c r="A223" s="38"/>
      <c r="B223" s="38"/>
      <c r="C223" s="39"/>
      <c r="D223" s="40"/>
      <c r="E223" s="40"/>
      <c r="F223" s="41"/>
      <c r="G223" s="41"/>
      <c r="H223" s="41"/>
      <c r="I223" s="41"/>
      <c r="J223" s="41"/>
      <c r="K223" s="41"/>
      <c r="L223" s="41"/>
      <c r="M223" s="41"/>
      <c r="N223" s="41"/>
      <c r="O223" s="41"/>
      <c r="P223" s="41"/>
      <c r="Q223" s="41"/>
      <c r="R223" s="41"/>
      <c r="S223" s="41"/>
      <c r="T223" s="41"/>
      <c r="U223" s="41"/>
      <c r="V223" s="41"/>
      <c r="W223" s="41"/>
      <c r="X223" s="41"/>
      <c r="Y223" s="41"/>
      <c r="Z223" s="41"/>
    </row>
    <row r="224" customFormat="false" ht="14.25" hidden="false" customHeight="true" outlineLevel="0" collapsed="false">
      <c r="A224" s="38"/>
      <c r="B224" s="38"/>
      <c r="C224" s="39"/>
      <c r="D224" s="40"/>
      <c r="E224" s="40"/>
      <c r="F224" s="41"/>
      <c r="G224" s="41"/>
      <c r="H224" s="41"/>
      <c r="I224" s="41"/>
      <c r="J224" s="41"/>
      <c r="K224" s="41"/>
      <c r="L224" s="41"/>
      <c r="M224" s="41"/>
      <c r="N224" s="41"/>
      <c r="O224" s="41"/>
      <c r="P224" s="41"/>
      <c r="Q224" s="41"/>
      <c r="R224" s="41"/>
      <c r="S224" s="41"/>
      <c r="T224" s="41"/>
      <c r="U224" s="41"/>
      <c r="V224" s="41"/>
      <c r="W224" s="41"/>
      <c r="X224" s="41"/>
      <c r="Y224" s="41"/>
      <c r="Z224" s="41"/>
    </row>
    <row r="225" customFormat="false" ht="14.25" hidden="false" customHeight="true" outlineLevel="0" collapsed="false">
      <c r="A225" s="38"/>
      <c r="B225" s="38"/>
      <c r="C225" s="39"/>
      <c r="D225" s="40"/>
      <c r="E225" s="40"/>
      <c r="F225" s="41"/>
      <c r="G225" s="41"/>
      <c r="H225" s="41"/>
      <c r="I225" s="41"/>
      <c r="J225" s="41"/>
      <c r="K225" s="41"/>
      <c r="L225" s="41"/>
      <c r="M225" s="41"/>
      <c r="N225" s="41"/>
      <c r="O225" s="41"/>
      <c r="P225" s="41"/>
      <c r="Q225" s="41"/>
      <c r="R225" s="41"/>
      <c r="S225" s="41"/>
      <c r="T225" s="41"/>
      <c r="U225" s="41"/>
      <c r="V225" s="41"/>
      <c r="W225" s="41"/>
      <c r="X225" s="41"/>
      <c r="Y225" s="41"/>
      <c r="Z225" s="41"/>
    </row>
    <row r="226" customFormat="false" ht="14.25" hidden="false" customHeight="true" outlineLevel="0" collapsed="false">
      <c r="A226" s="38"/>
      <c r="B226" s="38"/>
      <c r="C226" s="39"/>
      <c r="D226" s="40"/>
      <c r="E226" s="40"/>
      <c r="F226" s="41"/>
      <c r="G226" s="41"/>
      <c r="H226" s="41"/>
      <c r="I226" s="41"/>
      <c r="J226" s="41"/>
      <c r="K226" s="41"/>
      <c r="L226" s="41"/>
      <c r="M226" s="41"/>
      <c r="N226" s="41"/>
      <c r="O226" s="41"/>
      <c r="P226" s="41"/>
      <c r="Q226" s="41"/>
      <c r="R226" s="41"/>
      <c r="S226" s="41"/>
      <c r="T226" s="41"/>
      <c r="U226" s="41"/>
      <c r="V226" s="41"/>
      <c r="W226" s="41"/>
      <c r="X226" s="41"/>
      <c r="Y226" s="41"/>
      <c r="Z226" s="41"/>
    </row>
    <row r="227" customFormat="false" ht="14.25" hidden="false" customHeight="true" outlineLevel="0" collapsed="false">
      <c r="A227" s="38"/>
      <c r="B227" s="38"/>
      <c r="C227" s="39"/>
      <c r="D227" s="40"/>
      <c r="E227" s="40"/>
      <c r="F227" s="41"/>
      <c r="G227" s="41"/>
      <c r="H227" s="41"/>
      <c r="I227" s="41"/>
      <c r="J227" s="41"/>
      <c r="K227" s="41"/>
      <c r="L227" s="41"/>
      <c r="M227" s="41"/>
      <c r="N227" s="41"/>
      <c r="O227" s="41"/>
      <c r="P227" s="41"/>
      <c r="Q227" s="41"/>
      <c r="R227" s="41"/>
      <c r="S227" s="41"/>
      <c r="T227" s="41"/>
      <c r="U227" s="41"/>
      <c r="V227" s="41"/>
      <c r="W227" s="41"/>
      <c r="X227" s="41"/>
      <c r="Y227" s="41"/>
      <c r="Z227" s="41"/>
    </row>
    <row r="228" customFormat="false" ht="14.25" hidden="false" customHeight="true" outlineLevel="0" collapsed="false">
      <c r="A228" s="38"/>
      <c r="B228" s="38"/>
      <c r="C228" s="39"/>
      <c r="D228" s="40"/>
      <c r="E228" s="40"/>
      <c r="F228" s="41"/>
      <c r="G228" s="41"/>
      <c r="H228" s="41"/>
      <c r="I228" s="41"/>
      <c r="J228" s="41"/>
      <c r="K228" s="41"/>
      <c r="L228" s="41"/>
      <c r="M228" s="41"/>
      <c r="N228" s="41"/>
      <c r="O228" s="41"/>
      <c r="P228" s="41"/>
      <c r="Q228" s="41"/>
      <c r="R228" s="41"/>
      <c r="S228" s="41"/>
      <c r="T228" s="41"/>
      <c r="U228" s="41"/>
      <c r="V228" s="41"/>
      <c r="W228" s="41"/>
      <c r="X228" s="41"/>
      <c r="Y228" s="41"/>
      <c r="Z228" s="41"/>
    </row>
    <row r="229" customFormat="false" ht="14.25" hidden="false" customHeight="true" outlineLevel="0" collapsed="false">
      <c r="A229" s="38"/>
      <c r="B229" s="38"/>
      <c r="C229" s="39"/>
      <c r="D229" s="40"/>
      <c r="E229" s="40"/>
      <c r="F229" s="41"/>
      <c r="G229" s="41"/>
      <c r="H229" s="41"/>
      <c r="I229" s="41"/>
      <c r="J229" s="41"/>
      <c r="K229" s="41"/>
      <c r="L229" s="41"/>
      <c r="M229" s="41"/>
      <c r="N229" s="41"/>
      <c r="O229" s="41"/>
      <c r="P229" s="41"/>
      <c r="Q229" s="41"/>
      <c r="R229" s="41"/>
      <c r="S229" s="41"/>
      <c r="T229" s="41"/>
      <c r="U229" s="41"/>
      <c r="V229" s="41"/>
      <c r="W229" s="41"/>
      <c r="X229" s="41"/>
      <c r="Y229" s="41"/>
      <c r="Z229" s="41"/>
    </row>
    <row r="230" customFormat="false" ht="14.25" hidden="false" customHeight="true" outlineLevel="0" collapsed="false">
      <c r="A230" s="38"/>
      <c r="B230" s="38"/>
      <c r="C230" s="39"/>
      <c r="D230" s="40"/>
      <c r="E230" s="40"/>
      <c r="F230" s="41"/>
      <c r="G230" s="41"/>
      <c r="H230" s="41"/>
      <c r="I230" s="41"/>
      <c r="J230" s="41"/>
      <c r="K230" s="41"/>
      <c r="L230" s="41"/>
      <c r="M230" s="41"/>
      <c r="N230" s="41"/>
      <c r="O230" s="41"/>
      <c r="P230" s="41"/>
      <c r="Q230" s="41"/>
      <c r="R230" s="41"/>
      <c r="S230" s="41"/>
      <c r="T230" s="41"/>
      <c r="U230" s="41"/>
      <c r="V230" s="41"/>
      <c r="W230" s="41"/>
      <c r="X230" s="41"/>
      <c r="Y230" s="41"/>
      <c r="Z230" s="41"/>
    </row>
    <row r="231" customFormat="false" ht="14.25" hidden="false" customHeight="true" outlineLevel="0" collapsed="false">
      <c r="A231" s="38"/>
      <c r="B231" s="38"/>
      <c r="C231" s="39"/>
      <c r="D231" s="40"/>
      <c r="E231" s="40"/>
      <c r="F231" s="41"/>
      <c r="G231" s="41"/>
      <c r="H231" s="41"/>
      <c r="I231" s="41"/>
      <c r="J231" s="41"/>
      <c r="K231" s="41"/>
      <c r="L231" s="41"/>
      <c r="M231" s="41"/>
      <c r="N231" s="41"/>
      <c r="O231" s="41"/>
      <c r="P231" s="41"/>
      <c r="Q231" s="41"/>
      <c r="R231" s="41"/>
      <c r="S231" s="41"/>
      <c r="T231" s="41"/>
      <c r="U231" s="41"/>
      <c r="V231" s="41"/>
      <c r="W231" s="41"/>
      <c r="X231" s="41"/>
      <c r="Y231" s="41"/>
      <c r="Z231" s="41"/>
    </row>
    <row r="232" customFormat="false" ht="14.25" hidden="false" customHeight="true" outlineLevel="0" collapsed="false">
      <c r="A232" s="38"/>
      <c r="B232" s="38"/>
      <c r="C232" s="39"/>
      <c r="D232" s="40"/>
      <c r="E232" s="40"/>
      <c r="F232" s="41"/>
      <c r="G232" s="41"/>
      <c r="H232" s="41"/>
      <c r="I232" s="41"/>
      <c r="J232" s="41"/>
      <c r="K232" s="41"/>
      <c r="L232" s="41"/>
      <c r="M232" s="41"/>
      <c r="N232" s="41"/>
      <c r="O232" s="41"/>
      <c r="P232" s="41"/>
      <c r="Q232" s="41"/>
      <c r="R232" s="41"/>
      <c r="S232" s="41"/>
      <c r="T232" s="41"/>
      <c r="U232" s="41"/>
      <c r="V232" s="41"/>
      <c r="W232" s="41"/>
      <c r="X232" s="41"/>
      <c r="Y232" s="41"/>
      <c r="Z232" s="41"/>
    </row>
    <row r="233" customFormat="false" ht="14.25" hidden="false" customHeight="true" outlineLevel="0" collapsed="false">
      <c r="A233" s="38"/>
      <c r="B233" s="38"/>
      <c r="C233" s="39"/>
      <c r="D233" s="40"/>
      <c r="E233" s="40"/>
      <c r="F233" s="41"/>
      <c r="G233" s="41"/>
      <c r="H233" s="41"/>
      <c r="I233" s="41"/>
      <c r="J233" s="41"/>
      <c r="K233" s="41"/>
      <c r="L233" s="41"/>
      <c r="M233" s="41"/>
      <c r="N233" s="41"/>
      <c r="O233" s="41"/>
      <c r="P233" s="41"/>
      <c r="Q233" s="41"/>
      <c r="R233" s="41"/>
      <c r="S233" s="41"/>
      <c r="T233" s="41"/>
      <c r="U233" s="41"/>
      <c r="V233" s="41"/>
      <c r="W233" s="41"/>
      <c r="X233" s="41"/>
      <c r="Y233" s="41"/>
      <c r="Z233" s="41"/>
    </row>
    <row r="234" customFormat="false" ht="14.25" hidden="false" customHeight="true" outlineLevel="0" collapsed="false">
      <c r="A234" s="38"/>
      <c r="B234" s="38"/>
      <c r="C234" s="39"/>
      <c r="D234" s="40"/>
      <c r="E234" s="40"/>
      <c r="F234" s="41"/>
      <c r="G234" s="41"/>
      <c r="H234" s="41"/>
      <c r="I234" s="41"/>
      <c r="J234" s="41"/>
      <c r="K234" s="41"/>
      <c r="L234" s="41"/>
      <c r="M234" s="41"/>
      <c r="N234" s="41"/>
      <c r="O234" s="41"/>
      <c r="P234" s="41"/>
      <c r="Q234" s="41"/>
      <c r="R234" s="41"/>
      <c r="S234" s="41"/>
      <c r="T234" s="41"/>
      <c r="U234" s="41"/>
      <c r="V234" s="41"/>
      <c r="W234" s="41"/>
      <c r="X234" s="41"/>
      <c r="Y234" s="41"/>
      <c r="Z234" s="41"/>
    </row>
    <row r="235" customFormat="false" ht="14.25" hidden="false" customHeight="true" outlineLevel="0" collapsed="false">
      <c r="A235" s="38"/>
      <c r="B235" s="38"/>
      <c r="C235" s="39"/>
      <c r="D235" s="40"/>
      <c r="E235" s="40"/>
      <c r="F235" s="41"/>
      <c r="G235" s="41"/>
      <c r="H235" s="41"/>
      <c r="I235" s="41"/>
      <c r="J235" s="41"/>
      <c r="K235" s="41"/>
      <c r="L235" s="41"/>
      <c r="M235" s="41"/>
      <c r="N235" s="41"/>
      <c r="O235" s="41"/>
      <c r="P235" s="41"/>
      <c r="Q235" s="41"/>
      <c r="R235" s="41"/>
      <c r="S235" s="41"/>
      <c r="T235" s="41"/>
      <c r="U235" s="41"/>
      <c r="V235" s="41"/>
      <c r="W235" s="41"/>
      <c r="X235" s="41"/>
      <c r="Y235" s="41"/>
      <c r="Z235" s="41"/>
    </row>
    <row r="236" customFormat="false" ht="14.25" hidden="false" customHeight="true" outlineLevel="0" collapsed="false">
      <c r="A236" s="38"/>
      <c r="B236" s="38"/>
      <c r="C236" s="39"/>
      <c r="D236" s="40"/>
      <c r="E236" s="40"/>
      <c r="F236" s="41"/>
      <c r="G236" s="41"/>
      <c r="H236" s="41"/>
      <c r="I236" s="41"/>
      <c r="J236" s="41"/>
      <c r="K236" s="41"/>
      <c r="L236" s="41"/>
      <c r="M236" s="41"/>
      <c r="N236" s="41"/>
      <c r="O236" s="41"/>
      <c r="P236" s="41"/>
      <c r="Q236" s="41"/>
      <c r="R236" s="41"/>
      <c r="S236" s="41"/>
      <c r="T236" s="41"/>
      <c r="U236" s="41"/>
      <c r="V236" s="41"/>
      <c r="W236" s="41"/>
      <c r="X236" s="41"/>
      <c r="Y236" s="41"/>
      <c r="Z236" s="41"/>
    </row>
    <row r="237" customFormat="false" ht="14.25" hidden="false" customHeight="true" outlineLevel="0" collapsed="false">
      <c r="A237" s="38"/>
      <c r="B237" s="38"/>
      <c r="C237" s="39"/>
      <c r="D237" s="40"/>
      <c r="E237" s="40"/>
      <c r="F237" s="41"/>
      <c r="G237" s="41"/>
      <c r="H237" s="41"/>
      <c r="I237" s="41"/>
      <c r="J237" s="41"/>
      <c r="K237" s="41"/>
      <c r="L237" s="41"/>
      <c r="M237" s="41"/>
      <c r="N237" s="41"/>
      <c r="O237" s="41"/>
      <c r="P237" s="41"/>
      <c r="Q237" s="41"/>
      <c r="R237" s="41"/>
      <c r="S237" s="41"/>
      <c r="T237" s="41"/>
      <c r="U237" s="41"/>
      <c r="V237" s="41"/>
      <c r="W237" s="41"/>
      <c r="X237" s="41"/>
      <c r="Y237" s="41"/>
      <c r="Z237" s="41"/>
    </row>
    <row r="238" customFormat="false" ht="14.25" hidden="false" customHeight="true" outlineLevel="0" collapsed="false">
      <c r="A238" s="38"/>
      <c r="B238" s="38"/>
      <c r="C238" s="39"/>
      <c r="D238" s="40"/>
      <c r="E238" s="40"/>
      <c r="F238" s="41"/>
      <c r="G238" s="41"/>
      <c r="H238" s="41"/>
      <c r="I238" s="41"/>
      <c r="J238" s="41"/>
      <c r="K238" s="41"/>
      <c r="L238" s="41"/>
      <c r="M238" s="41"/>
      <c r="N238" s="41"/>
      <c r="O238" s="41"/>
      <c r="P238" s="41"/>
      <c r="Q238" s="41"/>
      <c r="R238" s="41"/>
      <c r="S238" s="41"/>
      <c r="T238" s="41"/>
      <c r="U238" s="41"/>
      <c r="V238" s="41"/>
      <c r="W238" s="41"/>
      <c r="X238" s="41"/>
      <c r="Y238" s="41"/>
      <c r="Z238" s="41"/>
    </row>
    <row r="239" customFormat="false" ht="14.25" hidden="false" customHeight="true" outlineLevel="0" collapsed="false">
      <c r="A239" s="38"/>
      <c r="B239" s="38"/>
      <c r="C239" s="39"/>
      <c r="D239" s="40"/>
      <c r="E239" s="40"/>
      <c r="F239" s="41"/>
      <c r="G239" s="41"/>
      <c r="H239" s="41"/>
      <c r="I239" s="41"/>
      <c r="J239" s="41"/>
      <c r="K239" s="41"/>
      <c r="L239" s="41"/>
      <c r="M239" s="41"/>
      <c r="N239" s="41"/>
      <c r="O239" s="41"/>
      <c r="P239" s="41"/>
      <c r="Q239" s="41"/>
      <c r="R239" s="41"/>
      <c r="S239" s="41"/>
      <c r="T239" s="41"/>
      <c r="U239" s="41"/>
      <c r="V239" s="41"/>
      <c r="W239" s="41"/>
      <c r="X239" s="41"/>
      <c r="Y239" s="41"/>
      <c r="Z239" s="41"/>
    </row>
    <row r="240" customFormat="false" ht="14.25" hidden="false" customHeight="true" outlineLevel="0" collapsed="false">
      <c r="A240" s="38"/>
      <c r="B240" s="38"/>
      <c r="C240" s="39"/>
      <c r="D240" s="40"/>
      <c r="E240" s="40"/>
      <c r="F240" s="41"/>
      <c r="G240" s="41"/>
      <c r="H240" s="41"/>
      <c r="I240" s="41"/>
      <c r="J240" s="41"/>
      <c r="K240" s="41"/>
      <c r="L240" s="41"/>
      <c r="M240" s="41"/>
      <c r="N240" s="41"/>
      <c r="O240" s="41"/>
      <c r="P240" s="41"/>
      <c r="Q240" s="41"/>
      <c r="R240" s="41"/>
      <c r="S240" s="41"/>
      <c r="T240" s="41"/>
      <c r="U240" s="41"/>
      <c r="V240" s="41"/>
      <c r="W240" s="41"/>
      <c r="X240" s="41"/>
      <c r="Y240" s="41"/>
      <c r="Z240" s="41"/>
    </row>
    <row r="241" customFormat="false" ht="14.25" hidden="false" customHeight="true" outlineLevel="0" collapsed="false">
      <c r="A241" s="38"/>
      <c r="B241" s="38"/>
      <c r="C241" s="39"/>
      <c r="D241" s="40"/>
      <c r="E241" s="40"/>
      <c r="F241" s="41"/>
      <c r="G241" s="41"/>
      <c r="H241" s="41"/>
      <c r="I241" s="41"/>
      <c r="J241" s="41"/>
      <c r="K241" s="41"/>
      <c r="L241" s="41"/>
      <c r="M241" s="41"/>
      <c r="N241" s="41"/>
      <c r="O241" s="41"/>
      <c r="P241" s="41"/>
      <c r="Q241" s="41"/>
      <c r="R241" s="41"/>
      <c r="S241" s="41"/>
      <c r="T241" s="41"/>
      <c r="U241" s="41"/>
      <c r="V241" s="41"/>
      <c r="W241" s="41"/>
      <c r="X241" s="41"/>
      <c r="Y241" s="41"/>
      <c r="Z241" s="41"/>
    </row>
    <row r="242" customFormat="false" ht="14.25" hidden="false" customHeight="true" outlineLevel="0" collapsed="false">
      <c r="A242" s="38"/>
      <c r="B242" s="38"/>
      <c r="C242" s="39"/>
      <c r="D242" s="40"/>
      <c r="E242" s="40"/>
      <c r="F242" s="41"/>
      <c r="G242" s="41"/>
      <c r="H242" s="41"/>
      <c r="I242" s="41"/>
      <c r="J242" s="41"/>
      <c r="K242" s="41"/>
      <c r="L242" s="41"/>
      <c r="M242" s="41"/>
      <c r="N242" s="41"/>
      <c r="O242" s="41"/>
      <c r="P242" s="41"/>
      <c r="Q242" s="41"/>
      <c r="R242" s="41"/>
      <c r="S242" s="41"/>
      <c r="T242" s="41"/>
      <c r="U242" s="41"/>
      <c r="V242" s="41"/>
      <c r="W242" s="41"/>
      <c r="X242" s="41"/>
      <c r="Y242" s="41"/>
      <c r="Z242" s="41"/>
    </row>
    <row r="243" customFormat="false" ht="14.25" hidden="false" customHeight="true" outlineLevel="0" collapsed="false">
      <c r="A243" s="38"/>
      <c r="B243" s="38"/>
      <c r="C243" s="39"/>
      <c r="D243" s="40"/>
      <c r="E243" s="40"/>
      <c r="F243" s="41"/>
      <c r="G243" s="41"/>
      <c r="H243" s="41"/>
      <c r="I243" s="41"/>
      <c r="J243" s="41"/>
      <c r="K243" s="41"/>
      <c r="L243" s="41"/>
      <c r="M243" s="41"/>
      <c r="N243" s="41"/>
      <c r="O243" s="41"/>
      <c r="P243" s="41"/>
      <c r="Q243" s="41"/>
      <c r="R243" s="41"/>
      <c r="S243" s="41"/>
      <c r="T243" s="41"/>
      <c r="U243" s="41"/>
      <c r="V243" s="41"/>
      <c r="W243" s="41"/>
      <c r="X243" s="41"/>
      <c r="Y243" s="41"/>
      <c r="Z243" s="41"/>
    </row>
    <row r="244" customFormat="false" ht="14.25" hidden="false" customHeight="true" outlineLevel="0" collapsed="false">
      <c r="A244" s="38"/>
      <c r="B244" s="38"/>
      <c r="C244" s="39"/>
      <c r="D244" s="40"/>
      <c r="E244" s="40"/>
      <c r="F244" s="41"/>
      <c r="G244" s="41"/>
      <c r="H244" s="41"/>
      <c r="I244" s="41"/>
      <c r="J244" s="41"/>
      <c r="K244" s="41"/>
      <c r="L244" s="41"/>
      <c r="M244" s="41"/>
      <c r="N244" s="41"/>
      <c r="O244" s="41"/>
      <c r="P244" s="41"/>
      <c r="Q244" s="41"/>
      <c r="R244" s="41"/>
      <c r="S244" s="41"/>
      <c r="T244" s="41"/>
      <c r="U244" s="41"/>
      <c r="V244" s="41"/>
      <c r="W244" s="41"/>
      <c r="X244" s="41"/>
      <c r="Y244" s="41"/>
      <c r="Z244" s="41"/>
    </row>
    <row r="245" customFormat="false" ht="14.25" hidden="false" customHeight="true" outlineLevel="0" collapsed="false">
      <c r="A245" s="38"/>
      <c r="B245" s="38"/>
      <c r="C245" s="39"/>
      <c r="D245" s="40"/>
      <c r="E245" s="40"/>
      <c r="F245" s="41"/>
      <c r="G245" s="41"/>
      <c r="H245" s="41"/>
      <c r="I245" s="41"/>
      <c r="J245" s="41"/>
      <c r="K245" s="41"/>
      <c r="L245" s="41"/>
      <c r="M245" s="41"/>
      <c r="N245" s="41"/>
      <c r="O245" s="41"/>
      <c r="P245" s="41"/>
      <c r="Q245" s="41"/>
      <c r="R245" s="41"/>
      <c r="S245" s="41"/>
      <c r="T245" s="41"/>
      <c r="U245" s="41"/>
      <c r="V245" s="41"/>
      <c r="W245" s="41"/>
      <c r="X245" s="41"/>
      <c r="Y245" s="41"/>
      <c r="Z245" s="41"/>
    </row>
    <row r="246" customFormat="false" ht="14.25" hidden="false" customHeight="true" outlineLevel="0" collapsed="false">
      <c r="A246" s="38"/>
      <c r="B246" s="38"/>
      <c r="C246" s="39"/>
      <c r="D246" s="40"/>
      <c r="E246" s="40"/>
      <c r="F246" s="41"/>
      <c r="G246" s="41"/>
      <c r="H246" s="41"/>
      <c r="I246" s="41"/>
      <c r="J246" s="41"/>
      <c r="K246" s="41"/>
      <c r="L246" s="41"/>
      <c r="M246" s="41"/>
      <c r="N246" s="41"/>
      <c r="O246" s="41"/>
      <c r="P246" s="41"/>
      <c r="Q246" s="41"/>
      <c r="R246" s="41"/>
      <c r="S246" s="41"/>
      <c r="T246" s="41"/>
      <c r="U246" s="41"/>
      <c r="V246" s="41"/>
      <c r="W246" s="41"/>
      <c r="X246" s="41"/>
      <c r="Y246" s="41"/>
      <c r="Z246" s="41"/>
    </row>
    <row r="247" customFormat="false" ht="14.25" hidden="false" customHeight="true" outlineLevel="0" collapsed="false">
      <c r="A247" s="38"/>
      <c r="B247" s="38"/>
      <c r="C247" s="39"/>
      <c r="D247" s="40"/>
      <c r="E247" s="40"/>
      <c r="F247" s="41"/>
      <c r="G247" s="41"/>
      <c r="H247" s="41"/>
      <c r="I247" s="41"/>
      <c r="J247" s="41"/>
      <c r="K247" s="41"/>
      <c r="L247" s="41"/>
      <c r="M247" s="41"/>
      <c r="N247" s="41"/>
      <c r="O247" s="41"/>
      <c r="P247" s="41"/>
      <c r="Q247" s="41"/>
      <c r="R247" s="41"/>
      <c r="S247" s="41"/>
      <c r="T247" s="41"/>
      <c r="U247" s="41"/>
      <c r="V247" s="41"/>
      <c r="W247" s="41"/>
      <c r="X247" s="41"/>
      <c r="Y247" s="41"/>
      <c r="Z247" s="41"/>
    </row>
    <row r="248" customFormat="false" ht="14.25" hidden="false" customHeight="true" outlineLevel="0" collapsed="false">
      <c r="A248" s="38"/>
      <c r="B248" s="38"/>
      <c r="C248" s="39"/>
      <c r="D248" s="40"/>
      <c r="E248" s="40"/>
      <c r="F248" s="41"/>
      <c r="G248" s="41"/>
      <c r="H248" s="41"/>
      <c r="I248" s="41"/>
      <c r="J248" s="41"/>
      <c r="K248" s="41"/>
      <c r="L248" s="41"/>
      <c r="M248" s="41"/>
      <c r="N248" s="41"/>
      <c r="O248" s="41"/>
      <c r="P248" s="41"/>
      <c r="Q248" s="41"/>
      <c r="R248" s="41"/>
      <c r="S248" s="41"/>
      <c r="T248" s="41"/>
      <c r="U248" s="41"/>
      <c r="V248" s="41"/>
      <c r="W248" s="41"/>
      <c r="X248" s="41"/>
      <c r="Y248" s="41"/>
      <c r="Z248" s="41"/>
    </row>
    <row r="249" customFormat="false" ht="14.25" hidden="false" customHeight="true" outlineLevel="0" collapsed="false">
      <c r="A249" s="38"/>
      <c r="B249" s="38"/>
      <c r="C249" s="39"/>
      <c r="D249" s="40"/>
      <c r="E249" s="40"/>
      <c r="F249" s="41"/>
      <c r="G249" s="41"/>
      <c r="H249" s="41"/>
      <c r="I249" s="41"/>
      <c r="J249" s="41"/>
      <c r="K249" s="41"/>
      <c r="L249" s="41"/>
      <c r="M249" s="41"/>
      <c r="N249" s="41"/>
      <c r="O249" s="41"/>
      <c r="P249" s="41"/>
      <c r="Q249" s="41"/>
      <c r="R249" s="41"/>
      <c r="S249" s="41"/>
      <c r="T249" s="41"/>
      <c r="U249" s="41"/>
      <c r="V249" s="41"/>
      <c r="W249" s="41"/>
      <c r="X249" s="41"/>
      <c r="Y249" s="41"/>
      <c r="Z249" s="41"/>
    </row>
    <row r="250" customFormat="false" ht="14.25" hidden="false" customHeight="true" outlineLevel="0" collapsed="false">
      <c r="A250" s="38"/>
      <c r="B250" s="38"/>
      <c r="C250" s="39"/>
      <c r="D250" s="40"/>
      <c r="E250" s="40"/>
      <c r="F250" s="41"/>
      <c r="G250" s="41"/>
      <c r="H250" s="41"/>
      <c r="I250" s="41"/>
      <c r="J250" s="41"/>
      <c r="K250" s="41"/>
      <c r="L250" s="41"/>
      <c r="M250" s="41"/>
      <c r="N250" s="41"/>
      <c r="O250" s="41"/>
      <c r="P250" s="41"/>
      <c r="Q250" s="41"/>
      <c r="R250" s="41"/>
      <c r="S250" s="41"/>
      <c r="T250" s="41"/>
      <c r="U250" s="41"/>
      <c r="V250" s="41"/>
      <c r="W250" s="41"/>
      <c r="X250" s="41"/>
      <c r="Y250" s="41"/>
      <c r="Z250" s="41"/>
    </row>
    <row r="251" customFormat="false" ht="14.25" hidden="false" customHeight="true" outlineLevel="0" collapsed="false">
      <c r="A251" s="38"/>
      <c r="B251" s="38"/>
      <c r="C251" s="39"/>
      <c r="D251" s="40"/>
      <c r="E251" s="40"/>
      <c r="F251" s="41"/>
      <c r="G251" s="41"/>
      <c r="H251" s="41"/>
      <c r="I251" s="41"/>
      <c r="J251" s="41"/>
      <c r="K251" s="41"/>
      <c r="L251" s="41"/>
      <c r="M251" s="41"/>
      <c r="N251" s="41"/>
      <c r="O251" s="41"/>
      <c r="P251" s="41"/>
      <c r="Q251" s="41"/>
      <c r="R251" s="41"/>
      <c r="S251" s="41"/>
      <c r="T251" s="41"/>
      <c r="U251" s="41"/>
      <c r="V251" s="41"/>
      <c r="W251" s="41"/>
      <c r="X251" s="41"/>
      <c r="Y251" s="41"/>
      <c r="Z251" s="41"/>
    </row>
    <row r="252" customFormat="false" ht="14.25" hidden="false" customHeight="true" outlineLevel="0" collapsed="false">
      <c r="A252" s="38"/>
      <c r="B252" s="38"/>
      <c r="C252" s="39"/>
      <c r="D252" s="40"/>
      <c r="E252" s="40"/>
      <c r="F252" s="41"/>
      <c r="G252" s="41"/>
      <c r="H252" s="41"/>
      <c r="I252" s="41"/>
      <c r="J252" s="41"/>
      <c r="K252" s="41"/>
      <c r="L252" s="41"/>
      <c r="M252" s="41"/>
      <c r="N252" s="41"/>
      <c r="O252" s="41"/>
      <c r="P252" s="41"/>
      <c r="Q252" s="41"/>
      <c r="R252" s="41"/>
      <c r="S252" s="41"/>
      <c r="T252" s="41"/>
      <c r="U252" s="41"/>
      <c r="V252" s="41"/>
      <c r="W252" s="41"/>
      <c r="X252" s="41"/>
      <c r="Y252" s="41"/>
      <c r="Z252" s="41"/>
    </row>
    <row r="253" customFormat="false" ht="14.25" hidden="false" customHeight="true" outlineLevel="0" collapsed="false">
      <c r="A253" s="38"/>
      <c r="B253" s="38"/>
      <c r="C253" s="39"/>
      <c r="D253" s="40"/>
      <c r="E253" s="40"/>
      <c r="F253" s="41"/>
      <c r="G253" s="41"/>
      <c r="H253" s="41"/>
      <c r="I253" s="41"/>
      <c r="J253" s="41"/>
      <c r="K253" s="41"/>
      <c r="L253" s="41"/>
      <c r="M253" s="41"/>
      <c r="N253" s="41"/>
      <c r="O253" s="41"/>
      <c r="P253" s="41"/>
      <c r="Q253" s="41"/>
      <c r="R253" s="41"/>
      <c r="S253" s="41"/>
      <c r="T253" s="41"/>
      <c r="U253" s="41"/>
      <c r="V253" s="41"/>
      <c r="W253" s="41"/>
      <c r="X253" s="41"/>
      <c r="Y253" s="41"/>
      <c r="Z253" s="41"/>
    </row>
    <row r="254" customFormat="false" ht="14.25" hidden="false" customHeight="true" outlineLevel="0" collapsed="false">
      <c r="A254" s="38"/>
      <c r="B254" s="38"/>
      <c r="C254" s="39"/>
      <c r="D254" s="40"/>
      <c r="E254" s="40"/>
      <c r="F254" s="41"/>
      <c r="G254" s="41"/>
      <c r="H254" s="41"/>
      <c r="I254" s="41"/>
      <c r="J254" s="41"/>
      <c r="K254" s="41"/>
      <c r="L254" s="41"/>
      <c r="M254" s="41"/>
      <c r="N254" s="41"/>
      <c r="O254" s="41"/>
      <c r="P254" s="41"/>
      <c r="Q254" s="41"/>
      <c r="R254" s="41"/>
      <c r="S254" s="41"/>
      <c r="T254" s="41"/>
      <c r="U254" s="41"/>
      <c r="V254" s="41"/>
      <c r="W254" s="41"/>
      <c r="X254" s="41"/>
      <c r="Y254" s="41"/>
      <c r="Z254" s="41"/>
    </row>
    <row r="255" customFormat="false" ht="14.25" hidden="false" customHeight="true" outlineLevel="0" collapsed="false">
      <c r="A255" s="38"/>
      <c r="B255" s="38"/>
      <c r="C255" s="39"/>
      <c r="D255" s="40"/>
      <c r="E255" s="40"/>
      <c r="F255" s="41"/>
      <c r="G255" s="41"/>
      <c r="H255" s="41"/>
      <c r="I255" s="41"/>
      <c r="J255" s="41"/>
      <c r="K255" s="41"/>
      <c r="L255" s="41"/>
      <c r="M255" s="41"/>
      <c r="N255" s="41"/>
      <c r="O255" s="41"/>
      <c r="P255" s="41"/>
      <c r="Q255" s="41"/>
      <c r="R255" s="41"/>
      <c r="S255" s="41"/>
      <c r="T255" s="41"/>
      <c r="U255" s="41"/>
      <c r="V255" s="41"/>
      <c r="W255" s="41"/>
      <c r="X255" s="41"/>
      <c r="Y255" s="41"/>
      <c r="Z255" s="41"/>
    </row>
    <row r="256" customFormat="false" ht="14.25" hidden="false" customHeight="true" outlineLevel="0" collapsed="false">
      <c r="A256" s="38"/>
      <c r="B256" s="38"/>
      <c r="C256" s="39"/>
      <c r="D256" s="40"/>
      <c r="E256" s="40"/>
      <c r="F256" s="41"/>
      <c r="G256" s="41"/>
      <c r="H256" s="41"/>
      <c r="I256" s="41"/>
      <c r="J256" s="41"/>
      <c r="K256" s="41"/>
      <c r="L256" s="41"/>
      <c r="M256" s="41"/>
      <c r="N256" s="41"/>
      <c r="O256" s="41"/>
      <c r="P256" s="41"/>
      <c r="Q256" s="41"/>
      <c r="R256" s="41"/>
      <c r="S256" s="41"/>
      <c r="T256" s="41"/>
      <c r="U256" s="41"/>
      <c r="V256" s="41"/>
      <c r="W256" s="41"/>
      <c r="X256" s="41"/>
      <c r="Y256" s="41"/>
      <c r="Z256" s="41"/>
    </row>
    <row r="257" customFormat="false" ht="14.25" hidden="false" customHeight="true" outlineLevel="0" collapsed="false">
      <c r="A257" s="38"/>
      <c r="B257" s="38"/>
      <c r="C257" s="39"/>
      <c r="D257" s="40"/>
      <c r="E257" s="40"/>
      <c r="F257" s="41"/>
      <c r="G257" s="41"/>
      <c r="H257" s="41"/>
      <c r="I257" s="41"/>
      <c r="J257" s="41"/>
      <c r="K257" s="41"/>
      <c r="L257" s="41"/>
      <c r="M257" s="41"/>
      <c r="N257" s="41"/>
      <c r="O257" s="41"/>
      <c r="P257" s="41"/>
      <c r="Q257" s="41"/>
      <c r="R257" s="41"/>
      <c r="S257" s="41"/>
      <c r="T257" s="41"/>
      <c r="U257" s="41"/>
      <c r="V257" s="41"/>
      <c r="W257" s="41"/>
      <c r="X257" s="41"/>
      <c r="Y257" s="41"/>
      <c r="Z257" s="41"/>
    </row>
    <row r="258" customFormat="false" ht="14.25" hidden="false" customHeight="true" outlineLevel="0" collapsed="false">
      <c r="A258" s="38"/>
      <c r="B258" s="38"/>
      <c r="C258" s="39"/>
      <c r="D258" s="40"/>
      <c r="E258" s="40"/>
      <c r="F258" s="41"/>
      <c r="G258" s="41"/>
      <c r="H258" s="41"/>
      <c r="I258" s="41"/>
      <c r="J258" s="41"/>
      <c r="K258" s="41"/>
      <c r="L258" s="41"/>
      <c r="M258" s="41"/>
      <c r="N258" s="41"/>
      <c r="O258" s="41"/>
      <c r="P258" s="41"/>
      <c r="Q258" s="41"/>
      <c r="R258" s="41"/>
      <c r="S258" s="41"/>
      <c r="T258" s="41"/>
      <c r="U258" s="41"/>
      <c r="V258" s="41"/>
      <c r="W258" s="41"/>
      <c r="X258" s="41"/>
      <c r="Y258" s="41"/>
      <c r="Z258" s="41"/>
    </row>
    <row r="259" customFormat="false" ht="14.25" hidden="false" customHeight="true" outlineLevel="0" collapsed="false">
      <c r="A259" s="38"/>
      <c r="B259" s="38"/>
      <c r="C259" s="39"/>
      <c r="D259" s="40"/>
      <c r="E259" s="40"/>
      <c r="F259" s="41"/>
      <c r="G259" s="41"/>
      <c r="H259" s="41"/>
      <c r="I259" s="41"/>
      <c r="J259" s="41"/>
      <c r="K259" s="41"/>
      <c r="L259" s="41"/>
      <c r="M259" s="41"/>
      <c r="N259" s="41"/>
      <c r="O259" s="41"/>
      <c r="P259" s="41"/>
      <c r="Q259" s="41"/>
      <c r="R259" s="41"/>
      <c r="S259" s="41"/>
      <c r="T259" s="41"/>
      <c r="U259" s="41"/>
      <c r="V259" s="41"/>
      <c r="W259" s="41"/>
      <c r="X259" s="41"/>
      <c r="Y259" s="41"/>
      <c r="Z259" s="41"/>
    </row>
    <row r="260" customFormat="false" ht="14.25" hidden="false" customHeight="true" outlineLevel="0" collapsed="false">
      <c r="A260" s="38"/>
      <c r="B260" s="38"/>
      <c r="C260" s="39"/>
      <c r="D260" s="40"/>
      <c r="E260" s="40"/>
      <c r="F260" s="41"/>
      <c r="G260" s="41"/>
      <c r="H260" s="41"/>
      <c r="I260" s="41"/>
      <c r="J260" s="41"/>
      <c r="K260" s="41"/>
      <c r="L260" s="41"/>
      <c r="M260" s="41"/>
      <c r="N260" s="41"/>
      <c r="O260" s="41"/>
      <c r="P260" s="41"/>
      <c r="Q260" s="41"/>
      <c r="R260" s="41"/>
      <c r="S260" s="41"/>
      <c r="T260" s="41"/>
      <c r="U260" s="41"/>
      <c r="V260" s="41"/>
      <c r="W260" s="41"/>
      <c r="X260" s="41"/>
      <c r="Y260" s="41"/>
      <c r="Z260" s="41"/>
    </row>
    <row r="261" customFormat="false" ht="14.25" hidden="false" customHeight="true" outlineLevel="0" collapsed="false">
      <c r="A261" s="38"/>
      <c r="B261" s="38"/>
      <c r="C261" s="39"/>
      <c r="D261" s="40"/>
      <c r="E261" s="40"/>
      <c r="F261" s="41"/>
      <c r="G261" s="41"/>
      <c r="H261" s="41"/>
      <c r="I261" s="41"/>
      <c r="J261" s="41"/>
      <c r="K261" s="41"/>
      <c r="L261" s="41"/>
      <c r="M261" s="41"/>
      <c r="N261" s="41"/>
      <c r="O261" s="41"/>
      <c r="P261" s="41"/>
      <c r="Q261" s="41"/>
      <c r="R261" s="41"/>
      <c r="S261" s="41"/>
      <c r="T261" s="41"/>
      <c r="U261" s="41"/>
      <c r="V261" s="41"/>
      <c r="W261" s="41"/>
      <c r="X261" s="41"/>
      <c r="Y261" s="41"/>
      <c r="Z261" s="41"/>
    </row>
    <row r="262" customFormat="false" ht="14.25" hidden="false" customHeight="true" outlineLevel="0" collapsed="false">
      <c r="A262" s="38"/>
      <c r="B262" s="38"/>
      <c r="C262" s="39"/>
      <c r="D262" s="40"/>
      <c r="E262" s="40"/>
      <c r="F262" s="41"/>
      <c r="G262" s="41"/>
      <c r="H262" s="41"/>
      <c r="I262" s="41"/>
      <c r="J262" s="41"/>
      <c r="K262" s="41"/>
      <c r="L262" s="41"/>
      <c r="M262" s="41"/>
      <c r="N262" s="41"/>
      <c r="O262" s="41"/>
      <c r="P262" s="41"/>
      <c r="Q262" s="41"/>
      <c r="R262" s="41"/>
      <c r="S262" s="41"/>
      <c r="T262" s="41"/>
      <c r="U262" s="41"/>
      <c r="V262" s="41"/>
      <c r="W262" s="41"/>
      <c r="X262" s="41"/>
      <c r="Y262" s="41"/>
      <c r="Z262" s="41"/>
    </row>
    <row r="263" customFormat="false" ht="14.25" hidden="false" customHeight="true" outlineLevel="0" collapsed="false">
      <c r="A263" s="38"/>
      <c r="B263" s="38"/>
      <c r="C263" s="39"/>
      <c r="D263" s="40"/>
      <c r="E263" s="40"/>
      <c r="F263" s="41"/>
      <c r="G263" s="41"/>
      <c r="H263" s="41"/>
      <c r="I263" s="41"/>
      <c r="J263" s="41"/>
      <c r="K263" s="41"/>
      <c r="L263" s="41"/>
      <c r="M263" s="41"/>
      <c r="N263" s="41"/>
      <c r="O263" s="41"/>
      <c r="P263" s="41"/>
      <c r="Q263" s="41"/>
      <c r="R263" s="41"/>
      <c r="S263" s="41"/>
      <c r="T263" s="41"/>
      <c r="U263" s="41"/>
      <c r="V263" s="41"/>
      <c r="W263" s="41"/>
      <c r="X263" s="41"/>
      <c r="Y263" s="41"/>
      <c r="Z263" s="41"/>
    </row>
    <row r="264" customFormat="false" ht="14.25" hidden="false" customHeight="true" outlineLevel="0" collapsed="false">
      <c r="A264" s="38"/>
      <c r="B264" s="38"/>
      <c r="C264" s="39"/>
      <c r="D264" s="40"/>
      <c r="E264" s="40"/>
      <c r="F264" s="41"/>
      <c r="G264" s="41"/>
      <c r="H264" s="41"/>
      <c r="I264" s="41"/>
      <c r="J264" s="41"/>
      <c r="K264" s="41"/>
      <c r="L264" s="41"/>
      <c r="M264" s="41"/>
      <c r="N264" s="41"/>
      <c r="O264" s="41"/>
      <c r="P264" s="41"/>
      <c r="Q264" s="41"/>
      <c r="R264" s="41"/>
      <c r="S264" s="41"/>
      <c r="T264" s="41"/>
      <c r="U264" s="41"/>
      <c r="V264" s="41"/>
      <c r="W264" s="41"/>
      <c r="X264" s="41"/>
      <c r="Y264" s="41"/>
      <c r="Z264" s="41"/>
    </row>
    <row r="265" customFormat="false" ht="14.25" hidden="false" customHeight="true" outlineLevel="0" collapsed="false">
      <c r="A265" s="38"/>
      <c r="B265" s="38"/>
      <c r="C265" s="39"/>
      <c r="D265" s="40"/>
      <c r="E265" s="40"/>
      <c r="F265" s="41"/>
      <c r="G265" s="41"/>
      <c r="H265" s="41"/>
      <c r="I265" s="41"/>
      <c r="J265" s="41"/>
      <c r="K265" s="41"/>
      <c r="L265" s="41"/>
      <c r="M265" s="41"/>
      <c r="N265" s="41"/>
      <c r="O265" s="41"/>
      <c r="P265" s="41"/>
      <c r="Q265" s="41"/>
      <c r="R265" s="41"/>
      <c r="S265" s="41"/>
      <c r="T265" s="41"/>
      <c r="U265" s="41"/>
      <c r="V265" s="41"/>
      <c r="W265" s="41"/>
      <c r="X265" s="41"/>
      <c r="Y265" s="41"/>
      <c r="Z265" s="41"/>
    </row>
    <row r="266" customFormat="false" ht="14.25" hidden="false" customHeight="true" outlineLevel="0" collapsed="false">
      <c r="A266" s="38"/>
      <c r="B266" s="38"/>
      <c r="C266" s="39"/>
      <c r="D266" s="40"/>
      <c r="E266" s="40"/>
      <c r="F266" s="41"/>
      <c r="G266" s="41"/>
      <c r="H266" s="41"/>
      <c r="I266" s="41"/>
      <c r="J266" s="41"/>
      <c r="K266" s="41"/>
      <c r="L266" s="41"/>
      <c r="M266" s="41"/>
      <c r="N266" s="41"/>
      <c r="O266" s="41"/>
      <c r="P266" s="41"/>
      <c r="Q266" s="41"/>
      <c r="R266" s="41"/>
      <c r="S266" s="41"/>
      <c r="T266" s="41"/>
      <c r="U266" s="41"/>
      <c r="V266" s="41"/>
      <c r="W266" s="41"/>
      <c r="X266" s="41"/>
      <c r="Y266" s="41"/>
      <c r="Z266" s="41"/>
    </row>
    <row r="267" customFormat="false" ht="14.25" hidden="false" customHeight="true" outlineLevel="0" collapsed="false">
      <c r="A267" s="38"/>
      <c r="B267" s="38"/>
      <c r="C267" s="39"/>
      <c r="D267" s="40"/>
      <c r="E267" s="40"/>
      <c r="F267" s="41"/>
      <c r="G267" s="41"/>
      <c r="H267" s="41"/>
      <c r="I267" s="41"/>
      <c r="J267" s="41"/>
      <c r="K267" s="41"/>
      <c r="L267" s="41"/>
      <c r="M267" s="41"/>
      <c r="N267" s="41"/>
      <c r="O267" s="41"/>
      <c r="P267" s="41"/>
      <c r="Q267" s="41"/>
      <c r="R267" s="41"/>
      <c r="S267" s="41"/>
      <c r="T267" s="41"/>
      <c r="U267" s="41"/>
      <c r="V267" s="41"/>
      <c r="W267" s="41"/>
      <c r="X267" s="41"/>
      <c r="Y267" s="41"/>
      <c r="Z267" s="41"/>
    </row>
    <row r="268" customFormat="false" ht="14.25" hidden="false" customHeight="true" outlineLevel="0" collapsed="false">
      <c r="A268" s="38"/>
      <c r="B268" s="38"/>
      <c r="C268" s="39"/>
      <c r="D268" s="40"/>
      <c r="E268" s="40"/>
      <c r="F268" s="41"/>
      <c r="G268" s="41"/>
      <c r="H268" s="41"/>
      <c r="I268" s="41"/>
      <c r="J268" s="41"/>
      <c r="K268" s="41"/>
      <c r="L268" s="41"/>
      <c r="M268" s="41"/>
      <c r="N268" s="41"/>
      <c r="O268" s="41"/>
      <c r="P268" s="41"/>
      <c r="Q268" s="41"/>
      <c r="R268" s="41"/>
      <c r="S268" s="41"/>
      <c r="T268" s="41"/>
      <c r="U268" s="41"/>
      <c r="V268" s="41"/>
      <c r="W268" s="41"/>
      <c r="X268" s="41"/>
      <c r="Y268" s="41"/>
      <c r="Z268" s="41"/>
    </row>
    <row r="269" customFormat="false" ht="14.25" hidden="false" customHeight="true" outlineLevel="0" collapsed="false">
      <c r="A269" s="38"/>
      <c r="B269" s="38"/>
      <c r="C269" s="39"/>
      <c r="D269" s="40"/>
      <c r="E269" s="40"/>
      <c r="F269" s="41"/>
      <c r="G269" s="41"/>
      <c r="H269" s="41"/>
      <c r="I269" s="41"/>
      <c r="J269" s="41"/>
      <c r="K269" s="41"/>
      <c r="L269" s="41"/>
      <c r="M269" s="41"/>
      <c r="N269" s="41"/>
      <c r="O269" s="41"/>
      <c r="P269" s="41"/>
      <c r="Q269" s="41"/>
      <c r="R269" s="41"/>
      <c r="S269" s="41"/>
      <c r="T269" s="41"/>
      <c r="U269" s="41"/>
      <c r="V269" s="41"/>
      <c r="W269" s="41"/>
      <c r="X269" s="41"/>
      <c r="Y269" s="41"/>
      <c r="Z269" s="41"/>
    </row>
    <row r="270" customFormat="false" ht="14.25" hidden="false" customHeight="true" outlineLevel="0" collapsed="false">
      <c r="A270" s="38"/>
      <c r="B270" s="38"/>
      <c r="C270" s="39"/>
      <c r="D270" s="40"/>
      <c r="E270" s="40"/>
      <c r="F270" s="41"/>
      <c r="G270" s="41"/>
      <c r="H270" s="41"/>
      <c r="I270" s="41"/>
      <c r="J270" s="41"/>
      <c r="K270" s="41"/>
      <c r="L270" s="41"/>
      <c r="M270" s="41"/>
      <c r="N270" s="41"/>
      <c r="O270" s="41"/>
      <c r="P270" s="41"/>
      <c r="Q270" s="41"/>
      <c r="R270" s="41"/>
      <c r="S270" s="41"/>
      <c r="T270" s="41"/>
      <c r="U270" s="41"/>
      <c r="V270" s="41"/>
      <c r="W270" s="41"/>
      <c r="X270" s="41"/>
      <c r="Y270" s="41"/>
      <c r="Z270" s="41"/>
    </row>
    <row r="271" customFormat="false" ht="14.25" hidden="false" customHeight="true" outlineLevel="0" collapsed="false">
      <c r="A271" s="38"/>
      <c r="B271" s="38"/>
      <c r="C271" s="39"/>
      <c r="D271" s="40"/>
      <c r="E271" s="40"/>
      <c r="F271" s="41"/>
      <c r="G271" s="41"/>
      <c r="H271" s="41"/>
      <c r="I271" s="41"/>
      <c r="J271" s="41"/>
      <c r="K271" s="41"/>
      <c r="L271" s="41"/>
      <c r="M271" s="41"/>
      <c r="N271" s="41"/>
      <c r="O271" s="41"/>
      <c r="P271" s="41"/>
      <c r="Q271" s="41"/>
      <c r="R271" s="41"/>
      <c r="S271" s="41"/>
      <c r="T271" s="41"/>
      <c r="U271" s="41"/>
      <c r="V271" s="41"/>
      <c r="W271" s="41"/>
      <c r="X271" s="41"/>
      <c r="Y271" s="41"/>
      <c r="Z271" s="41"/>
    </row>
    <row r="272" customFormat="false" ht="14.25" hidden="false" customHeight="true" outlineLevel="0" collapsed="false">
      <c r="A272" s="38"/>
      <c r="B272" s="38"/>
      <c r="C272" s="39"/>
      <c r="D272" s="40"/>
      <c r="E272" s="40"/>
      <c r="F272" s="41"/>
      <c r="G272" s="41"/>
      <c r="H272" s="41"/>
      <c r="I272" s="41"/>
      <c r="J272" s="41"/>
      <c r="K272" s="41"/>
      <c r="L272" s="41"/>
      <c r="M272" s="41"/>
      <c r="N272" s="41"/>
      <c r="O272" s="41"/>
      <c r="P272" s="41"/>
      <c r="Q272" s="41"/>
      <c r="R272" s="41"/>
      <c r="S272" s="41"/>
      <c r="T272" s="41"/>
      <c r="U272" s="41"/>
      <c r="V272" s="41"/>
      <c r="W272" s="41"/>
      <c r="X272" s="41"/>
      <c r="Y272" s="41"/>
      <c r="Z272" s="41"/>
    </row>
    <row r="273" customFormat="false" ht="14.25" hidden="false" customHeight="true" outlineLevel="0" collapsed="false">
      <c r="A273" s="38"/>
      <c r="B273" s="38"/>
      <c r="C273" s="39"/>
      <c r="D273" s="40"/>
      <c r="E273" s="40"/>
      <c r="F273" s="41"/>
      <c r="G273" s="41"/>
      <c r="H273" s="41"/>
      <c r="I273" s="41"/>
      <c r="J273" s="41"/>
      <c r="K273" s="41"/>
      <c r="L273" s="41"/>
      <c r="M273" s="41"/>
      <c r="N273" s="41"/>
      <c r="O273" s="41"/>
      <c r="P273" s="41"/>
      <c r="Q273" s="41"/>
      <c r="R273" s="41"/>
      <c r="S273" s="41"/>
      <c r="T273" s="41"/>
      <c r="U273" s="41"/>
      <c r="V273" s="41"/>
      <c r="W273" s="41"/>
      <c r="X273" s="41"/>
      <c r="Y273" s="41"/>
      <c r="Z273" s="41"/>
    </row>
    <row r="274" customFormat="false" ht="14.25" hidden="false" customHeight="true" outlineLevel="0" collapsed="false">
      <c r="A274" s="38"/>
      <c r="B274" s="38"/>
      <c r="C274" s="39"/>
      <c r="D274" s="40"/>
      <c r="E274" s="40"/>
      <c r="F274" s="41"/>
      <c r="G274" s="41"/>
      <c r="H274" s="41"/>
      <c r="I274" s="41"/>
      <c r="J274" s="41"/>
      <c r="K274" s="41"/>
      <c r="L274" s="41"/>
      <c r="M274" s="41"/>
      <c r="N274" s="41"/>
      <c r="O274" s="41"/>
      <c r="P274" s="41"/>
      <c r="Q274" s="41"/>
      <c r="R274" s="41"/>
      <c r="S274" s="41"/>
      <c r="T274" s="41"/>
      <c r="U274" s="41"/>
      <c r="V274" s="41"/>
      <c r="W274" s="41"/>
      <c r="X274" s="41"/>
      <c r="Y274" s="41"/>
      <c r="Z274" s="41"/>
    </row>
    <row r="275" customFormat="false" ht="14.25" hidden="false" customHeight="true" outlineLevel="0" collapsed="false">
      <c r="A275" s="38"/>
      <c r="B275" s="38"/>
      <c r="C275" s="39"/>
      <c r="D275" s="40"/>
      <c r="E275" s="40"/>
      <c r="F275" s="41"/>
      <c r="G275" s="41"/>
      <c r="H275" s="41"/>
      <c r="I275" s="41"/>
      <c r="J275" s="41"/>
      <c r="K275" s="41"/>
      <c r="L275" s="41"/>
      <c r="M275" s="41"/>
      <c r="N275" s="41"/>
      <c r="O275" s="41"/>
      <c r="P275" s="41"/>
      <c r="Q275" s="41"/>
      <c r="R275" s="41"/>
      <c r="S275" s="41"/>
      <c r="T275" s="41"/>
      <c r="U275" s="41"/>
      <c r="V275" s="41"/>
      <c r="W275" s="41"/>
      <c r="X275" s="41"/>
      <c r="Y275" s="41"/>
      <c r="Z275" s="41"/>
    </row>
    <row r="276" customFormat="false" ht="14.25" hidden="false" customHeight="true" outlineLevel="0" collapsed="false">
      <c r="A276" s="38"/>
      <c r="B276" s="38"/>
      <c r="C276" s="39"/>
      <c r="D276" s="40"/>
      <c r="E276" s="40"/>
      <c r="F276" s="41"/>
      <c r="G276" s="41"/>
      <c r="H276" s="41"/>
      <c r="I276" s="41"/>
      <c r="J276" s="41"/>
      <c r="K276" s="41"/>
      <c r="L276" s="41"/>
      <c r="M276" s="41"/>
      <c r="N276" s="41"/>
      <c r="O276" s="41"/>
      <c r="P276" s="41"/>
      <c r="Q276" s="41"/>
      <c r="R276" s="41"/>
      <c r="S276" s="41"/>
      <c r="T276" s="41"/>
      <c r="U276" s="41"/>
      <c r="V276" s="41"/>
      <c r="W276" s="41"/>
      <c r="X276" s="41"/>
      <c r="Y276" s="41"/>
      <c r="Z276" s="41"/>
    </row>
    <row r="277" customFormat="false" ht="14.25" hidden="false" customHeight="true" outlineLevel="0" collapsed="false">
      <c r="A277" s="38"/>
      <c r="B277" s="38"/>
      <c r="C277" s="39"/>
      <c r="D277" s="40"/>
      <c r="E277" s="40"/>
      <c r="F277" s="41"/>
      <c r="G277" s="41"/>
      <c r="H277" s="41"/>
      <c r="I277" s="41"/>
      <c r="J277" s="41"/>
      <c r="K277" s="41"/>
      <c r="L277" s="41"/>
      <c r="M277" s="41"/>
      <c r="N277" s="41"/>
      <c r="O277" s="41"/>
      <c r="P277" s="41"/>
      <c r="Q277" s="41"/>
      <c r="R277" s="41"/>
      <c r="S277" s="41"/>
      <c r="T277" s="41"/>
      <c r="U277" s="41"/>
      <c r="V277" s="41"/>
      <c r="W277" s="41"/>
      <c r="X277" s="41"/>
      <c r="Y277" s="41"/>
      <c r="Z277" s="41"/>
    </row>
    <row r="278" customFormat="false" ht="14.25" hidden="false" customHeight="true" outlineLevel="0" collapsed="false">
      <c r="A278" s="38"/>
      <c r="B278" s="38"/>
      <c r="C278" s="39"/>
      <c r="D278" s="40"/>
      <c r="E278" s="40"/>
      <c r="F278" s="41"/>
      <c r="G278" s="41"/>
      <c r="H278" s="41"/>
      <c r="I278" s="41"/>
      <c r="J278" s="41"/>
      <c r="K278" s="41"/>
      <c r="L278" s="41"/>
      <c r="M278" s="41"/>
      <c r="N278" s="41"/>
      <c r="O278" s="41"/>
      <c r="P278" s="41"/>
      <c r="Q278" s="41"/>
      <c r="R278" s="41"/>
      <c r="S278" s="41"/>
      <c r="T278" s="41"/>
      <c r="U278" s="41"/>
      <c r="V278" s="41"/>
      <c r="W278" s="41"/>
      <c r="X278" s="41"/>
      <c r="Y278" s="41"/>
      <c r="Z278" s="41"/>
    </row>
    <row r="279" customFormat="false" ht="14.25" hidden="false" customHeight="true" outlineLevel="0" collapsed="false">
      <c r="A279" s="38"/>
      <c r="B279" s="38"/>
      <c r="C279" s="39"/>
      <c r="D279" s="40"/>
      <c r="E279" s="40"/>
      <c r="F279" s="41"/>
      <c r="G279" s="41"/>
      <c r="H279" s="41"/>
      <c r="I279" s="41"/>
      <c r="J279" s="41"/>
      <c r="K279" s="41"/>
      <c r="L279" s="41"/>
      <c r="M279" s="41"/>
      <c r="N279" s="41"/>
      <c r="O279" s="41"/>
      <c r="P279" s="41"/>
      <c r="Q279" s="41"/>
      <c r="R279" s="41"/>
      <c r="S279" s="41"/>
      <c r="T279" s="41"/>
      <c r="U279" s="41"/>
      <c r="V279" s="41"/>
      <c r="W279" s="41"/>
      <c r="X279" s="41"/>
      <c r="Y279" s="41"/>
      <c r="Z279" s="41"/>
    </row>
    <row r="280" customFormat="false" ht="14.25" hidden="false" customHeight="true" outlineLevel="0" collapsed="false">
      <c r="A280" s="38"/>
      <c r="B280" s="38"/>
      <c r="C280" s="39"/>
      <c r="D280" s="40"/>
      <c r="E280" s="40"/>
      <c r="F280" s="41"/>
      <c r="G280" s="41"/>
      <c r="H280" s="41"/>
      <c r="I280" s="41"/>
      <c r="J280" s="41"/>
      <c r="K280" s="41"/>
      <c r="L280" s="41"/>
      <c r="M280" s="41"/>
      <c r="N280" s="41"/>
      <c r="O280" s="41"/>
      <c r="P280" s="41"/>
      <c r="Q280" s="41"/>
      <c r="R280" s="41"/>
      <c r="S280" s="41"/>
      <c r="T280" s="41"/>
      <c r="U280" s="41"/>
      <c r="V280" s="41"/>
      <c r="W280" s="41"/>
      <c r="X280" s="41"/>
      <c r="Y280" s="41"/>
      <c r="Z280" s="41"/>
    </row>
    <row r="281" customFormat="false" ht="14.25" hidden="false" customHeight="true" outlineLevel="0" collapsed="false">
      <c r="A281" s="38"/>
      <c r="B281" s="38"/>
      <c r="C281" s="39"/>
      <c r="D281" s="40"/>
      <c r="E281" s="40"/>
      <c r="F281" s="41"/>
      <c r="G281" s="41"/>
      <c r="H281" s="41"/>
      <c r="I281" s="41"/>
      <c r="J281" s="41"/>
      <c r="K281" s="41"/>
      <c r="L281" s="41"/>
      <c r="M281" s="41"/>
      <c r="N281" s="41"/>
      <c r="O281" s="41"/>
      <c r="P281" s="41"/>
      <c r="Q281" s="41"/>
      <c r="R281" s="41"/>
      <c r="S281" s="41"/>
      <c r="T281" s="41"/>
      <c r="U281" s="41"/>
      <c r="V281" s="41"/>
      <c r="W281" s="41"/>
      <c r="X281" s="41"/>
      <c r="Y281" s="41"/>
      <c r="Z281" s="41"/>
    </row>
    <row r="282" customFormat="false" ht="14.25" hidden="false" customHeight="true" outlineLevel="0" collapsed="false">
      <c r="A282" s="38"/>
      <c r="B282" s="38"/>
      <c r="C282" s="39"/>
      <c r="D282" s="40"/>
      <c r="E282" s="40"/>
      <c r="F282" s="41"/>
      <c r="G282" s="41"/>
      <c r="H282" s="41"/>
      <c r="I282" s="41"/>
      <c r="J282" s="41"/>
      <c r="K282" s="41"/>
      <c r="L282" s="41"/>
      <c r="M282" s="41"/>
      <c r="N282" s="41"/>
      <c r="O282" s="41"/>
      <c r="P282" s="41"/>
      <c r="Q282" s="41"/>
      <c r="R282" s="41"/>
      <c r="S282" s="41"/>
      <c r="T282" s="41"/>
      <c r="U282" s="41"/>
      <c r="V282" s="41"/>
      <c r="W282" s="41"/>
      <c r="X282" s="41"/>
      <c r="Y282" s="41"/>
      <c r="Z282" s="41"/>
    </row>
    <row r="283" customFormat="false" ht="14.25" hidden="false" customHeight="true" outlineLevel="0" collapsed="false">
      <c r="A283" s="38"/>
      <c r="B283" s="38"/>
      <c r="C283" s="39"/>
      <c r="D283" s="40"/>
      <c r="E283" s="40"/>
      <c r="F283" s="41"/>
      <c r="G283" s="41"/>
      <c r="H283" s="41"/>
      <c r="I283" s="41"/>
      <c r="J283" s="41"/>
      <c r="K283" s="41"/>
      <c r="L283" s="41"/>
      <c r="M283" s="41"/>
      <c r="N283" s="41"/>
      <c r="O283" s="41"/>
      <c r="P283" s="41"/>
      <c r="Q283" s="41"/>
      <c r="R283" s="41"/>
      <c r="S283" s="41"/>
      <c r="T283" s="41"/>
      <c r="U283" s="41"/>
      <c r="V283" s="41"/>
      <c r="W283" s="41"/>
      <c r="X283" s="41"/>
      <c r="Y283" s="41"/>
      <c r="Z283" s="41"/>
    </row>
    <row r="284" customFormat="false" ht="14.25" hidden="false" customHeight="true" outlineLevel="0" collapsed="false">
      <c r="A284" s="38"/>
      <c r="B284" s="38"/>
      <c r="C284" s="39"/>
      <c r="D284" s="40"/>
      <c r="E284" s="40"/>
      <c r="F284" s="41"/>
      <c r="G284" s="41"/>
      <c r="H284" s="41"/>
      <c r="I284" s="41"/>
      <c r="J284" s="41"/>
      <c r="K284" s="41"/>
      <c r="L284" s="41"/>
      <c r="M284" s="41"/>
      <c r="N284" s="41"/>
      <c r="O284" s="41"/>
      <c r="P284" s="41"/>
      <c r="Q284" s="41"/>
      <c r="R284" s="41"/>
      <c r="S284" s="41"/>
      <c r="T284" s="41"/>
      <c r="U284" s="41"/>
      <c r="V284" s="41"/>
      <c r="W284" s="41"/>
      <c r="X284" s="41"/>
      <c r="Y284" s="41"/>
      <c r="Z284" s="41"/>
    </row>
    <row r="285" customFormat="false" ht="14.25" hidden="false" customHeight="true" outlineLevel="0" collapsed="false">
      <c r="A285" s="38"/>
      <c r="B285" s="38"/>
      <c r="C285" s="39"/>
      <c r="D285" s="40"/>
      <c r="E285" s="40"/>
      <c r="F285" s="41"/>
      <c r="G285" s="41"/>
      <c r="H285" s="41"/>
      <c r="I285" s="41"/>
      <c r="J285" s="41"/>
      <c r="K285" s="41"/>
      <c r="L285" s="41"/>
      <c r="M285" s="41"/>
      <c r="N285" s="41"/>
      <c r="O285" s="41"/>
      <c r="P285" s="41"/>
      <c r="Q285" s="41"/>
      <c r="R285" s="41"/>
      <c r="S285" s="41"/>
      <c r="T285" s="41"/>
      <c r="U285" s="41"/>
      <c r="V285" s="41"/>
      <c r="W285" s="41"/>
      <c r="X285" s="41"/>
      <c r="Y285" s="41"/>
      <c r="Z285" s="41"/>
    </row>
    <row r="286" customFormat="false" ht="14.25" hidden="false" customHeight="true" outlineLevel="0" collapsed="false">
      <c r="A286" s="38"/>
      <c r="B286" s="38"/>
      <c r="C286" s="39"/>
      <c r="D286" s="40"/>
      <c r="E286" s="40"/>
      <c r="F286" s="41"/>
      <c r="G286" s="41"/>
      <c r="H286" s="41"/>
      <c r="I286" s="41"/>
      <c r="J286" s="41"/>
      <c r="K286" s="41"/>
      <c r="L286" s="41"/>
      <c r="M286" s="41"/>
      <c r="N286" s="41"/>
      <c r="O286" s="41"/>
      <c r="P286" s="41"/>
      <c r="Q286" s="41"/>
      <c r="R286" s="41"/>
      <c r="S286" s="41"/>
      <c r="T286" s="41"/>
      <c r="U286" s="41"/>
      <c r="V286" s="41"/>
      <c r="W286" s="41"/>
      <c r="X286" s="41"/>
      <c r="Y286" s="41"/>
      <c r="Z286" s="41"/>
    </row>
    <row r="287" customFormat="false" ht="14.25" hidden="false" customHeight="true" outlineLevel="0" collapsed="false">
      <c r="A287" s="38"/>
      <c r="B287" s="38"/>
      <c r="C287" s="39"/>
      <c r="D287" s="40"/>
      <c r="E287" s="40"/>
      <c r="F287" s="41"/>
      <c r="G287" s="41"/>
      <c r="H287" s="41"/>
      <c r="I287" s="41"/>
      <c r="J287" s="41"/>
      <c r="K287" s="41"/>
      <c r="L287" s="41"/>
      <c r="M287" s="41"/>
      <c r="N287" s="41"/>
      <c r="O287" s="41"/>
      <c r="P287" s="41"/>
      <c r="Q287" s="41"/>
      <c r="R287" s="41"/>
      <c r="S287" s="41"/>
      <c r="T287" s="41"/>
      <c r="U287" s="41"/>
      <c r="V287" s="41"/>
      <c r="W287" s="41"/>
      <c r="X287" s="41"/>
      <c r="Y287" s="41"/>
      <c r="Z287" s="41"/>
    </row>
    <row r="288" customFormat="false" ht="14.25" hidden="false" customHeight="true" outlineLevel="0" collapsed="false">
      <c r="A288" s="38"/>
      <c r="B288" s="38"/>
      <c r="C288" s="39"/>
      <c r="D288" s="40"/>
      <c r="E288" s="40"/>
      <c r="F288" s="41"/>
      <c r="G288" s="41"/>
      <c r="H288" s="41"/>
      <c r="I288" s="41"/>
      <c r="J288" s="41"/>
      <c r="K288" s="41"/>
      <c r="L288" s="41"/>
      <c r="M288" s="41"/>
      <c r="N288" s="41"/>
      <c r="O288" s="41"/>
      <c r="P288" s="41"/>
      <c r="Q288" s="41"/>
      <c r="R288" s="41"/>
      <c r="S288" s="41"/>
      <c r="T288" s="41"/>
      <c r="U288" s="41"/>
      <c r="V288" s="41"/>
      <c r="W288" s="41"/>
      <c r="X288" s="41"/>
      <c r="Y288" s="41"/>
      <c r="Z288" s="41"/>
    </row>
    <row r="289" customFormat="false" ht="14.25" hidden="false" customHeight="true" outlineLevel="0" collapsed="false">
      <c r="A289" s="38"/>
      <c r="B289" s="38"/>
      <c r="C289" s="39"/>
      <c r="D289" s="40"/>
      <c r="E289" s="40"/>
      <c r="F289" s="41"/>
      <c r="G289" s="41"/>
      <c r="H289" s="41"/>
      <c r="I289" s="41"/>
      <c r="J289" s="41"/>
      <c r="K289" s="41"/>
      <c r="L289" s="41"/>
      <c r="M289" s="41"/>
      <c r="N289" s="41"/>
      <c r="O289" s="41"/>
      <c r="P289" s="41"/>
      <c r="Q289" s="41"/>
      <c r="R289" s="41"/>
      <c r="S289" s="41"/>
      <c r="T289" s="41"/>
      <c r="U289" s="41"/>
      <c r="V289" s="41"/>
      <c r="W289" s="41"/>
      <c r="X289" s="41"/>
      <c r="Y289" s="41"/>
      <c r="Z289" s="41"/>
    </row>
    <row r="290" customFormat="false" ht="14.25" hidden="false" customHeight="true" outlineLevel="0" collapsed="false">
      <c r="A290" s="38"/>
      <c r="B290" s="38"/>
      <c r="C290" s="39"/>
      <c r="D290" s="40"/>
      <c r="E290" s="40"/>
      <c r="F290" s="41"/>
      <c r="G290" s="41"/>
      <c r="H290" s="41"/>
      <c r="I290" s="41"/>
      <c r="J290" s="41"/>
      <c r="K290" s="41"/>
      <c r="L290" s="41"/>
      <c r="M290" s="41"/>
      <c r="N290" s="41"/>
      <c r="O290" s="41"/>
      <c r="P290" s="41"/>
      <c r="Q290" s="41"/>
      <c r="R290" s="41"/>
      <c r="S290" s="41"/>
      <c r="T290" s="41"/>
      <c r="U290" s="41"/>
      <c r="V290" s="41"/>
      <c r="W290" s="41"/>
      <c r="X290" s="41"/>
      <c r="Y290" s="41"/>
      <c r="Z290" s="41"/>
    </row>
    <row r="291" customFormat="false" ht="14.25" hidden="false" customHeight="true" outlineLevel="0" collapsed="false">
      <c r="A291" s="38"/>
      <c r="B291" s="38"/>
      <c r="C291" s="39"/>
      <c r="D291" s="40"/>
      <c r="E291" s="40"/>
      <c r="F291" s="41"/>
      <c r="G291" s="41"/>
      <c r="H291" s="41"/>
      <c r="I291" s="41"/>
      <c r="J291" s="41"/>
      <c r="K291" s="41"/>
      <c r="L291" s="41"/>
      <c r="M291" s="41"/>
      <c r="N291" s="41"/>
      <c r="O291" s="41"/>
      <c r="P291" s="41"/>
      <c r="Q291" s="41"/>
      <c r="R291" s="41"/>
      <c r="S291" s="41"/>
      <c r="T291" s="41"/>
      <c r="U291" s="41"/>
      <c r="V291" s="41"/>
      <c r="W291" s="41"/>
      <c r="X291" s="41"/>
      <c r="Y291" s="41"/>
      <c r="Z291" s="41"/>
    </row>
    <row r="292" customFormat="false" ht="14.25" hidden="false" customHeight="true" outlineLevel="0" collapsed="false">
      <c r="A292" s="38"/>
      <c r="B292" s="38"/>
      <c r="C292" s="39"/>
      <c r="D292" s="40"/>
      <c r="E292" s="40"/>
      <c r="F292" s="41"/>
      <c r="G292" s="41"/>
      <c r="H292" s="41"/>
      <c r="I292" s="41"/>
      <c r="J292" s="41"/>
      <c r="K292" s="41"/>
      <c r="L292" s="41"/>
      <c r="M292" s="41"/>
      <c r="N292" s="41"/>
      <c r="O292" s="41"/>
      <c r="P292" s="41"/>
      <c r="Q292" s="41"/>
      <c r="R292" s="41"/>
      <c r="S292" s="41"/>
      <c r="T292" s="41"/>
      <c r="U292" s="41"/>
      <c r="V292" s="41"/>
      <c r="W292" s="41"/>
      <c r="X292" s="41"/>
      <c r="Y292" s="41"/>
      <c r="Z292" s="41"/>
    </row>
    <row r="293" customFormat="false" ht="14.25" hidden="false" customHeight="true" outlineLevel="0" collapsed="false">
      <c r="A293" s="38"/>
      <c r="B293" s="38"/>
      <c r="C293" s="39"/>
      <c r="D293" s="40"/>
      <c r="E293" s="40"/>
      <c r="F293" s="41"/>
      <c r="G293" s="41"/>
      <c r="H293" s="41"/>
      <c r="I293" s="41"/>
      <c r="J293" s="41"/>
      <c r="K293" s="41"/>
      <c r="L293" s="41"/>
      <c r="M293" s="41"/>
      <c r="N293" s="41"/>
      <c r="O293" s="41"/>
      <c r="P293" s="41"/>
      <c r="Q293" s="41"/>
      <c r="R293" s="41"/>
      <c r="S293" s="41"/>
      <c r="T293" s="41"/>
      <c r="U293" s="41"/>
      <c r="V293" s="41"/>
      <c r="W293" s="41"/>
      <c r="X293" s="41"/>
      <c r="Y293" s="41"/>
      <c r="Z293" s="41"/>
    </row>
    <row r="294" customFormat="false" ht="14.25" hidden="false" customHeight="true" outlineLevel="0" collapsed="false">
      <c r="A294" s="38"/>
      <c r="B294" s="38"/>
      <c r="C294" s="39"/>
      <c r="D294" s="40"/>
      <c r="E294" s="40"/>
      <c r="F294" s="41"/>
      <c r="G294" s="41"/>
      <c r="H294" s="41"/>
      <c r="I294" s="41"/>
      <c r="J294" s="41"/>
      <c r="K294" s="41"/>
      <c r="L294" s="41"/>
      <c r="M294" s="41"/>
      <c r="N294" s="41"/>
      <c r="O294" s="41"/>
      <c r="P294" s="41"/>
      <c r="Q294" s="41"/>
      <c r="R294" s="41"/>
      <c r="S294" s="41"/>
      <c r="T294" s="41"/>
      <c r="U294" s="41"/>
      <c r="V294" s="41"/>
      <c r="W294" s="41"/>
      <c r="X294" s="41"/>
      <c r="Y294" s="41"/>
      <c r="Z294" s="41"/>
    </row>
    <row r="295" customFormat="false" ht="14.25" hidden="false" customHeight="true" outlineLevel="0" collapsed="false">
      <c r="A295" s="38"/>
      <c r="B295" s="38"/>
      <c r="C295" s="39"/>
      <c r="D295" s="40"/>
      <c r="E295" s="40"/>
      <c r="F295" s="41"/>
      <c r="G295" s="41"/>
      <c r="H295" s="41"/>
      <c r="I295" s="41"/>
      <c r="J295" s="41"/>
      <c r="K295" s="41"/>
      <c r="L295" s="41"/>
      <c r="M295" s="41"/>
      <c r="N295" s="41"/>
      <c r="O295" s="41"/>
      <c r="P295" s="41"/>
      <c r="Q295" s="41"/>
      <c r="R295" s="41"/>
      <c r="S295" s="41"/>
      <c r="T295" s="41"/>
      <c r="U295" s="41"/>
      <c r="V295" s="41"/>
      <c r="W295" s="41"/>
      <c r="X295" s="41"/>
      <c r="Y295" s="41"/>
      <c r="Z295" s="41"/>
    </row>
    <row r="296" customFormat="false" ht="14.25" hidden="false" customHeight="true" outlineLevel="0" collapsed="false">
      <c r="A296" s="38"/>
      <c r="B296" s="38"/>
      <c r="C296" s="39"/>
      <c r="D296" s="40"/>
      <c r="E296" s="40"/>
      <c r="F296" s="41"/>
      <c r="G296" s="41"/>
      <c r="H296" s="41"/>
      <c r="I296" s="41"/>
      <c r="J296" s="41"/>
      <c r="K296" s="41"/>
      <c r="L296" s="41"/>
      <c r="M296" s="41"/>
      <c r="N296" s="41"/>
      <c r="O296" s="41"/>
      <c r="P296" s="41"/>
      <c r="Q296" s="41"/>
      <c r="R296" s="41"/>
      <c r="S296" s="41"/>
      <c r="T296" s="41"/>
      <c r="U296" s="41"/>
      <c r="V296" s="41"/>
      <c r="W296" s="41"/>
      <c r="X296" s="41"/>
      <c r="Y296" s="41"/>
      <c r="Z296" s="41"/>
    </row>
    <row r="297" customFormat="false" ht="14.25" hidden="false" customHeight="true" outlineLevel="0" collapsed="false">
      <c r="A297" s="38"/>
      <c r="B297" s="38"/>
      <c r="C297" s="39"/>
      <c r="D297" s="40"/>
      <c r="E297" s="40"/>
      <c r="F297" s="41"/>
      <c r="G297" s="41"/>
      <c r="H297" s="41"/>
      <c r="I297" s="41"/>
      <c r="J297" s="41"/>
      <c r="K297" s="41"/>
      <c r="L297" s="41"/>
      <c r="M297" s="41"/>
      <c r="N297" s="41"/>
      <c r="O297" s="41"/>
      <c r="P297" s="41"/>
      <c r="Q297" s="41"/>
      <c r="R297" s="41"/>
      <c r="S297" s="41"/>
      <c r="T297" s="41"/>
      <c r="U297" s="41"/>
      <c r="V297" s="41"/>
      <c r="W297" s="41"/>
      <c r="X297" s="41"/>
      <c r="Y297" s="41"/>
      <c r="Z297" s="41"/>
    </row>
    <row r="298" customFormat="false" ht="14.25" hidden="false" customHeight="true" outlineLevel="0" collapsed="false">
      <c r="A298" s="38"/>
      <c r="B298" s="38"/>
      <c r="C298" s="39"/>
      <c r="D298" s="40"/>
      <c r="E298" s="40"/>
      <c r="F298" s="41"/>
      <c r="G298" s="41"/>
      <c r="H298" s="41"/>
      <c r="I298" s="41"/>
      <c r="J298" s="41"/>
      <c r="K298" s="41"/>
      <c r="L298" s="41"/>
      <c r="M298" s="41"/>
      <c r="N298" s="41"/>
      <c r="O298" s="41"/>
      <c r="P298" s="41"/>
      <c r="Q298" s="41"/>
      <c r="R298" s="41"/>
      <c r="S298" s="41"/>
      <c r="T298" s="41"/>
      <c r="U298" s="41"/>
      <c r="V298" s="41"/>
      <c r="W298" s="41"/>
      <c r="X298" s="41"/>
      <c r="Y298" s="41"/>
      <c r="Z298" s="41"/>
    </row>
    <row r="299" customFormat="false" ht="14.25" hidden="false" customHeight="true" outlineLevel="0" collapsed="false">
      <c r="A299" s="38"/>
      <c r="B299" s="38"/>
      <c r="C299" s="39"/>
      <c r="D299" s="40"/>
      <c r="E299" s="40"/>
      <c r="F299" s="41"/>
      <c r="G299" s="41"/>
      <c r="H299" s="41"/>
      <c r="I299" s="41"/>
      <c r="J299" s="41"/>
      <c r="K299" s="41"/>
      <c r="L299" s="41"/>
      <c r="M299" s="41"/>
      <c r="N299" s="41"/>
      <c r="O299" s="41"/>
      <c r="P299" s="41"/>
      <c r="Q299" s="41"/>
      <c r="R299" s="41"/>
      <c r="S299" s="41"/>
      <c r="T299" s="41"/>
      <c r="U299" s="41"/>
      <c r="V299" s="41"/>
      <c r="W299" s="41"/>
      <c r="X299" s="41"/>
      <c r="Y299" s="41"/>
      <c r="Z299" s="41"/>
    </row>
    <row r="300" customFormat="false" ht="14.25" hidden="false" customHeight="true" outlineLevel="0" collapsed="false">
      <c r="A300" s="38"/>
      <c r="B300" s="38"/>
      <c r="C300" s="39"/>
      <c r="D300" s="40"/>
      <c r="E300" s="40"/>
      <c r="F300" s="41"/>
      <c r="G300" s="41"/>
      <c r="H300" s="41"/>
      <c r="I300" s="41"/>
      <c r="J300" s="41"/>
      <c r="K300" s="41"/>
      <c r="L300" s="41"/>
      <c r="M300" s="41"/>
      <c r="N300" s="41"/>
      <c r="O300" s="41"/>
      <c r="P300" s="41"/>
      <c r="Q300" s="41"/>
      <c r="R300" s="41"/>
      <c r="S300" s="41"/>
      <c r="T300" s="41"/>
      <c r="U300" s="41"/>
      <c r="V300" s="41"/>
      <c r="W300" s="41"/>
      <c r="X300" s="41"/>
      <c r="Y300" s="41"/>
      <c r="Z300" s="41"/>
    </row>
    <row r="301" customFormat="false" ht="14.25" hidden="false" customHeight="true" outlineLevel="0" collapsed="false">
      <c r="A301" s="38"/>
      <c r="B301" s="38"/>
      <c r="C301" s="39"/>
      <c r="D301" s="40"/>
      <c r="E301" s="40"/>
      <c r="F301" s="41"/>
      <c r="G301" s="41"/>
      <c r="H301" s="41"/>
      <c r="I301" s="41"/>
      <c r="J301" s="41"/>
      <c r="K301" s="41"/>
      <c r="L301" s="41"/>
      <c r="M301" s="41"/>
      <c r="N301" s="41"/>
      <c r="O301" s="41"/>
      <c r="P301" s="41"/>
      <c r="Q301" s="41"/>
      <c r="R301" s="41"/>
      <c r="S301" s="41"/>
      <c r="T301" s="41"/>
      <c r="U301" s="41"/>
      <c r="V301" s="41"/>
      <c r="W301" s="41"/>
      <c r="X301" s="41"/>
      <c r="Y301" s="41"/>
      <c r="Z301" s="41"/>
    </row>
    <row r="302" customFormat="false" ht="14.25" hidden="false" customHeight="true" outlineLevel="0" collapsed="false">
      <c r="A302" s="38"/>
      <c r="B302" s="38"/>
      <c r="C302" s="39"/>
      <c r="D302" s="40"/>
      <c r="E302" s="40"/>
      <c r="F302" s="41"/>
      <c r="G302" s="41"/>
      <c r="H302" s="41"/>
      <c r="I302" s="41"/>
      <c r="J302" s="41"/>
      <c r="K302" s="41"/>
      <c r="L302" s="41"/>
      <c r="M302" s="41"/>
      <c r="N302" s="41"/>
      <c r="O302" s="41"/>
      <c r="P302" s="41"/>
      <c r="Q302" s="41"/>
      <c r="R302" s="41"/>
      <c r="S302" s="41"/>
      <c r="T302" s="41"/>
      <c r="U302" s="41"/>
      <c r="V302" s="41"/>
      <c r="W302" s="41"/>
      <c r="X302" s="41"/>
      <c r="Y302" s="41"/>
      <c r="Z302" s="41"/>
    </row>
    <row r="303" customFormat="false" ht="14.25" hidden="false" customHeight="true" outlineLevel="0" collapsed="false">
      <c r="A303" s="38"/>
      <c r="B303" s="38"/>
      <c r="C303" s="39"/>
      <c r="D303" s="40"/>
      <c r="E303" s="40"/>
      <c r="F303" s="41"/>
      <c r="G303" s="41"/>
      <c r="H303" s="41"/>
      <c r="I303" s="41"/>
      <c r="J303" s="41"/>
      <c r="K303" s="41"/>
      <c r="L303" s="41"/>
      <c r="M303" s="41"/>
      <c r="N303" s="41"/>
      <c r="O303" s="41"/>
      <c r="P303" s="41"/>
      <c r="Q303" s="41"/>
      <c r="R303" s="41"/>
      <c r="S303" s="41"/>
      <c r="T303" s="41"/>
      <c r="U303" s="41"/>
      <c r="V303" s="41"/>
      <c r="W303" s="41"/>
      <c r="X303" s="41"/>
      <c r="Y303" s="41"/>
      <c r="Z303" s="41"/>
    </row>
    <row r="304" customFormat="false" ht="14.25" hidden="false" customHeight="true" outlineLevel="0" collapsed="false">
      <c r="A304" s="38"/>
      <c r="B304" s="38"/>
      <c r="C304" s="39"/>
      <c r="D304" s="40"/>
      <c r="E304" s="40"/>
      <c r="F304" s="41"/>
      <c r="G304" s="41"/>
      <c r="H304" s="41"/>
      <c r="I304" s="41"/>
      <c r="J304" s="41"/>
      <c r="K304" s="41"/>
      <c r="L304" s="41"/>
      <c r="M304" s="41"/>
      <c r="N304" s="41"/>
      <c r="O304" s="41"/>
      <c r="P304" s="41"/>
      <c r="Q304" s="41"/>
      <c r="R304" s="41"/>
      <c r="S304" s="41"/>
      <c r="T304" s="41"/>
      <c r="U304" s="41"/>
      <c r="V304" s="41"/>
      <c r="W304" s="41"/>
      <c r="X304" s="41"/>
      <c r="Y304" s="41"/>
      <c r="Z304" s="41"/>
    </row>
    <row r="305" customFormat="false" ht="14.25" hidden="false" customHeight="true" outlineLevel="0" collapsed="false">
      <c r="A305" s="38"/>
      <c r="B305" s="38"/>
      <c r="C305" s="39"/>
      <c r="D305" s="40"/>
      <c r="E305" s="40"/>
      <c r="F305" s="41"/>
      <c r="G305" s="41"/>
      <c r="H305" s="41"/>
      <c r="I305" s="41"/>
      <c r="J305" s="41"/>
      <c r="K305" s="41"/>
      <c r="L305" s="41"/>
      <c r="M305" s="41"/>
      <c r="N305" s="41"/>
      <c r="O305" s="41"/>
      <c r="P305" s="41"/>
      <c r="Q305" s="41"/>
      <c r="R305" s="41"/>
      <c r="S305" s="41"/>
      <c r="T305" s="41"/>
      <c r="U305" s="41"/>
      <c r="V305" s="41"/>
      <c r="W305" s="41"/>
      <c r="X305" s="41"/>
      <c r="Y305" s="41"/>
      <c r="Z305" s="41"/>
    </row>
    <row r="306" customFormat="false" ht="14.25" hidden="false" customHeight="true" outlineLevel="0" collapsed="false">
      <c r="A306" s="38"/>
      <c r="B306" s="38"/>
      <c r="C306" s="39"/>
      <c r="D306" s="40"/>
      <c r="E306" s="40"/>
      <c r="F306" s="41"/>
      <c r="G306" s="41"/>
      <c r="H306" s="41"/>
      <c r="I306" s="41"/>
      <c r="J306" s="41"/>
      <c r="K306" s="41"/>
      <c r="L306" s="41"/>
      <c r="M306" s="41"/>
      <c r="N306" s="41"/>
      <c r="O306" s="41"/>
      <c r="P306" s="41"/>
      <c r="Q306" s="41"/>
      <c r="R306" s="41"/>
      <c r="S306" s="41"/>
      <c r="T306" s="41"/>
      <c r="U306" s="41"/>
      <c r="V306" s="41"/>
      <c r="W306" s="41"/>
      <c r="X306" s="41"/>
      <c r="Y306" s="41"/>
      <c r="Z306" s="41"/>
    </row>
    <row r="307" customFormat="false" ht="14.25" hidden="false" customHeight="true" outlineLevel="0" collapsed="false">
      <c r="A307" s="38"/>
      <c r="B307" s="38"/>
      <c r="C307" s="39"/>
      <c r="D307" s="40"/>
      <c r="E307" s="40"/>
      <c r="F307" s="41"/>
      <c r="G307" s="41"/>
      <c r="H307" s="41"/>
      <c r="I307" s="41"/>
      <c r="J307" s="41"/>
      <c r="K307" s="41"/>
      <c r="L307" s="41"/>
      <c r="M307" s="41"/>
      <c r="N307" s="41"/>
      <c r="O307" s="41"/>
      <c r="P307" s="41"/>
      <c r="Q307" s="41"/>
      <c r="R307" s="41"/>
      <c r="S307" s="41"/>
      <c r="T307" s="41"/>
      <c r="U307" s="41"/>
      <c r="V307" s="41"/>
      <c r="W307" s="41"/>
      <c r="X307" s="41"/>
      <c r="Y307" s="41"/>
      <c r="Z307" s="41"/>
    </row>
    <row r="308" customFormat="false" ht="14.25" hidden="false" customHeight="true" outlineLevel="0" collapsed="false">
      <c r="A308" s="38"/>
      <c r="B308" s="38"/>
      <c r="C308" s="39"/>
      <c r="D308" s="40"/>
      <c r="E308" s="40"/>
      <c r="F308" s="41"/>
      <c r="G308" s="41"/>
      <c r="H308" s="41"/>
      <c r="I308" s="41"/>
      <c r="J308" s="41"/>
      <c r="K308" s="41"/>
      <c r="L308" s="41"/>
      <c r="M308" s="41"/>
      <c r="N308" s="41"/>
      <c r="O308" s="41"/>
      <c r="P308" s="41"/>
      <c r="Q308" s="41"/>
      <c r="R308" s="41"/>
      <c r="S308" s="41"/>
      <c r="T308" s="41"/>
      <c r="U308" s="41"/>
      <c r="V308" s="41"/>
      <c r="W308" s="41"/>
      <c r="X308" s="41"/>
      <c r="Y308" s="41"/>
      <c r="Z308" s="41"/>
    </row>
    <row r="309" customFormat="false" ht="14.25" hidden="false" customHeight="true" outlineLevel="0" collapsed="false">
      <c r="A309" s="38"/>
      <c r="B309" s="38"/>
      <c r="C309" s="39"/>
      <c r="D309" s="40"/>
      <c r="E309" s="40"/>
      <c r="F309" s="41"/>
      <c r="G309" s="41"/>
      <c r="H309" s="41"/>
      <c r="I309" s="41"/>
      <c r="J309" s="41"/>
      <c r="K309" s="41"/>
      <c r="L309" s="41"/>
      <c r="M309" s="41"/>
      <c r="N309" s="41"/>
      <c r="O309" s="41"/>
      <c r="P309" s="41"/>
      <c r="Q309" s="41"/>
      <c r="R309" s="41"/>
      <c r="S309" s="41"/>
      <c r="T309" s="41"/>
      <c r="U309" s="41"/>
      <c r="V309" s="41"/>
      <c r="W309" s="41"/>
      <c r="X309" s="41"/>
      <c r="Y309" s="41"/>
      <c r="Z309" s="41"/>
    </row>
    <row r="310" customFormat="false" ht="14.25" hidden="false" customHeight="true" outlineLevel="0" collapsed="false">
      <c r="A310" s="38"/>
      <c r="B310" s="38"/>
      <c r="C310" s="39"/>
      <c r="D310" s="40"/>
      <c r="E310" s="40"/>
      <c r="F310" s="41"/>
      <c r="G310" s="41"/>
      <c r="H310" s="41"/>
      <c r="I310" s="41"/>
      <c r="J310" s="41"/>
      <c r="K310" s="41"/>
      <c r="L310" s="41"/>
      <c r="M310" s="41"/>
      <c r="N310" s="41"/>
      <c r="O310" s="41"/>
      <c r="P310" s="41"/>
      <c r="Q310" s="41"/>
      <c r="R310" s="41"/>
      <c r="S310" s="41"/>
      <c r="T310" s="41"/>
      <c r="U310" s="41"/>
      <c r="V310" s="41"/>
      <c r="W310" s="41"/>
      <c r="X310" s="41"/>
      <c r="Y310" s="41"/>
      <c r="Z310" s="41"/>
    </row>
    <row r="311" customFormat="false" ht="14.25" hidden="false" customHeight="true" outlineLevel="0" collapsed="false">
      <c r="A311" s="38"/>
      <c r="B311" s="38"/>
      <c r="C311" s="39"/>
      <c r="D311" s="40"/>
      <c r="E311" s="40"/>
      <c r="F311" s="41"/>
      <c r="G311" s="41"/>
      <c r="H311" s="41"/>
      <c r="I311" s="41"/>
      <c r="J311" s="41"/>
      <c r="K311" s="41"/>
      <c r="L311" s="41"/>
      <c r="M311" s="41"/>
      <c r="N311" s="41"/>
      <c r="O311" s="41"/>
      <c r="P311" s="41"/>
      <c r="Q311" s="41"/>
      <c r="R311" s="41"/>
      <c r="S311" s="41"/>
      <c r="T311" s="41"/>
      <c r="U311" s="41"/>
      <c r="V311" s="41"/>
      <c r="W311" s="41"/>
      <c r="X311" s="41"/>
      <c r="Y311" s="41"/>
      <c r="Z311" s="41"/>
    </row>
    <row r="312" customFormat="false" ht="14.25" hidden="false" customHeight="true" outlineLevel="0" collapsed="false">
      <c r="A312" s="38"/>
      <c r="B312" s="38"/>
      <c r="C312" s="39"/>
      <c r="D312" s="40"/>
      <c r="E312" s="40"/>
      <c r="F312" s="41"/>
      <c r="G312" s="41"/>
      <c r="H312" s="41"/>
      <c r="I312" s="41"/>
      <c r="J312" s="41"/>
      <c r="K312" s="41"/>
      <c r="L312" s="41"/>
      <c r="M312" s="41"/>
      <c r="N312" s="41"/>
      <c r="O312" s="41"/>
      <c r="P312" s="41"/>
      <c r="Q312" s="41"/>
      <c r="R312" s="41"/>
      <c r="S312" s="41"/>
      <c r="T312" s="41"/>
      <c r="U312" s="41"/>
      <c r="V312" s="41"/>
      <c r="W312" s="41"/>
      <c r="X312" s="41"/>
      <c r="Y312" s="41"/>
      <c r="Z312" s="41"/>
    </row>
    <row r="313" customFormat="false" ht="14.25" hidden="false" customHeight="true" outlineLevel="0" collapsed="false">
      <c r="A313" s="38"/>
      <c r="B313" s="38"/>
      <c r="C313" s="39"/>
      <c r="D313" s="40"/>
      <c r="E313" s="40"/>
      <c r="F313" s="41"/>
      <c r="G313" s="41"/>
      <c r="H313" s="41"/>
      <c r="I313" s="41"/>
      <c r="J313" s="41"/>
      <c r="K313" s="41"/>
      <c r="L313" s="41"/>
      <c r="M313" s="41"/>
      <c r="N313" s="41"/>
      <c r="O313" s="41"/>
      <c r="P313" s="41"/>
      <c r="Q313" s="41"/>
      <c r="R313" s="41"/>
      <c r="S313" s="41"/>
      <c r="T313" s="41"/>
      <c r="U313" s="41"/>
      <c r="V313" s="41"/>
      <c r="W313" s="41"/>
      <c r="X313" s="41"/>
      <c r="Y313" s="41"/>
      <c r="Z313" s="41"/>
    </row>
    <row r="314" customFormat="false" ht="14.25" hidden="false" customHeight="true" outlineLevel="0" collapsed="false">
      <c r="A314" s="38"/>
      <c r="B314" s="38"/>
      <c r="C314" s="39"/>
      <c r="D314" s="40"/>
      <c r="E314" s="40"/>
      <c r="F314" s="41"/>
      <c r="G314" s="41"/>
      <c r="H314" s="41"/>
      <c r="I314" s="41"/>
      <c r="J314" s="41"/>
      <c r="K314" s="41"/>
      <c r="L314" s="41"/>
      <c r="M314" s="41"/>
      <c r="N314" s="41"/>
      <c r="O314" s="41"/>
      <c r="P314" s="41"/>
      <c r="Q314" s="41"/>
      <c r="R314" s="41"/>
      <c r="S314" s="41"/>
      <c r="T314" s="41"/>
      <c r="U314" s="41"/>
      <c r="V314" s="41"/>
      <c r="W314" s="41"/>
      <c r="X314" s="41"/>
      <c r="Y314" s="41"/>
      <c r="Z314" s="41"/>
    </row>
    <row r="315" customFormat="false" ht="14.25" hidden="false" customHeight="true" outlineLevel="0" collapsed="false">
      <c r="A315" s="38"/>
      <c r="B315" s="38"/>
      <c r="C315" s="39"/>
      <c r="D315" s="40"/>
      <c r="E315" s="40"/>
      <c r="F315" s="41"/>
      <c r="G315" s="41"/>
      <c r="H315" s="41"/>
      <c r="I315" s="41"/>
      <c r="J315" s="41"/>
      <c r="K315" s="41"/>
      <c r="L315" s="41"/>
      <c r="M315" s="41"/>
      <c r="N315" s="41"/>
      <c r="O315" s="41"/>
      <c r="P315" s="41"/>
      <c r="Q315" s="41"/>
      <c r="R315" s="41"/>
      <c r="S315" s="41"/>
      <c r="T315" s="41"/>
      <c r="U315" s="41"/>
      <c r="V315" s="41"/>
      <c r="W315" s="41"/>
      <c r="X315" s="41"/>
      <c r="Y315" s="41"/>
      <c r="Z315" s="41"/>
    </row>
    <row r="316" customFormat="false" ht="14.25" hidden="false" customHeight="true" outlineLevel="0" collapsed="false">
      <c r="A316" s="38"/>
      <c r="B316" s="38"/>
      <c r="C316" s="39"/>
      <c r="D316" s="40"/>
      <c r="E316" s="40"/>
      <c r="F316" s="41"/>
      <c r="G316" s="41"/>
      <c r="H316" s="41"/>
      <c r="I316" s="41"/>
      <c r="J316" s="41"/>
      <c r="K316" s="41"/>
      <c r="L316" s="41"/>
      <c r="M316" s="41"/>
      <c r="N316" s="41"/>
      <c r="O316" s="41"/>
      <c r="P316" s="41"/>
      <c r="Q316" s="41"/>
      <c r="R316" s="41"/>
      <c r="S316" s="41"/>
      <c r="T316" s="41"/>
      <c r="U316" s="41"/>
      <c r="V316" s="41"/>
      <c r="W316" s="41"/>
      <c r="X316" s="41"/>
      <c r="Y316" s="41"/>
      <c r="Z316" s="41"/>
    </row>
    <row r="317" customFormat="false" ht="14.25" hidden="false" customHeight="true" outlineLevel="0" collapsed="false">
      <c r="A317" s="38"/>
      <c r="B317" s="38"/>
      <c r="C317" s="39"/>
      <c r="D317" s="40"/>
      <c r="E317" s="40"/>
      <c r="F317" s="41"/>
      <c r="G317" s="41"/>
      <c r="H317" s="41"/>
      <c r="I317" s="41"/>
      <c r="J317" s="41"/>
      <c r="K317" s="41"/>
      <c r="L317" s="41"/>
      <c r="M317" s="41"/>
      <c r="N317" s="41"/>
      <c r="O317" s="41"/>
      <c r="P317" s="41"/>
      <c r="Q317" s="41"/>
      <c r="R317" s="41"/>
      <c r="S317" s="41"/>
      <c r="T317" s="41"/>
      <c r="U317" s="41"/>
      <c r="V317" s="41"/>
      <c r="W317" s="41"/>
      <c r="X317" s="41"/>
      <c r="Y317" s="41"/>
      <c r="Z317" s="41"/>
    </row>
    <row r="318" customFormat="false" ht="14.25" hidden="false" customHeight="true" outlineLevel="0" collapsed="false">
      <c r="A318" s="38"/>
      <c r="B318" s="38"/>
      <c r="C318" s="39"/>
      <c r="D318" s="40"/>
      <c r="E318" s="40"/>
      <c r="F318" s="41"/>
      <c r="G318" s="41"/>
      <c r="H318" s="41"/>
      <c r="I318" s="41"/>
      <c r="J318" s="41"/>
      <c r="K318" s="41"/>
      <c r="L318" s="41"/>
      <c r="M318" s="41"/>
      <c r="N318" s="41"/>
      <c r="O318" s="41"/>
      <c r="P318" s="41"/>
      <c r="Q318" s="41"/>
      <c r="R318" s="41"/>
      <c r="S318" s="41"/>
      <c r="T318" s="41"/>
      <c r="U318" s="41"/>
      <c r="V318" s="41"/>
      <c r="W318" s="41"/>
      <c r="X318" s="41"/>
      <c r="Y318" s="41"/>
      <c r="Z318" s="41"/>
    </row>
    <row r="319" customFormat="false" ht="14.25" hidden="false" customHeight="true" outlineLevel="0" collapsed="false">
      <c r="A319" s="38"/>
      <c r="B319" s="38"/>
      <c r="C319" s="39"/>
      <c r="D319" s="40"/>
      <c r="E319" s="40"/>
      <c r="F319" s="41"/>
      <c r="G319" s="41"/>
      <c r="H319" s="41"/>
      <c r="I319" s="41"/>
      <c r="J319" s="41"/>
      <c r="K319" s="41"/>
      <c r="L319" s="41"/>
      <c r="M319" s="41"/>
      <c r="N319" s="41"/>
      <c r="O319" s="41"/>
      <c r="P319" s="41"/>
      <c r="Q319" s="41"/>
      <c r="R319" s="41"/>
      <c r="S319" s="41"/>
      <c r="T319" s="41"/>
      <c r="U319" s="41"/>
      <c r="V319" s="41"/>
      <c r="W319" s="41"/>
      <c r="X319" s="41"/>
      <c r="Y319" s="41"/>
      <c r="Z319" s="41"/>
    </row>
    <row r="320" customFormat="false" ht="14.25" hidden="false" customHeight="true" outlineLevel="0" collapsed="false">
      <c r="A320" s="38"/>
      <c r="B320" s="38"/>
      <c r="C320" s="39"/>
      <c r="D320" s="40"/>
      <c r="E320" s="40"/>
      <c r="F320" s="41"/>
      <c r="G320" s="41"/>
      <c r="H320" s="41"/>
      <c r="I320" s="41"/>
      <c r="J320" s="41"/>
      <c r="K320" s="41"/>
      <c r="L320" s="41"/>
      <c r="M320" s="41"/>
      <c r="N320" s="41"/>
      <c r="O320" s="41"/>
      <c r="P320" s="41"/>
      <c r="Q320" s="41"/>
      <c r="R320" s="41"/>
      <c r="S320" s="41"/>
      <c r="T320" s="41"/>
      <c r="U320" s="41"/>
      <c r="V320" s="41"/>
      <c r="W320" s="41"/>
      <c r="X320" s="41"/>
      <c r="Y320" s="41"/>
      <c r="Z320" s="41"/>
    </row>
    <row r="321" customFormat="false" ht="14.25" hidden="false" customHeight="true" outlineLevel="0" collapsed="false">
      <c r="A321" s="38"/>
      <c r="B321" s="38"/>
      <c r="C321" s="39"/>
      <c r="D321" s="40"/>
      <c r="E321" s="40"/>
      <c r="F321" s="41"/>
      <c r="G321" s="41"/>
      <c r="H321" s="41"/>
      <c r="I321" s="41"/>
      <c r="J321" s="41"/>
      <c r="K321" s="41"/>
      <c r="L321" s="41"/>
      <c r="M321" s="41"/>
      <c r="N321" s="41"/>
      <c r="O321" s="41"/>
      <c r="P321" s="41"/>
      <c r="Q321" s="41"/>
      <c r="R321" s="41"/>
      <c r="S321" s="41"/>
      <c r="T321" s="41"/>
      <c r="U321" s="41"/>
      <c r="V321" s="41"/>
      <c r="W321" s="41"/>
      <c r="X321" s="41"/>
      <c r="Y321" s="41"/>
      <c r="Z321" s="41"/>
    </row>
    <row r="322" customFormat="false" ht="14.25" hidden="false" customHeight="true" outlineLevel="0" collapsed="false">
      <c r="A322" s="38"/>
      <c r="B322" s="38"/>
      <c r="C322" s="39"/>
      <c r="D322" s="40"/>
      <c r="E322" s="40"/>
      <c r="F322" s="41"/>
      <c r="G322" s="41"/>
      <c r="H322" s="41"/>
      <c r="I322" s="41"/>
      <c r="J322" s="41"/>
      <c r="K322" s="41"/>
      <c r="L322" s="41"/>
      <c r="M322" s="41"/>
      <c r="N322" s="41"/>
      <c r="O322" s="41"/>
      <c r="P322" s="41"/>
      <c r="Q322" s="41"/>
      <c r="R322" s="41"/>
      <c r="S322" s="41"/>
      <c r="T322" s="41"/>
      <c r="U322" s="41"/>
      <c r="V322" s="41"/>
      <c r="W322" s="41"/>
      <c r="X322" s="41"/>
      <c r="Y322" s="41"/>
      <c r="Z322" s="41"/>
    </row>
    <row r="323" customFormat="false" ht="14.25" hidden="false" customHeight="true" outlineLevel="0" collapsed="false">
      <c r="A323" s="38"/>
      <c r="B323" s="38"/>
      <c r="C323" s="39"/>
      <c r="D323" s="40"/>
      <c r="E323" s="40"/>
      <c r="F323" s="41"/>
      <c r="G323" s="41"/>
      <c r="H323" s="41"/>
      <c r="I323" s="41"/>
      <c r="J323" s="41"/>
      <c r="K323" s="41"/>
      <c r="L323" s="41"/>
      <c r="M323" s="41"/>
      <c r="N323" s="41"/>
      <c r="O323" s="41"/>
      <c r="P323" s="41"/>
      <c r="Q323" s="41"/>
      <c r="R323" s="41"/>
      <c r="S323" s="41"/>
      <c r="T323" s="41"/>
      <c r="U323" s="41"/>
      <c r="V323" s="41"/>
      <c r="W323" s="41"/>
      <c r="X323" s="41"/>
      <c r="Y323" s="41"/>
      <c r="Z323" s="41"/>
    </row>
    <row r="324" customFormat="false" ht="14.25" hidden="false" customHeight="true" outlineLevel="0" collapsed="false">
      <c r="A324" s="38"/>
      <c r="B324" s="38"/>
      <c r="C324" s="39"/>
      <c r="D324" s="40"/>
      <c r="E324" s="40"/>
      <c r="F324" s="41"/>
      <c r="G324" s="41"/>
      <c r="H324" s="41"/>
      <c r="I324" s="41"/>
      <c r="J324" s="41"/>
      <c r="K324" s="41"/>
      <c r="L324" s="41"/>
      <c r="M324" s="41"/>
      <c r="N324" s="41"/>
      <c r="O324" s="41"/>
      <c r="P324" s="41"/>
      <c r="Q324" s="41"/>
      <c r="R324" s="41"/>
      <c r="S324" s="41"/>
      <c r="T324" s="41"/>
      <c r="U324" s="41"/>
      <c r="V324" s="41"/>
      <c r="W324" s="41"/>
      <c r="X324" s="41"/>
      <c r="Y324" s="41"/>
      <c r="Z324" s="41"/>
    </row>
    <row r="325" customFormat="false" ht="14.25" hidden="false" customHeight="true" outlineLevel="0" collapsed="false">
      <c r="A325" s="38"/>
      <c r="B325" s="38"/>
      <c r="C325" s="39"/>
      <c r="D325" s="40"/>
      <c r="E325" s="40"/>
      <c r="F325" s="41"/>
      <c r="G325" s="41"/>
      <c r="H325" s="41"/>
      <c r="I325" s="41"/>
      <c r="J325" s="41"/>
      <c r="K325" s="41"/>
      <c r="L325" s="41"/>
      <c r="M325" s="41"/>
      <c r="N325" s="41"/>
      <c r="O325" s="41"/>
      <c r="P325" s="41"/>
      <c r="Q325" s="41"/>
      <c r="R325" s="41"/>
      <c r="S325" s="41"/>
      <c r="T325" s="41"/>
      <c r="U325" s="41"/>
      <c r="V325" s="41"/>
      <c r="W325" s="41"/>
      <c r="X325" s="41"/>
      <c r="Y325" s="41"/>
      <c r="Z325" s="41"/>
    </row>
    <row r="326" customFormat="false" ht="14.25" hidden="false" customHeight="true" outlineLevel="0" collapsed="false">
      <c r="A326" s="38"/>
      <c r="B326" s="38"/>
      <c r="C326" s="39"/>
      <c r="D326" s="40"/>
      <c r="E326" s="40"/>
      <c r="F326" s="41"/>
      <c r="G326" s="41"/>
      <c r="H326" s="41"/>
      <c r="I326" s="41"/>
      <c r="J326" s="41"/>
      <c r="K326" s="41"/>
      <c r="L326" s="41"/>
      <c r="M326" s="41"/>
      <c r="N326" s="41"/>
      <c r="O326" s="41"/>
      <c r="P326" s="41"/>
      <c r="Q326" s="41"/>
      <c r="R326" s="41"/>
      <c r="S326" s="41"/>
      <c r="T326" s="41"/>
      <c r="U326" s="41"/>
      <c r="V326" s="41"/>
      <c r="W326" s="41"/>
      <c r="X326" s="41"/>
      <c r="Y326" s="41"/>
      <c r="Z326" s="41"/>
    </row>
    <row r="327" customFormat="false" ht="14.25" hidden="false" customHeight="true" outlineLevel="0" collapsed="false">
      <c r="A327" s="38"/>
      <c r="B327" s="38"/>
      <c r="C327" s="39"/>
      <c r="D327" s="40"/>
      <c r="E327" s="40"/>
      <c r="F327" s="41"/>
      <c r="G327" s="41"/>
      <c r="H327" s="41"/>
      <c r="I327" s="41"/>
      <c r="J327" s="41"/>
      <c r="K327" s="41"/>
      <c r="L327" s="41"/>
      <c r="M327" s="41"/>
      <c r="N327" s="41"/>
      <c r="O327" s="41"/>
      <c r="P327" s="41"/>
      <c r="Q327" s="41"/>
      <c r="R327" s="41"/>
      <c r="S327" s="41"/>
      <c r="T327" s="41"/>
      <c r="U327" s="41"/>
      <c r="V327" s="41"/>
      <c r="W327" s="41"/>
      <c r="X327" s="41"/>
      <c r="Y327" s="41"/>
      <c r="Z327" s="41"/>
    </row>
    <row r="328" customFormat="false" ht="14.25" hidden="false" customHeight="true" outlineLevel="0" collapsed="false">
      <c r="A328" s="38"/>
      <c r="B328" s="38"/>
      <c r="C328" s="39"/>
      <c r="D328" s="40"/>
      <c r="E328" s="40"/>
      <c r="F328" s="41"/>
      <c r="G328" s="41"/>
      <c r="H328" s="41"/>
      <c r="I328" s="41"/>
      <c r="J328" s="41"/>
      <c r="K328" s="41"/>
      <c r="L328" s="41"/>
      <c r="M328" s="41"/>
      <c r="N328" s="41"/>
      <c r="O328" s="41"/>
      <c r="P328" s="41"/>
      <c r="Q328" s="41"/>
      <c r="R328" s="41"/>
      <c r="S328" s="41"/>
      <c r="T328" s="41"/>
      <c r="U328" s="41"/>
      <c r="V328" s="41"/>
      <c r="W328" s="41"/>
      <c r="X328" s="41"/>
      <c r="Y328" s="41"/>
      <c r="Z328" s="41"/>
    </row>
    <row r="329" customFormat="false" ht="14.25" hidden="false" customHeight="true" outlineLevel="0" collapsed="false">
      <c r="A329" s="38"/>
      <c r="B329" s="38"/>
      <c r="C329" s="39"/>
      <c r="D329" s="40"/>
      <c r="E329" s="40"/>
      <c r="F329" s="41"/>
      <c r="G329" s="41"/>
      <c r="H329" s="41"/>
      <c r="I329" s="41"/>
      <c r="J329" s="41"/>
      <c r="K329" s="41"/>
      <c r="L329" s="41"/>
      <c r="M329" s="41"/>
      <c r="N329" s="41"/>
      <c r="O329" s="41"/>
      <c r="P329" s="41"/>
      <c r="Q329" s="41"/>
      <c r="R329" s="41"/>
      <c r="S329" s="41"/>
      <c r="T329" s="41"/>
      <c r="U329" s="41"/>
      <c r="V329" s="41"/>
      <c r="W329" s="41"/>
      <c r="X329" s="41"/>
      <c r="Y329" s="41"/>
      <c r="Z329" s="41"/>
    </row>
    <row r="330" customFormat="false" ht="14.25" hidden="false" customHeight="true" outlineLevel="0" collapsed="false">
      <c r="A330" s="38"/>
      <c r="B330" s="38"/>
      <c r="C330" s="39"/>
      <c r="D330" s="40"/>
      <c r="E330" s="40"/>
      <c r="F330" s="41"/>
      <c r="G330" s="41"/>
      <c r="H330" s="41"/>
      <c r="I330" s="41"/>
      <c r="J330" s="41"/>
      <c r="K330" s="41"/>
      <c r="L330" s="41"/>
      <c r="M330" s="41"/>
      <c r="N330" s="41"/>
      <c r="O330" s="41"/>
      <c r="P330" s="41"/>
      <c r="Q330" s="41"/>
      <c r="R330" s="41"/>
      <c r="S330" s="41"/>
      <c r="T330" s="41"/>
      <c r="U330" s="41"/>
      <c r="V330" s="41"/>
      <c r="W330" s="41"/>
      <c r="X330" s="41"/>
      <c r="Y330" s="41"/>
      <c r="Z330" s="41"/>
    </row>
    <row r="331" customFormat="false" ht="14.25" hidden="false" customHeight="true" outlineLevel="0" collapsed="false">
      <c r="A331" s="38"/>
      <c r="B331" s="38"/>
      <c r="C331" s="39"/>
      <c r="D331" s="40"/>
      <c r="E331" s="40"/>
      <c r="F331" s="41"/>
      <c r="G331" s="41"/>
      <c r="H331" s="41"/>
      <c r="I331" s="41"/>
      <c r="J331" s="41"/>
      <c r="K331" s="41"/>
      <c r="L331" s="41"/>
      <c r="M331" s="41"/>
      <c r="N331" s="41"/>
      <c r="O331" s="41"/>
      <c r="P331" s="41"/>
      <c r="Q331" s="41"/>
      <c r="R331" s="41"/>
      <c r="S331" s="41"/>
      <c r="T331" s="41"/>
      <c r="U331" s="41"/>
      <c r="V331" s="41"/>
      <c r="W331" s="41"/>
      <c r="X331" s="41"/>
      <c r="Y331" s="41"/>
      <c r="Z331" s="41"/>
    </row>
    <row r="332" customFormat="false" ht="14.25" hidden="false" customHeight="true" outlineLevel="0" collapsed="false">
      <c r="A332" s="38"/>
      <c r="B332" s="38"/>
      <c r="C332" s="39"/>
      <c r="D332" s="40"/>
      <c r="E332" s="40"/>
      <c r="F332" s="41"/>
      <c r="G332" s="41"/>
      <c r="H332" s="41"/>
      <c r="I332" s="41"/>
      <c r="J332" s="41"/>
      <c r="K332" s="41"/>
      <c r="L332" s="41"/>
      <c r="M332" s="41"/>
      <c r="N332" s="41"/>
      <c r="O332" s="41"/>
      <c r="P332" s="41"/>
      <c r="Q332" s="41"/>
      <c r="R332" s="41"/>
      <c r="S332" s="41"/>
      <c r="T332" s="41"/>
      <c r="U332" s="41"/>
      <c r="V332" s="41"/>
      <c r="W332" s="41"/>
      <c r="X332" s="41"/>
      <c r="Y332" s="41"/>
      <c r="Z332" s="41"/>
    </row>
    <row r="333" customFormat="false" ht="14.25" hidden="false" customHeight="true" outlineLevel="0" collapsed="false">
      <c r="A333" s="38"/>
      <c r="B333" s="38"/>
      <c r="C333" s="39"/>
      <c r="D333" s="40"/>
      <c r="E333" s="40"/>
      <c r="F333" s="41"/>
      <c r="G333" s="41"/>
      <c r="H333" s="41"/>
      <c r="I333" s="41"/>
      <c r="J333" s="41"/>
      <c r="K333" s="41"/>
      <c r="L333" s="41"/>
      <c r="M333" s="41"/>
      <c r="N333" s="41"/>
      <c r="O333" s="41"/>
      <c r="P333" s="41"/>
      <c r="Q333" s="41"/>
      <c r="R333" s="41"/>
      <c r="S333" s="41"/>
      <c r="T333" s="41"/>
      <c r="U333" s="41"/>
      <c r="V333" s="41"/>
      <c r="W333" s="41"/>
      <c r="X333" s="41"/>
      <c r="Y333" s="41"/>
      <c r="Z333" s="41"/>
    </row>
    <row r="334" customFormat="false" ht="14.25" hidden="false" customHeight="true" outlineLevel="0" collapsed="false">
      <c r="A334" s="38"/>
      <c r="B334" s="38"/>
      <c r="C334" s="39"/>
      <c r="D334" s="40"/>
      <c r="E334" s="40"/>
      <c r="F334" s="41"/>
      <c r="G334" s="41"/>
      <c r="H334" s="41"/>
      <c r="I334" s="41"/>
      <c r="J334" s="41"/>
      <c r="K334" s="41"/>
      <c r="L334" s="41"/>
      <c r="M334" s="41"/>
      <c r="N334" s="41"/>
      <c r="O334" s="41"/>
      <c r="P334" s="41"/>
      <c r="Q334" s="41"/>
      <c r="R334" s="41"/>
      <c r="S334" s="41"/>
      <c r="T334" s="41"/>
      <c r="U334" s="41"/>
      <c r="V334" s="41"/>
      <c r="W334" s="41"/>
      <c r="X334" s="41"/>
      <c r="Y334" s="41"/>
      <c r="Z334" s="41"/>
    </row>
    <row r="335" customFormat="false" ht="14.25" hidden="false" customHeight="true" outlineLevel="0" collapsed="false">
      <c r="A335" s="38"/>
      <c r="B335" s="38"/>
      <c r="C335" s="39"/>
      <c r="D335" s="40"/>
      <c r="E335" s="40"/>
      <c r="F335" s="41"/>
      <c r="G335" s="41"/>
      <c r="H335" s="41"/>
      <c r="I335" s="41"/>
      <c r="J335" s="41"/>
      <c r="K335" s="41"/>
      <c r="L335" s="41"/>
      <c r="M335" s="41"/>
      <c r="N335" s="41"/>
      <c r="O335" s="41"/>
      <c r="P335" s="41"/>
      <c r="Q335" s="41"/>
      <c r="R335" s="41"/>
      <c r="S335" s="41"/>
      <c r="T335" s="41"/>
      <c r="U335" s="41"/>
      <c r="V335" s="41"/>
      <c r="W335" s="41"/>
      <c r="X335" s="41"/>
      <c r="Y335" s="41"/>
      <c r="Z335" s="41"/>
    </row>
    <row r="336" customFormat="false" ht="14.25" hidden="false" customHeight="true" outlineLevel="0" collapsed="false">
      <c r="A336" s="38"/>
      <c r="B336" s="38"/>
      <c r="C336" s="39"/>
      <c r="D336" s="40"/>
      <c r="E336" s="40"/>
      <c r="F336" s="41"/>
      <c r="G336" s="41"/>
      <c r="H336" s="41"/>
      <c r="I336" s="41"/>
      <c r="J336" s="41"/>
      <c r="K336" s="41"/>
      <c r="L336" s="41"/>
      <c r="M336" s="41"/>
      <c r="N336" s="41"/>
      <c r="O336" s="41"/>
      <c r="P336" s="41"/>
      <c r="Q336" s="41"/>
      <c r="R336" s="41"/>
      <c r="S336" s="41"/>
      <c r="T336" s="41"/>
      <c r="U336" s="41"/>
      <c r="V336" s="41"/>
      <c r="W336" s="41"/>
      <c r="X336" s="41"/>
      <c r="Y336" s="41"/>
      <c r="Z336" s="41"/>
    </row>
    <row r="337" customFormat="false" ht="14.25" hidden="false" customHeight="true" outlineLevel="0" collapsed="false">
      <c r="A337" s="38"/>
      <c r="B337" s="38"/>
      <c r="C337" s="39"/>
      <c r="D337" s="40"/>
      <c r="E337" s="40"/>
      <c r="F337" s="41"/>
      <c r="G337" s="41"/>
      <c r="H337" s="41"/>
      <c r="I337" s="41"/>
      <c r="J337" s="41"/>
      <c r="K337" s="41"/>
      <c r="L337" s="41"/>
      <c r="M337" s="41"/>
      <c r="N337" s="41"/>
      <c r="O337" s="41"/>
      <c r="P337" s="41"/>
      <c r="Q337" s="41"/>
      <c r="R337" s="41"/>
      <c r="S337" s="41"/>
      <c r="T337" s="41"/>
      <c r="U337" s="41"/>
      <c r="V337" s="41"/>
      <c r="W337" s="41"/>
      <c r="X337" s="41"/>
      <c r="Y337" s="41"/>
      <c r="Z337" s="41"/>
    </row>
    <row r="338" customFormat="false" ht="14.25" hidden="false" customHeight="true" outlineLevel="0" collapsed="false">
      <c r="A338" s="38"/>
      <c r="B338" s="38"/>
      <c r="C338" s="39"/>
      <c r="D338" s="40"/>
      <c r="E338" s="40"/>
      <c r="F338" s="41"/>
      <c r="G338" s="41"/>
      <c r="H338" s="41"/>
      <c r="I338" s="41"/>
      <c r="J338" s="41"/>
      <c r="K338" s="41"/>
      <c r="L338" s="41"/>
      <c r="M338" s="41"/>
      <c r="N338" s="41"/>
      <c r="O338" s="41"/>
      <c r="P338" s="41"/>
      <c r="Q338" s="41"/>
      <c r="R338" s="41"/>
      <c r="S338" s="41"/>
      <c r="T338" s="41"/>
      <c r="U338" s="41"/>
      <c r="V338" s="41"/>
      <c r="W338" s="41"/>
      <c r="X338" s="41"/>
      <c r="Y338" s="41"/>
      <c r="Z338" s="41"/>
    </row>
    <row r="339" customFormat="false" ht="14.25" hidden="false" customHeight="true" outlineLevel="0" collapsed="false">
      <c r="A339" s="38"/>
      <c r="B339" s="38"/>
      <c r="C339" s="39"/>
      <c r="D339" s="40"/>
      <c r="E339" s="40"/>
      <c r="F339" s="41"/>
      <c r="G339" s="41"/>
      <c r="H339" s="41"/>
      <c r="I339" s="41"/>
      <c r="J339" s="41"/>
      <c r="K339" s="41"/>
      <c r="L339" s="41"/>
      <c r="M339" s="41"/>
      <c r="N339" s="41"/>
      <c r="O339" s="41"/>
      <c r="P339" s="41"/>
      <c r="Q339" s="41"/>
      <c r="R339" s="41"/>
      <c r="S339" s="41"/>
      <c r="T339" s="41"/>
      <c r="U339" s="41"/>
      <c r="V339" s="41"/>
      <c r="W339" s="41"/>
      <c r="X339" s="41"/>
      <c r="Y339" s="41"/>
      <c r="Z339" s="41"/>
    </row>
    <row r="340" customFormat="false" ht="14.25" hidden="false" customHeight="true" outlineLevel="0" collapsed="false">
      <c r="A340" s="38"/>
      <c r="B340" s="38"/>
      <c r="C340" s="39"/>
      <c r="D340" s="40"/>
      <c r="E340" s="40"/>
      <c r="F340" s="41"/>
      <c r="G340" s="41"/>
      <c r="H340" s="41"/>
      <c r="I340" s="41"/>
      <c r="J340" s="41"/>
      <c r="K340" s="41"/>
      <c r="L340" s="41"/>
      <c r="M340" s="41"/>
      <c r="N340" s="41"/>
      <c r="O340" s="41"/>
      <c r="P340" s="41"/>
      <c r="Q340" s="41"/>
      <c r="R340" s="41"/>
      <c r="S340" s="41"/>
      <c r="T340" s="41"/>
      <c r="U340" s="41"/>
      <c r="V340" s="41"/>
      <c r="W340" s="41"/>
      <c r="X340" s="41"/>
      <c r="Y340" s="41"/>
      <c r="Z340" s="41"/>
    </row>
    <row r="341" customFormat="false" ht="14.25" hidden="false" customHeight="true" outlineLevel="0" collapsed="false">
      <c r="A341" s="38"/>
      <c r="B341" s="38"/>
      <c r="C341" s="39"/>
      <c r="D341" s="40"/>
      <c r="E341" s="40"/>
      <c r="F341" s="41"/>
      <c r="G341" s="41"/>
      <c r="H341" s="41"/>
      <c r="I341" s="41"/>
      <c r="J341" s="41"/>
      <c r="K341" s="41"/>
      <c r="L341" s="41"/>
      <c r="M341" s="41"/>
      <c r="N341" s="41"/>
      <c r="O341" s="41"/>
      <c r="P341" s="41"/>
      <c r="Q341" s="41"/>
      <c r="R341" s="41"/>
      <c r="S341" s="41"/>
      <c r="T341" s="41"/>
      <c r="U341" s="41"/>
      <c r="V341" s="41"/>
      <c r="W341" s="41"/>
      <c r="X341" s="41"/>
      <c r="Y341" s="41"/>
      <c r="Z341" s="41"/>
    </row>
    <row r="342" customFormat="false" ht="14.25" hidden="false" customHeight="true" outlineLevel="0" collapsed="false">
      <c r="A342" s="38"/>
      <c r="B342" s="38"/>
      <c r="C342" s="39"/>
      <c r="D342" s="40"/>
      <c r="E342" s="40"/>
      <c r="F342" s="41"/>
      <c r="G342" s="41"/>
      <c r="H342" s="41"/>
      <c r="I342" s="41"/>
      <c r="J342" s="41"/>
      <c r="K342" s="41"/>
      <c r="L342" s="41"/>
      <c r="M342" s="41"/>
      <c r="N342" s="41"/>
      <c r="O342" s="41"/>
      <c r="P342" s="41"/>
      <c r="Q342" s="41"/>
      <c r="R342" s="41"/>
      <c r="S342" s="41"/>
      <c r="T342" s="41"/>
      <c r="U342" s="41"/>
      <c r="V342" s="41"/>
      <c r="W342" s="41"/>
      <c r="X342" s="41"/>
      <c r="Y342" s="41"/>
      <c r="Z342" s="41"/>
    </row>
    <row r="343" customFormat="false" ht="14.25" hidden="false" customHeight="true" outlineLevel="0" collapsed="false">
      <c r="A343" s="38"/>
      <c r="B343" s="38"/>
      <c r="C343" s="39"/>
      <c r="D343" s="40"/>
      <c r="E343" s="40"/>
      <c r="F343" s="41"/>
      <c r="G343" s="41"/>
      <c r="H343" s="41"/>
      <c r="I343" s="41"/>
      <c r="J343" s="41"/>
      <c r="K343" s="41"/>
      <c r="L343" s="41"/>
      <c r="M343" s="41"/>
      <c r="N343" s="41"/>
      <c r="O343" s="41"/>
      <c r="P343" s="41"/>
      <c r="Q343" s="41"/>
      <c r="R343" s="41"/>
      <c r="S343" s="41"/>
      <c r="T343" s="41"/>
      <c r="U343" s="41"/>
      <c r="V343" s="41"/>
      <c r="W343" s="41"/>
      <c r="X343" s="41"/>
      <c r="Y343" s="41"/>
      <c r="Z343" s="41"/>
    </row>
    <row r="344" customFormat="false" ht="14.25" hidden="false" customHeight="true" outlineLevel="0" collapsed="false">
      <c r="A344" s="38"/>
      <c r="B344" s="38"/>
      <c r="C344" s="39"/>
      <c r="D344" s="40"/>
      <c r="E344" s="40"/>
      <c r="F344" s="41"/>
      <c r="G344" s="41"/>
      <c r="H344" s="41"/>
      <c r="I344" s="41"/>
      <c r="J344" s="41"/>
      <c r="K344" s="41"/>
      <c r="L344" s="41"/>
      <c r="M344" s="41"/>
      <c r="N344" s="41"/>
      <c r="O344" s="41"/>
      <c r="P344" s="41"/>
      <c r="Q344" s="41"/>
      <c r="R344" s="41"/>
      <c r="S344" s="41"/>
      <c r="T344" s="41"/>
      <c r="U344" s="41"/>
      <c r="V344" s="41"/>
      <c r="W344" s="41"/>
      <c r="X344" s="41"/>
      <c r="Y344" s="41"/>
      <c r="Z344" s="41"/>
    </row>
    <row r="345" customFormat="false" ht="14.25" hidden="false" customHeight="true" outlineLevel="0" collapsed="false">
      <c r="A345" s="38"/>
      <c r="B345" s="38"/>
      <c r="C345" s="39"/>
      <c r="D345" s="40"/>
      <c r="E345" s="40"/>
      <c r="F345" s="41"/>
      <c r="G345" s="41"/>
      <c r="H345" s="41"/>
      <c r="I345" s="41"/>
      <c r="J345" s="41"/>
      <c r="K345" s="41"/>
      <c r="L345" s="41"/>
      <c r="M345" s="41"/>
      <c r="N345" s="41"/>
      <c r="O345" s="41"/>
      <c r="P345" s="41"/>
      <c r="Q345" s="41"/>
      <c r="R345" s="41"/>
      <c r="S345" s="41"/>
      <c r="T345" s="41"/>
      <c r="U345" s="41"/>
      <c r="V345" s="41"/>
      <c r="W345" s="41"/>
      <c r="X345" s="41"/>
      <c r="Y345" s="41"/>
      <c r="Z345" s="41"/>
    </row>
    <row r="346" customFormat="false" ht="14.25" hidden="false" customHeight="true" outlineLevel="0" collapsed="false">
      <c r="A346" s="38"/>
      <c r="B346" s="38"/>
      <c r="C346" s="39"/>
      <c r="D346" s="40"/>
      <c r="E346" s="40"/>
      <c r="F346" s="41"/>
      <c r="G346" s="41"/>
      <c r="H346" s="41"/>
      <c r="I346" s="41"/>
      <c r="J346" s="41"/>
      <c r="K346" s="41"/>
      <c r="L346" s="41"/>
      <c r="M346" s="41"/>
      <c r="N346" s="41"/>
      <c r="O346" s="41"/>
      <c r="P346" s="41"/>
      <c r="Q346" s="41"/>
      <c r="R346" s="41"/>
      <c r="S346" s="41"/>
      <c r="T346" s="41"/>
      <c r="U346" s="41"/>
      <c r="V346" s="41"/>
      <c r="W346" s="41"/>
      <c r="X346" s="41"/>
      <c r="Y346" s="41"/>
      <c r="Z346" s="41"/>
    </row>
    <row r="347" customFormat="false" ht="14.25" hidden="false" customHeight="true" outlineLevel="0" collapsed="false">
      <c r="A347" s="38"/>
      <c r="B347" s="38"/>
      <c r="C347" s="39"/>
      <c r="D347" s="40"/>
      <c r="E347" s="40"/>
      <c r="F347" s="41"/>
      <c r="G347" s="41"/>
      <c r="H347" s="41"/>
      <c r="I347" s="41"/>
      <c r="J347" s="41"/>
      <c r="K347" s="41"/>
      <c r="L347" s="41"/>
      <c r="M347" s="41"/>
      <c r="N347" s="41"/>
      <c r="O347" s="41"/>
      <c r="P347" s="41"/>
      <c r="Q347" s="41"/>
      <c r="R347" s="41"/>
      <c r="S347" s="41"/>
      <c r="T347" s="41"/>
      <c r="U347" s="41"/>
      <c r="V347" s="41"/>
      <c r="W347" s="41"/>
      <c r="X347" s="41"/>
      <c r="Y347" s="41"/>
      <c r="Z347" s="41"/>
    </row>
    <row r="348" customFormat="false" ht="14.25" hidden="false" customHeight="true" outlineLevel="0" collapsed="false">
      <c r="A348" s="38"/>
      <c r="B348" s="38"/>
      <c r="C348" s="39"/>
      <c r="D348" s="40"/>
      <c r="E348" s="40"/>
      <c r="F348" s="41"/>
      <c r="G348" s="41"/>
      <c r="H348" s="41"/>
      <c r="I348" s="41"/>
      <c r="J348" s="41"/>
      <c r="K348" s="41"/>
      <c r="L348" s="41"/>
      <c r="M348" s="41"/>
      <c r="N348" s="41"/>
      <c r="O348" s="41"/>
      <c r="P348" s="41"/>
      <c r="Q348" s="41"/>
      <c r="R348" s="41"/>
      <c r="S348" s="41"/>
      <c r="T348" s="41"/>
      <c r="U348" s="41"/>
      <c r="V348" s="41"/>
      <c r="W348" s="41"/>
      <c r="X348" s="41"/>
      <c r="Y348" s="41"/>
      <c r="Z348" s="41"/>
    </row>
    <row r="349" customFormat="false" ht="14.25" hidden="false" customHeight="true" outlineLevel="0" collapsed="false">
      <c r="A349" s="38"/>
      <c r="B349" s="38"/>
      <c r="C349" s="39"/>
      <c r="D349" s="40"/>
      <c r="E349" s="40"/>
      <c r="F349" s="41"/>
      <c r="G349" s="41"/>
      <c r="H349" s="41"/>
      <c r="I349" s="41"/>
      <c r="J349" s="41"/>
      <c r="K349" s="41"/>
      <c r="L349" s="41"/>
      <c r="M349" s="41"/>
      <c r="N349" s="41"/>
      <c r="O349" s="41"/>
      <c r="P349" s="41"/>
      <c r="Q349" s="41"/>
      <c r="R349" s="41"/>
      <c r="S349" s="41"/>
      <c r="T349" s="41"/>
      <c r="U349" s="41"/>
      <c r="V349" s="41"/>
      <c r="W349" s="41"/>
      <c r="X349" s="41"/>
      <c r="Y349" s="41"/>
      <c r="Z349" s="41"/>
    </row>
    <row r="350" customFormat="false" ht="14.25" hidden="false" customHeight="true" outlineLevel="0" collapsed="false">
      <c r="A350" s="38"/>
      <c r="B350" s="38"/>
      <c r="C350" s="39"/>
      <c r="D350" s="40"/>
      <c r="E350" s="40"/>
      <c r="F350" s="41"/>
      <c r="G350" s="41"/>
      <c r="H350" s="41"/>
      <c r="I350" s="41"/>
      <c r="J350" s="41"/>
      <c r="K350" s="41"/>
      <c r="L350" s="41"/>
      <c r="M350" s="41"/>
      <c r="N350" s="41"/>
      <c r="O350" s="41"/>
      <c r="P350" s="41"/>
      <c r="Q350" s="41"/>
      <c r="R350" s="41"/>
      <c r="S350" s="41"/>
      <c r="T350" s="41"/>
      <c r="U350" s="41"/>
      <c r="V350" s="41"/>
      <c r="W350" s="41"/>
      <c r="X350" s="41"/>
      <c r="Y350" s="41"/>
      <c r="Z350" s="41"/>
    </row>
    <row r="351" customFormat="false" ht="14.25" hidden="false" customHeight="true" outlineLevel="0" collapsed="false">
      <c r="A351" s="38"/>
      <c r="B351" s="38"/>
      <c r="C351" s="39"/>
      <c r="D351" s="40"/>
      <c r="E351" s="40"/>
      <c r="F351" s="41"/>
      <c r="G351" s="41"/>
      <c r="H351" s="41"/>
      <c r="I351" s="41"/>
      <c r="J351" s="41"/>
      <c r="K351" s="41"/>
      <c r="L351" s="41"/>
      <c r="M351" s="41"/>
      <c r="N351" s="41"/>
      <c r="O351" s="41"/>
      <c r="P351" s="41"/>
      <c r="Q351" s="41"/>
      <c r="R351" s="41"/>
      <c r="S351" s="41"/>
      <c r="T351" s="41"/>
      <c r="U351" s="41"/>
      <c r="V351" s="41"/>
      <c r="W351" s="41"/>
      <c r="X351" s="41"/>
      <c r="Y351" s="41"/>
      <c r="Z351" s="41"/>
    </row>
    <row r="352" customFormat="false" ht="14.25" hidden="false" customHeight="true" outlineLevel="0" collapsed="false">
      <c r="A352" s="38"/>
      <c r="B352" s="38"/>
      <c r="C352" s="39"/>
      <c r="D352" s="40"/>
      <c r="E352" s="40"/>
      <c r="F352" s="41"/>
      <c r="G352" s="41"/>
      <c r="H352" s="41"/>
      <c r="I352" s="41"/>
      <c r="J352" s="41"/>
      <c r="K352" s="41"/>
      <c r="L352" s="41"/>
      <c r="M352" s="41"/>
      <c r="N352" s="41"/>
      <c r="O352" s="41"/>
      <c r="P352" s="41"/>
      <c r="Q352" s="41"/>
      <c r="R352" s="41"/>
      <c r="S352" s="41"/>
      <c r="T352" s="41"/>
      <c r="U352" s="41"/>
      <c r="V352" s="41"/>
      <c r="W352" s="41"/>
      <c r="X352" s="41"/>
      <c r="Y352" s="41"/>
      <c r="Z352" s="41"/>
    </row>
    <row r="353" customFormat="false" ht="14.25" hidden="false" customHeight="true" outlineLevel="0" collapsed="false">
      <c r="A353" s="38"/>
      <c r="B353" s="38"/>
      <c r="C353" s="39"/>
      <c r="D353" s="40"/>
      <c r="E353" s="40"/>
      <c r="F353" s="41"/>
      <c r="G353" s="41"/>
      <c r="H353" s="41"/>
      <c r="I353" s="41"/>
      <c r="J353" s="41"/>
      <c r="K353" s="41"/>
      <c r="L353" s="41"/>
      <c r="M353" s="41"/>
      <c r="N353" s="41"/>
      <c r="O353" s="41"/>
      <c r="P353" s="41"/>
      <c r="Q353" s="41"/>
      <c r="R353" s="41"/>
      <c r="S353" s="41"/>
      <c r="T353" s="41"/>
      <c r="U353" s="41"/>
      <c r="V353" s="41"/>
      <c r="W353" s="41"/>
      <c r="X353" s="41"/>
      <c r="Y353" s="41"/>
      <c r="Z353" s="41"/>
    </row>
    <row r="354" customFormat="false" ht="14.25" hidden="false" customHeight="true" outlineLevel="0" collapsed="false">
      <c r="A354" s="38"/>
      <c r="B354" s="38"/>
      <c r="C354" s="39"/>
      <c r="D354" s="40"/>
      <c r="E354" s="40"/>
      <c r="F354" s="41"/>
      <c r="G354" s="41"/>
      <c r="H354" s="41"/>
      <c r="I354" s="41"/>
      <c r="J354" s="41"/>
      <c r="K354" s="41"/>
      <c r="L354" s="41"/>
      <c r="M354" s="41"/>
      <c r="N354" s="41"/>
      <c r="O354" s="41"/>
      <c r="P354" s="41"/>
      <c r="Q354" s="41"/>
      <c r="R354" s="41"/>
      <c r="S354" s="41"/>
      <c r="T354" s="41"/>
      <c r="U354" s="41"/>
      <c r="V354" s="41"/>
      <c r="W354" s="41"/>
      <c r="X354" s="41"/>
      <c r="Y354" s="41"/>
      <c r="Z354" s="41"/>
    </row>
    <row r="355" customFormat="false" ht="14.25" hidden="false" customHeight="true" outlineLevel="0" collapsed="false">
      <c r="A355" s="38"/>
      <c r="B355" s="38"/>
      <c r="C355" s="39"/>
      <c r="D355" s="40"/>
      <c r="E355" s="40"/>
      <c r="F355" s="41"/>
      <c r="G355" s="41"/>
      <c r="H355" s="41"/>
      <c r="I355" s="41"/>
      <c r="J355" s="41"/>
      <c r="K355" s="41"/>
      <c r="L355" s="41"/>
      <c r="M355" s="41"/>
      <c r="N355" s="41"/>
      <c r="O355" s="41"/>
      <c r="P355" s="41"/>
      <c r="Q355" s="41"/>
      <c r="R355" s="41"/>
      <c r="S355" s="41"/>
      <c r="T355" s="41"/>
      <c r="U355" s="41"/>
      <c r="V355" s="41"/>
      <c r="W355" s="41"/>
      <c r="X355" s="41"/>
      <c r="Y355" s="41"/>
      <c r="Z355" s="41"/>
    </row>
    <row r="356" customFormat="false" ht="14.25" hidden="false" customHeight="true" outlineLevel="0" collapsed="false">
      <c r="A356" s="38"/>
      <c r="B356" s="38"/>
      <c r="C356" s="39"/>
      <c r="D356" s="40"/>
      <c r="E356" s="40"/>
      <c r="F356" s="41"/>
      <c r="G356" s="41"/>
      <c r="H356" s="41"/>
      <c r="I356" s="41"/>
      <c r="J356" s="41"/>
      <c r="K356" s="41"/>
      <c r="L356" s="41"/>
      <c r="M356" s="41"/>
      <c r="N356" s="41"/>
      <c r="O356" s="41"/>
      <c r="P356" s="41"/>
      <c r="Q356" s="41"/>
      <c r="R356" s="41"/>
      <c r="S356" s="41"/>
      <c r="T356" s="41"/>
      <c r="U356" s="41"/>
      <c r="V356" s="41"/>
      <c r="W356" s="41"/>
      <c r="X356" s="41"/>
      <c r="Y356" s="41"/>
      <c r="Z356" s="41"/>
    </row>
    <row r="357" customFormat="false" ht="14.25" hidden="false" customHeight="true" outlineLevel="0" collapsed="false">
      <c r="A357" s="38"/>
      <c r="B357" s="38"/>
      <c r="C357" s="39"/>
      <c r="D357" s="40"/>
      <c r="E357" s="40"/>
      <c r="F357" s="41"/>
      <c r="G357" s="41"/>
      <c r="H357" s="41"/>
      <c r="I357" s="41"/>
      <c r="J357" s="41"/>
      <c r="K357" s="41"/>
      <c r="L357" s="41"/>
      <c r="M357" s="41"/>
      <c r="N357" s="41"/>
      <c r="O357" s="41"/>
      <c r="P357" s="41"/>
      <c r="Q357" s="41"/>
      <c r="R357" s="41"/>
      <c r="S357" s="41"/>
      <c r="T357" s="41"/>
      <c r="U357" s="41"/>
      <c r="V357" s="41"/>
      <c r="W357" s="41"/>
      <c r="X357" s="41"/>
      <c r="Y357" s="41"/>
      <c r="Z357" s="41"/>
    </row>
    <row r="358" customFormat="false" ht="14.25" hidden="false" customHeight="true" outlineLevel="0" collapsed="false">
      <c r="A358" s="38"/>
      <c r="B358" s="38"/>
      <c r="C358" s="39"/>
      <c r="D358" s="40"/>
      <c r="E358" s="40"/>
      <c r="F358" s="41"/>
      <c r="G358" s="41"/>
      <c r="H358" s="41"/>
      <c r="I358" s="41"/>
      <c r="J358" s="41"/>
      <c r="K358" s="41"/>
      <c r="L358" s="41"/>
      <c r="M358" s="41"/>
      <c r="N358" s="41"/>
      <c r="O358" s="41"/>
      <c r="P358" s="41"/>
      <c r="Q358" s="41"/>
      <c r="R358" s="41"/>
      <c r="S358" s="41"/>
      <c r="T358" s="41"/>
      <c r="U358" s="41"/>
      <c r="V358" s="41"/>
      <c r="W358" s="41"/>
      <c r="X358" s="41"/>
      <c r="Y358" s="41"/>
      <c r="Z358" s="41"/>
    </row>
    <row r="359" customFormat="false" ht="14.25" hidden="false" customHeight="true" outlineLevel="0" collapsed="false">
      <c r="A359" s="38"/>
      <c r="B359" s="38"/>
      <c r="C359" s="39"/>
      <c r="D359" s="40"/>
      <c r="E359" s="40"/>
      <c r="F359" s="41"/>
      <c r="G359" s="41"/>
      <c r="H359" s="41"/>
      <c r="I359" s="41"/>
      <c r="J359" s="41"/>
      <c r="K359" s="41"/>
      <c r="L359" s="41"/>
      <c r="M359" s="41"/>
      <c r="N359" s="41"/>
      <c r="O359" s="41"/>
      <c r="P359" s="41"/>
      <c r="Q359" s="41"/>
      <c r="R359" s="41"/>
      <c r="S359" s="41"/>
      <c r="T359" s="41"/>
      <c r="U359" s="41"/>
      <c r="V359" s="41"/>
      <c r="W359" s="41"/>
      <c r="X359" s="41"/>
      <c r="Y359" s="41"/>
      <c r="Z359" s="41"/>
    </row>
    <row r="360" customFormat="false" ht="14.25" hidden="false" customHeight="true" outlineLevel="0" collapsed="false">
      <c r="A360" s="38"/>
      <c r="B360" s="38"/>
      <c r="C360" s="39"/>
      <c r="D360" s="40"/>
      <c r="E360" s="40"/>
      <c r="F360" s="41"/>
      <c r="G360" s="41"/>
      <c r="H360" s="41"/>
      <c r="I360" s="41"/>
      <c r="J360" s="41"/>
      <c r="K360" s="41"/>
      <c r="L360" s="41"/>
      <c r="M360" s="41"/>
      <c r="N360" s="41"/>
      <c r="O360" s="41"/>
      <c r="P360" s="41"/>
      <c r="Q360" s="41"/>
      <c r="R360" s="41"/>
      <c r="S360" s="41"/>
      <c r="T360" s="41"/>
      <c r="U360" s="41"/>
      <c r="V360" s="41"/>
      <c r="W360" s="41"/>
      <c r="X360" s="41"/>
      <c r="Y360" s="41"/>
      <c r="Z360" s="41"/>
    </row>
    <row r="361" customFormat="false" ht="14.25" hidden="false" customHeight="true" outlineLevel="0" collapsed="false">
      <c r="A361" s="38"/>
      <c r="B361" s="38"/>
      <c r="C361" s="39"/>
      <c r="D361" s="40"/>
      <c r="E361" s="40"/>
      <c r="F361" s="41"/>
      <c r="G361" s="41"/>
      <c r="H361" s="41"/>
      <c r="I361" s="41"/>
      <c r="J361" s="41"/>
      <c r="K361" s="41"/>
      <c r="L361" s="41"/>
      <c r="M361" s="41"/>
      <c r="N361" s="41"/>
      <c r="O361" s="41"/>
      <c r="P361" s="41"/>
      <c r="Q361" s="41"/>
      <c r="R361" s="41"/>
      <c r="S361" s="41"/>
      <c r="T361" s="41"/>
      <c r="U361" s="41"/>
      <c r="V361" s="41"/>
      <c r="W361" s="41"/>
      <c r="X361" s="41"/>
      <c r="Y361" s="41"/>
      <c r="Z361" s="41"/>
    </row>
    <row r="362" customFormat="false" ht="14.25" hidden="false" customHeight="true" outlineLevel="0" collapsed="false">
      <c r="A362" s="38"/>
      <c r="B362" s="38"/>
      <c r="C362" s="39"/>
      <c r="D362" s="40"/>
      <c r="E362" s="40"/>
      <c r="F362" s="41"/>
      <c r="G362" s="41"/>
      <c r="H362" s="41"/>
      <c r="I362" s="41"/>
      <c r="J362" s="41"/>
      <c r="K362" s="41"/>
      <c r="L362" s="41"/>
      <c r="M362" s="41"/>
      <c r="N362" s="41"/>
      <c r="O362" s="41"/>
      <c r="P362" s="41"/>
      <c r="Q362" s="41"/>
      <c r="R362" s="41"/>
      <c r="S362" s="41"/>
      <c r="T362" s="41"/>
      <c r="U362" s="41"/>
      <c r="V362" s="41"/>
      <c r="W362" s="41"/>
      <c r="X362" s="41"/>
      <c r="Y362" s="41"/>
      <c r="Z362" s="41"/>
    </row>
    <row r="363" customFormat="false" ht="14.25" hidden="false" customHeight="true" outlineLevel="0" collapsed="false">
      <c r="A363" s="38"/>
      <c r="B363" s="38"/>
      <c r="C363" s="39"/>
      <c r="D363" s="40"/>
      <c r="E363" s="40"/>
      <c r="F363" s="41"/>
      <c r="G363" s="41"/>
      <c r="H363" s="41"/>
      <c r="I363" s="41"/>
      <c r="J363" s="41"/>
      <c r="K363" s="41"/>
      <c r="L363" s="41"/>
      <c r="M363" s="41"/>
      <c r="N363" s="41"/>
      <c r="O363" s="41"/>
      <c r="P363" s="41"/>
      <c r="Q363" s="41"/>
      <c r="R363" s="41"/>
      <c r="S363" s="41"/>
      <c r="T363" s="41"/>
      <c r="U363" s="41"/>
      <c r="V363" s="41"/>
      <c r="W363" s="41"/>
      <c r="X363" s="41"/>
      <c r="Y363" s="41"/>
      <c r="Z363" s="41"/>
    </row>
    <row r="364" customFormat="false" ht="14.25" hidden="false" customHeight="true" outlineLevel="0" collapsed="false">
      <c r="A364" s="38"/>
      <c r="B364" s="38"/>
      <c r="C364" s="39"/>
      <c r="D364" s="40"/>
      <c r="E364" s="40"/>
      <c r="F364" s="41"/>
      <c r="G364" s="41"/>
      <c r="H364" s="41"/>
      <c r="I364" s="41"/>
      <c r="J364" s="41"/>
      <c r="K364" s="41"/>
      <c r="L364" s="41"/>
      <c r="M364" s="41"/>
      <c r="N364" s="41"/>
      <c r="O364" s="41"/>
      <c r="P364" s="41"/>
      <c r="Q364" s="41"/>
      <c r="R364" s="41"/>
      <c r="S364" s="41"/>
      <c r="T364" s="41"/>
      <c r="U364" s="41"/>
      <c r="V364" s="41"/>
      <c r="W364" s="41"/>
      <c r="X364" s="41"/>
      <c r="Y364" s="41"/>
      <c r="Z364" s="41"/>
    </row>
    <row r="365" customFormat="false" ht="14.25" hidden="false" customHeight="true" outlineLevel="0" collapsed="false">
      <c r="A365" s="38"/>
      <c r="B365" s="38"/>
      <c r="C365" s="39"/>
      <c r="D365" s="40"/>
      <c r="E365" s="40"/>
      <c r="F365" s="41"/>
      <c r="G365" s="41"/>
      <c r="H365" s="41"/>
      <c r="I365" s="41"/>
      <c r="J365" s="41"/>
      <c r="K365" s="41"/>
      <c r="L365" s="41"/>
      <c r="M365" s="41"/>
      <c r="N365" s="41"/>
      <c r="O365" s="41"/>
      <c r="P365" s="41"/>
      <c r="Q365" s="41"/>
      <c r="R365" s="41"/>
      <c r="S365" s="41"/>
      <c r="T365" s="41"/>
      <c r="U365" s="41"/>
      <c r="V365" s="41"/>
      <c r="W365" s="41"/>
      <c r="X365" s="41"/>
      <c r="Y365" s="41"/>
      <c r="Z365" s="41"/>
    </row>
    <row r="366" customFormat="false" ht="14.25" hidden="false" customHeight="true" outlineLevel="0" collapsed="false">
      <c r="A366" s="38"/>
      <c r="B366" s="38"/>
      <c r="C366" s="39"/>
      <c r="D366" s="40"/>
      <c r="E366" s="40"/>
      <c r="F366" s="41"/>
      <c r="G366" s="41"/>
      <c r="H366" s="41"/>
      <c r="I366" s="41"/>
      <c r="J366" s="41"/>
      <c r="K366" s="41"/>
      <c r="L366" s="41"/>
      <c r="M366" s="41"/>
      <c r="N366" s="41"/>
      <c r="O366" s="41"/>
      <c r="P366" s="41"/>
      <c r="Q366" s="41"/>
      <c r="R366" s="41"/>
      <c r="S366" s="41"/>
      <c r="T366" s="41"/>
      <c r="U366" s="41"/>
      <c r="V366" s="41"/>
      <c r="W366" s="41"/>
      <c r="X366" s="41"/>
      <c r="Y366" s="41"/>
      <c r="Z366" s="41"/>
    </row>
    <row r="367" customFormat="false" ht="14.25" hidden="false" customHeight="true" outlineLevel="0" collapsed="false">
      <c r="A367" s="38"/>
      <c r="B367" s="38"/>
      <c r="C367" s="39"/>
      <c r="D367" s="40"/>
      <c r="E367" s="40"/>
      <c r="F367" s="41"/>
      <c r="G367" s="41"/>
      <c r="H367" s="41"/>
      <c r="I367" s="41"/>
      <c r="J367" s="41"/>
      <c r="K367" s="41"/>
      <c r="L367" s="41"/>
      <c r="M367" s="41"/>
      <c r="N367" s="41"/>
      <c r="O367" s="41"/>
      <c r="P367" s="41"/>
      <c r="Q367" s="41"/>
      <c r="R367" s="41"/>
      <c r="S367" s="41"/>
      <c r="T367" s="41"/>
      <c r="U367" s="41"/>
      <c r="V367" s="41"/>
      <c r="W367" s="41"/>
      <c r="X367" s="41"/>
      <c r="Y367" s="41"/>
      <c r="Z367" s="41"/>
    </row>
    <row r="368" customFormat="false" ht="14.25" hidden="false" customHeight="true" outlineLevel="0" collapsed="false">
      <c r="A368" s="38"/>
      <c r="B368" s="38"/>
      <c r="C368" s="39"/>
      <c r="D368" s="40"/>
      <c r="E368" s="40"/>
      <c r="F368" s="41"/>
      <c r="G368" s="41"/>
      <c r="H368" s="41"/>
      <c r="I368" s="41"/>
      <c r="J368" s="41"/>
      <c r="K368" s="41"/>
      <c r="L368" s="41"/>
      <c r="M368" s="41"/>
      <c r="N368" s="41"/>
      <c r="O368" s="41"/>
      <c r="P368" s="41"/>
      <c r="Q368" s="41"/>
      <c r="R368" s="41"/>
      <c r="S368" s="41"/>
      <c r="T368" s="41"/>
      <c r="U368" s="41"/>
      <c r="V368" s="41"/>
      <c r="W368" s="41"/>
      <c r="X368" s="41"/>
      <c r="Y368" s="41"/>
      <c r="Z368" s="41"/>
    </row>
    <row r="369" customFormat="false" ht="14.25" hidden="false" customHeight="true" outlineLevel="0" collapsed="false">
      <c r="A369" s="38"/>
      <c r="B369" s="38"/>
      <c r="C369" s="39"/>
      <c r="D369" s="40"/>
      <c r="E369" s="40"/>
      <c r="F369" s="41"/>
      <c r="G369" s="41"/>
      <c r="H369" s="41"/>
      <c r="I369" s="41"/>
      <c r="J369" s="41"/>
      <c r="K369" s="41"/>
      <c r="L369" s="41"/>
      <c r="M369" s="41"/>
      <c r="N369" s="41"/>
      <c r="O369" s="41"/>
      <c r="P369" s="41"/>
      <c r="Q369" s="41"/>
      <c r="R369" s="41"/>
      <c r="S369" s="41"/>
      <c r="T369" s="41"/>
      <c r="U369" s="41"/>
      <c r="V369" s="41"/>
      <c r="W369" s="41"/>
      <c r="X369" s="41"/>
      <c r="Y369" s="41"/>
      <c r="Z369" s="41"/>
    </row>
    <row r="370" customFormat="false" ht="14.25" hidden="false" customHeight="true" outlineLevel="0" collapsed="false">
      <c r="A370" s="38"/>
      <c r="B370" s="38"/>
      <c r="C370" s="39"/>
      <c r="D370" s="40"/>
      <c r="E370" s="40"/>
      <c r="F370" s="41"/>
      <c r="G370" s="41"/>
      <c r="H370" s="41"/>
      <c r="I370" s="41"/>
      <c r="J370" s="41"/>
      <c r="K370" s="41"/>
      <c r="L370" s="41"/>
      <c r="M370" s="41"/>
      <c r="N370" s="41"/>
      <c r="O370" s="41"/>
      <c r="P370" s="41"/>
      <c r="Q370" s="41"/>
      <c r="R370" s="41"/>
      <c r="S370" s="41"/>
      <c r="T370" s="41"/>
      <c r="U370" s="41"/>
      <c r="V370" s="41"/>
      <c r="W370" s="41"/>
      <c r="X370" s="41"/>
      <c r="Y370" s="41"/>
      <c r="Z370" s="41"/>
    </row>
    <row r="371" customFormat="false" ht="14.25" hidden="false" customHeight="true" outlineLevel="0" collapsed="false">
      <c r="A371" s="38"/>
      <c r="B371" s="38"/>
      <c r="C371" s="39"/>
      <c r="D371" s="40"/>
      <c r="E371" s="40"/>
      <c r="F371" s="41"/>
      <c r="G371" s="41"/>
      <c r="H371" s="41"/>
      <c r="I371" s="41"/>
      <c r="J371" s="41"/>
      <c r="K371" s="41"/>
      <c r="L371" s="41"/>
      <c r="M371" s="41"/>
      <c r="N371" s="41"/>
      <c r="O371" s="41"/>
      <c r="P371" s="41"/>
      <c r="Q371" s="41"/>
      <c r="R371" s="41"/>
      <c r="S371" s="41"/>
      <c r="T371" s="41"/>
      <c r="U371" s="41"/>
      <c r="V371" s="41"/>
      <c r="W371" s="41"/>
      <c r="X371" s="41"/>
      <c r="Y371" s="41"/>
      <c r="Z371" s="41"/>
    </row>
    <row r="372" customFormat="false" ht="14.25" hidden="false" customHeight="true" outlineLevel="0" collapsed="false">
      <c r="A372" s="38"/>
      <c r="B372" s="38"/>
      <c r="C372" s="39"/>
      <c r="D372" s="40"/>
      <c r="E372" s="40"/>
      <c r="F372" s="41"/>
      <c r="G372" s="41"/>
      <c r="H372" s="41"/>
      <c r="I372" s="41"/>
      <c r="J372" s="41"/>
      <c r="K372" s="41"/>
      <c r="L372" s="41"/>
      <c r="M372" s="41"/>
      <c r="N372" s="41"/>
      <c r="O372" s="41"/>
      <c r="P372" s="41"/>
      <c r="Q372" s="41"/>
      <c r="R372" s="41"/>
      <c r="S372" s="41"/>
      <c r="T372" s="41"/>
      <c r="U372" s="41"/>
      <c r="V372" s="41"/>
      <c r="W372" s="41"/>
      <c r="X372" s="41"/>
      <c r="Y372" s="41"/>
      <c r="Z372" s="41"/>
    </row>
    <row r="373" customFormat="false" ht="14.25" hidden="false" customHeight="true" outlineLevel="0" collapsed="false">
      <c r="A373" s="38"/>
      <c r="B373" s="38"/>
      <c r="C373" s="39"/>
      <c r="D373" s="40"/>
      <c r="E373" s="40"/>
      <c r="F373" s="41"/>
      <c r="G373" s="41"/>
      <c r="H373" s="41"/>
      <c r="I373" s="41"/>
      <c r="J373" s="41"/>
      <c r="K373" s="41"/>
      <c r="L373" s="41"/>
      <c r="M373" s="41"/>
      <c r="N373" s="41"/>
      <c r="O373" s="41"/>
      <c r="P373" s="41"/>
      <c r="Q373" s="41"/>
      <c r="R373" s="41"/>
      <c r="S373" s="41"/>
      <c r="T373" s="41"/>
      <c r="U373" s="41"/>
      <c r="V373" s="41"/>
      <c r="W373" s="41"/>
      <c r="X373" s="41"/>
      <c r="Y373" s="41"/>
      <c r="Z373" s="41"/>
    </row>
    <row r="374" customFormat="false" ht="14.25" hidden="false" customHeight="true" outlineLevel="0" collapsed="false">
      <c r="A374" s="38"/>
      <c r="B374" s="38"/>
      <c r="C374" s="39"/>
      <c r="D374" s="40"/>
      <c r="E374" s="40"/>
      <c r="F374" s="41"/>
      <c r="G374" s="41"/>
      <c r="H374" s="41"/>
      <c r="I374" s="41"/>
      <c r="J374" s="41"/>
      <c r="K374" s="41"/>
      <c r="L374" s="41"/>
      <c r="M374" s="41"/>
      <c r="N374" s="41"/>
      <c r="O374" s="41"/>
      <c r="P374" s="41"/>
      <c r="Q374" s="41"/>
      <c r="R374" s="41"/>
      <c r="S374" s="41"/>
      <c r="T374" s="41"/>
      <c r="U374" s="41"/>
      <c r="V374" s="41"/>
      <c r="W374" s="41"/>
      <c r="X374" s="41"/>
      <c r="Y374" s="41"/>
      <c r="Z374" s="41"/>
    </row>
    <row r="375" customFormat="false" ht="14.25" hidden="false" customHeight="true" outlineLevel="0" collapsed="false">
      <c r="A375" s="38"/>
      <c r="B375" s="38"/>
      <c r="C375" s="39"/>
      <c r="D375" s="40"/>
      <c r="E375" s="40"/>
      <c r="F375" s="41"/>
      <c r="G375" s="41"/>
      <c r="H375" s="41"/>
      <c r="I375" s="41"/>
      <c r="J375" s="41"/>
      <c r="K375" s="41"/>
      <c r="L375" s="41"/>
      <c r="M375" s="41"/>
      <c r="N375" s="41"/>
      <c r="O375" s="41"/>
      <c r="P375" s="41"/>
      <c r="Q375" s="41"/>
      <c r="R375" s="41"/>
      <c r="S375" s="41"/>
      <c r="T375" s="41"/>
      <c r="U375" s="41"/>
      <c r="V375" s="41"/>
      <c r="W375" s="41"/>
      <c r="X375" s="41"/>
      <c r="Y375" s="41"/>
      <c r="Z375" s="41"/>
    </row>
    <row r="376" customFormat="false" ht="14.25" hidden="false" customHeight="true" outlineLevel="0" collapsed="false">
      <c r="A376" s="38"/>
      <c r="B376" s="38"/>
      <c r="C376" s="39"/>
      <c r="D376" s="40"/>
      <c r="E376" s="40"/>
      <c r="F376" s="41"/>
      <c r="G376" s="41"/>
      <c r="H376" s="41"/>
      <c r="I376" s="41"/>
      <c r="J376" s="41"/>
      <c r="K376" s="41"/>
      <c r="L376" s="41"/>
      <c r="M376" s="41"/>
      <c r="N376" s="41"/>
      <c r="O376" s="41"/>
      <c r="P376" s="41"/>
      <c r="Q376" s="41"/>
      <c r="R376" s="41"/>
      <c r="S376" s="41"/>
      <c r="T376" s="41"/>
      <c r="U376" s="41"/>
      <c r="V376" s="41"/>
      <c r="W376" s="41"/>
      <c r="X376" s="41"/>
      <c r="Y376" s="41"/>
      <c r="Z376" s="41"/>
    </row>
    <row r="377" customFormat="false" ht="14.25" hidden="false" customHeight="true" outlineLevel="0" collapsed="false">
      <c r="A377" s="38"/>
      <c r="B377" s="38"/>
      <c r="C377" s="39"/>
      <c r="D377" s="40"/>
      <c r="E377" s="40"/>
      <c r="F377" s="41"/>
      <c r="G377" s="41"/>
      <c r="H377" s="41"/>
      <c r="I377" s="41"/>
      <c r="J377" s="41"/>
      <c r="K377" s="41"/>
      <c r="L377" s="41"/>
      <c r="M377" s="41"/>
      <c r="N377" s="41"/>
      <c r="O377" s="41"/>
      <c r="P377" s="41"/>
      <c r="Q377" s="41"/>
      <c r="R377" s="41"/>
      <c r="S377" s="41"/>
      <c r="T377" s="41"/>
      <c r="U377" s="41"/>
      <c r="V377" s="41"/>
      <c r="W377" s="41"/>
      <c r="X377" s="41"/>
      <c r="Y377" s="41"/>
      <c r="Z377" s="41"/>
    </row>
    <row r="378" customFormat="false" ht="14.25" hidden="false" customHeight="true" outlineLevel="0" collapsed="false">
      <c r="A378" s="38"/>
      <c r="B378" s="38"/>
      <c r="C378" s="39"/>
      <c r="D378" s="40"/>
      <c r="E378" s="40"/>
      <c r="F378" s="41"/>
      <c r="G378" s="41"/>
      <c r="H378" s="41"/>
      <c r="I378" s="41"/>
      <c r="J378" s="41"/>
      <c r="K378" s="41"/>
      <c r="L378" s="41"/>
      <c r="M378" s="41"/>
      <c r="N378" s="41"/>
      <c r="O378" s="41"/>
      <c r="P378" s="41"/>
      <c r="Q378" s="41"/>
      <c r="R378" s="41"/>
      <c r="S378" s="41"/>
      <c r="T378" s="41"/>
      <c r="U378" s="41"/>
      <c r="V378" s="41"/>
      <c r="W378" s="41"/>
      <c r="X378" s="41"/>
      <c r="Y378" s="41"/>
      <c r="Z378" s="41"/>
    </row>
    <row r="379" customFormat="false" ht="14.25" hidden="false" customHeight="true" outlineLevel="0" collapsed="false">
      <c r="A379" s="38"/>
      <c r="B379" s="38"/>
      <c r="C379" s="39"/>
      <c r="D379" s="40"/>
      <c r="E379" s="40"/>
      <c r="F379" s="41"/>
      <c r="G379" s="41"/>
      <c r="H379" s="41"/>
      <c r="I379" s="41"/>
      <c r="J379" s="41"/>
      <c r="K379" s="41"/>
      <c r="L379" s="41"/>
      <c r="M379" s="41"/>
      <c r="N379" s="41"/>
      <c r="O379" s="41"/>
      <c r="P379" s="41"/>
      <c r="Q379" s="41"/>
      <c r="R379" s="41"/>
      <c r="S379" s="41"/>
      <c r="T379" s="41"/>
      <c r="U379" s="41"/>
      <c r="V379" s="41"/>
      <c r="W379" s="41"/>
      <c r="X379" s="41"/>
      <c r="Y379" s="41"/>
      <c r="Z379" s="41"/>
    </row>
    <row r="380" customFormat="false" ht="14.25" hidden="false" customHeight="true" outlineLevel="0" collapsed="false">
      <c r="A380" s="38"/>
      <c r="B380" s="38"/>
      <c r="C380" s="39"/>
      <c r="D380" s="40"/>
      <c r="E380" s="40"/>
      <c r="F380" s="41"/>
      <c r="G380" s="41"/>
      <c r="H380" s="41"/>
      <c r="I380" s="41"/>
      <c r="J380" s="41"/>
      <c r="K380" s="41"/>
      <c r="L380" s="41"/>
      <c r="M380" s="41"/>
      <c r="N380" s="41"/>
      <c r="O380" s="41"/>
      <c r="P380" s="41"/>
      <c r="Q380" s="41"/>
      <c r="R380" s="41"/>
      <c r="S380" s="41"/>
      <c r="T380" s="41"/>
      <c r="U380" s="41"/>
      <c r="V380" s="41"/>
      <c r="W380" s="41"/>
      <c r="X380" s="41"/>
      <c r="Y380" s="41"/>
      <c r="Z380" s="41"/>
    </row>
    <row r="381" customFormat="false" ht="14.25" hidden="false" customHeight="true" outlineLevel="0" collapsed="false">
      <c r="A381" s="38"/>
      <c r="B381" s="38"/>
      <c r="C381" s="39"/>
      <c r="D381" s="40"/>
      <c r="E381" s="40"/>
      <c r="F381" s="41"/>
      <c r="G381" s="41"/>
      <c r="H381" s="41"/>
      <c r="I381" s="41"/>
      <c r="J381" s="41"/>
      <c r="K381" s="41"/>
      <c r="L381" s="41"/>
      <c r="M381" s="41"/>
      <c r="N381" s="41"/>
      <c r="O381" s="41"/>
      <c r="P381" s="41"/>
      <c r="Q381" s="41"/>
      <c r="R381" s="41"/>
      <c r="S381" s="41"/>
      <c r="T381" s="41"/>
      <c r="U381" s="41"/>
      <c r="V381" s="41"/>
      <c r="W381" s="41"/>
      <c r="X381" s="41"/>
      <c r="Y381" s="41"/>
      <c r="Z381" s="41"/>
    </row>
    <row r="382" customFormat="false" ht="14.25" hidden="false" customHeight="true" outlineLevel="0" collapsed="false">
      <c r="A382" s="38"/>
      <c r="B382" s="38"/>
      <c r="C382" s="39"/>
      <c r="D382" s="40"/>
      <c r="E382" s="40"/>
      <c r="F382" s="41"/>
      <c r="G382" s="41"/>
      <c r="H382" s="41"/>
      <c r="I382" s="41"/>
      <c r="J382" s="41"/>
      <c r="K382" s="41"/>
      <c r="L382" s="41"/>
      <c r="M382" s="41"/>
      <c r="N382" s="41"/>
      <c r="O382" s="41"/>
      <c r="P382" s="41"/>
      <c r="Q382" s="41"/>
      <c r="R382" s="41"/>
      <c r="S382" s="41"/>
      <c r="T382" s="41"/>
      <c r="U382" s="41"/>
      <c r="V382" s="41"/>
      <c r="W382" s="41"/>
      <c r="X382" s="41"/>
      <c r="Y382" s="41"/>
      <c r="Z382" s="41"/>
    </row>
    <row r="383" customFormat="false" ht="14.25" hidden="false" customHeight="true" outlineLevel="0" collapsed="false">
      <c r="A383" s="38"/>
      <c r="B383" s="38"/>
      <c r="C383" s="39"/>
      <c r="D383" s="40"/>
      <c r="E383" s="40"/>
      <c r="F383" s="41"/>
      <c r="G383" s="41"/>
      <c r="H383" s="41"/>
      <c r="I383" s="41"/>
      <c r="J383" s="41"/>
      <c r="K383" s="41"/>
      <c r="L383" s="41"/>
      <c r="M383" s="41"/>
      <c r="N383" s="41"/>
      <c r="O383" s="41"/>
      <c r="P383" s="41"/>
      <c r="Q383" s="41"/>
      <c r="R383" s="41"/>
      <c r="S383" s="41"/>
      <c r="T383" s="41"/>
      <c r="U383" s="41"/>
      <c r="V383" s="41"/>
      <c r="W383" s="41"/>
      <c r="X383" s="41"/>
      <c r="Y383" s="41"/>
      <c r="Z383" s="41"/>
    </row>
    <row r="384" customFormat="false" ht="14.25" hidden="false" customHeight="true" outlineLevel="0" collapsed="false">
      <c r="A384" s="38"/>
      <c r="B384" s="38"/>
      <c r="C384" s="39"/>
      <c r="D384" s="40"/>
      <c r="E384" s="40"/>
      <c r="F384" s="41"/>
      <c r="G384" s="41"/>
      <c r="H384" s="41"/>
      <c r="I384" s="41"/>
      <c r="J384" s="41"/>
      <c r="K384" s="41"/>
      <c r="L384" s="41"/>
      <c r="M384" s="41"/>
      <c r="N384" s="41"/>
      <c r="O384" s="41"/>
      <c r="P384" s="41"/>
      <c r="Q384" s="41"/>
      <c r="R384" s="41"/>
      <c r="S384" s="41"/>
      <c r="T384" s="41"/>
      <c r="U384" s="41"/>
      <c r="V384" s="41"/>
      <c r="W384" s="41"/>
      <c r="X384" s="41"/>
      <c r="Y384" s="41"/>
      <c r="Z384" s="41"/>
    </row>
    <row r="385" customFormat="false" ht="14.25" hidden="false" customHeight="true" outlineLevel="0" collapsed="false">
      <c r="A385" s="38"/>
      <c r="B385" s="38"/>
      <c r="C385" s="39"/>
      <c r="D385" s="40"/>
      <c r="E385" s="40"/>
      <c r="F385" s="41"/>
      <c r="G385" s="41"/>
      <c r="H385" s="41"/>
      <c r="I385" s="41"/>
      <c r="J385" s="41"/>
      <c r="K385" s="41"/>
      <c r="L385" s="41"/>
      <c r="M385" s="41"/>
      <c r="N385" s="41"/>
      <c r="O385" s="41"/>
      <c r="P385" s="41"/>
      <c r="Q385" s="41"/>
      <c r="R385" s="41"/>
      <c r="S385" s="41"/>
      <c r="T385" s="41"/>
      <c r="U385" s="41"/>
      <c r="V385" s="41"/>
      <c r="W385" s="41"/>
      <c r="X385" s="41"/>
      <c r="Y385" s="41"/>
      <c r="Z385" s="41"/>
    </row>
    <row r="386" customFormat="false" ht="14.25" hidden="false" customHeight="true" outlineLevel="0" collapsed="false">
      <c r="A386" s="38"/>
      <c r="B386" s="38"/>
      <c r="C386" s="39"/>
      <c r="D386" s="40"/>
      <c r="E386" s="40"/>
      <c r="F386" s="41"/>
      <c r="G386" s="41"/>
      <c r="H386" s="41"/>
      <c r="I386" s="41"/>
      <c r="J386" s="41"/>
      <c r="K386" s="41"/>
      <c r="L386" s="41"/>
      <c r="M386" s="41"/>
      <c r="N386" s="41"/>
      <c r="O386" s="41"/>
      <c r="P386" s="41"/>
      <c r="Q386" s="41"/>
      <c r="R386" s="41"/>
      <c r="S386" s="41"/>
      <c r="T386" s="41"/>
      <c r="U386" s="41"/>
      <c r="V386" s="41"/>
      <c r="W386" s="41"/>
      <c r="X386" s="41"/>
      <c r="Y386" s="41"/>
      <c r="Z386" s="41"/>
    </row>
    <row r="387" customFormat="false" ht="14.25" hidden="false" customHeight="true" outlineLevel="0" collapsed="false">
      <c r="A387" s="38"/>
      <c r="B387" s="38"/>
      <c r="C387" s="39"/>
      <c r="D387" s="40"/>
      <c r="E387" s="40"/>
      <c r="F387" s="41"/>
      <c r="G387" s="41"/>
      <c r="H387" s="41"/>
      <c r="I387" s="41"/>
      <c r="J387" s="41"/>
      <c r="K387" s="41"/>
      <c r="L387" s="41"/>
      <c r="M387" s="41"/>
      <c r="N387" s="41"/>
      <c r="O387" s="41"/>
      <c r="P387" s="41"/>
      <c r="Q387" s="41"/>
      <c r="R387" s="41"/>
      <c r="S387" s="41"/>
      <c r="T387" s="41"/>
      <c r="U387" s="41"/>
      <c r="V387" s="41"/>
      <c r="W387" s="41"/>
      <c r="X387" s="41"/>
      <c r="Y387" s="41"/>
      <c r="Z387" s="41"/>
    </row>
    <row r="388" customFormat="false" ht="14.25" hidden="false" customHeight="true" outlineLevel="0" collapsed="false">
      <c r="A388" s="38"/>
      <c r="B388" s="38"/>
      <c r="C388" s="39"/>
      <c r="D388" s="40"/>
      <c r="E388" s="40"/>
      <c r="F388" s="41"/>
      <c r="G388" s="41"/>
      <c r="H388" s="41"/>
      <c r="I388" s="41"/>
      <c r="J388" s="41"/>
      <c r="K388" s="41"/>
      <c r="L388" s="41"/>
      <c r="M388" s="41"/>
      <c r="N388" s="41"/>
      <c r="O388" s="41"/>
      <c r="P388" s="41"/>
      <c r="Q388" s="41"/>
      <c r="R388" s="41"/>
      <c r="S388" s="41"/>
      <c r="T388" s="41"/>
      <c r="U388" s="41"/>
      <c r="V388" s="41"/>
      <c r="W388" s="41"/>
      <c r="X388" s="41"/>
      <c r="Y388" s="41"/>
      <c r="Z388" s="41"/>
    </row>
    <row r="389" customFormat="false" ht="14.25" hidden="false" customHeight="true" outlineLevel="0" collapsed="false">
      <c r="A389" s="38"/>
      <c r="B389" s="38"/>
      <c r="C389" s="39"/>
      <c r="D389" s="40"/>
      <c r="E389" s="40"/>
      <c r="F389" s="41"/>
      <c r="G389" s="41"/>
      <c r="H389" s="41"/>
      <c r="I389" s="41"/>
      <c r="J389" s="41"/>
      <c r="K389" s="41"/>
      <c r="L389" s="41"/>
      <c r="M389" s="41"/>
      <c r="N389" s="41"/>
      <c r="O389" s="41"/>
      <c r="P389" s="41"/>
      <c r="Q389" s="41"/>
      <c r="R389" s="41"/>
      <c r="S389" s="41"/>
      <c r="T389" s="41"/>
      <c r="U389" s="41"/>
      <c r="V389" s="41"/>
      <c r="W389" s="41"/>
      <c r="X389" s="41"/>
      <c r="Y389" s="41"/>
      <c r="Z389" s="41"/>
    </row>
    <row r="390" customFormat="false" ht="14.25" hidden="false" customHeight="true" outlineLevel="0" collapsed="false">
      <c r="A390" s="38"/>
      <c r="B390" s="38"/>
      <c r="C390" s="39"/>
      <c r="D390" s="40"/>
      <c r="E390" s="40"/>
      <c r="F390" s="41"/>
      <c r="G390" s="41"/>
      <c r="H390" s="41"/>
      <c r="I390" s="41"/>
      <c r="J390" s="41"/>
      <c r="K390" s="41"/>
      <c r="L390" s="41"/>
      <c r="M390" s="41"/>
      <c r="N390" s="41"/>
      <c r="O390" s="41"/>
      <c r="P390" s="41"/>
      <c r="Q390" s="41"/>
      <c r="R390" s="41"/>
      <c r="S390" s="41"/>
      <c r="T390" s="41"/>
      <c r="U390" s="41"/>
      <c r="V390" s="41"/>
      <c r="W390" s="41"/>
      <c r="X390" s="41"/>
      <c r="Y390" s="41"/>
      <c r="Z390" s="41"/>
    </row>
    <row r="391" customFormat="false" ht="14.25" hidden="false" customHeight="true" outlineLevel="0" collapsed="false">
      <c r="A391" s="38"/>
      <c r="B391" s="38"/>
      <c r="C391" s="39"/>
      <c r="D391" s="40"/>
      <c r="E391" s="40"/>
      <c r="F391" s="41"/>
      <c r="G391" s="41"/>
      <c r="H391" s="41"/>
      <c r="I391" s="41"/>
      <c r="J391" s="41"/>
      <c r="K391" s="41"/>
      <c r="L391" s="41"/>
      <c r="M391" s="41"/>
      <c r="N391" s="41"/>
      <c r="O391" s="41"/>
      <c r="P391" s="41"/>
      <c r="Q391" s="41"/>
      <c r="R391" s="41"/>
      <c r="S391" s="41"/>
      <c r="T391" s="41"/>
      <c r="U391" s="41"/>
      <c r="V391" s="41"/>
      <c r="W391" s="41"/>
      <c r="X391" s="41"/>
      <c r="Y391" s="41"/>
      <c r="Z391" s="41"/>
    </row>
    <row r="392" customFormat="false" ht="14.25" hidden="false" customHeight="true" outlineLevel="0" collapsed="false">
      <c r="A392" s="38"/>
      <c r="B392" s="38"/>
      <c r="C392" s="39"/>
      <c r="D392" s="40"/>
      <c r="E392" s="40"/>
      <c r="F392" s="41"/>
      <c r="G392" s="41"/>
      <c r="H392" s="41"/>
      <c r="I392" s="41"/>
      <c r="J392" s="41"/>
      <c r="K392" s="41"/>
      <c r="L392" s="41"/>
      <c r="M392" s="41"/>
      <c r="N392" s="41"/>
      <c r="O392" s="41"/>
      <c r="P392" s="41"/>
      <c r="Q392" s="41"/>
      <c r="R392" s="41"/>
      <c r="S392" s="41"/>
      <c r="T392" s="41"/>
      <c r="U392" s="41"/>
      <c r="V392" s="41"/>
      <c r="W392" s="41"/>
      <c r="X392" s="41"/>
      <c r="Y392" s="41"/>
      <c r="Z392" s="41"/>
    </row>
    <row r="393" customFormat="false" ht="14.25" hidden="false" customHeight="true" outlineLevel="0" collapsed="false">
      <c r="A393" s="38"/>
      <c r="B393" s="38"/>
      <c r="C393" s="39"/>
      <c r="D393" s="40"/>
      <c r="E393" s="40"/>
      <c r="F393" s="41"/>
      <c r="G393" s="41"/>
      <c r="H393" s="41"/>
      <c r="I393" s="41"/>
      <c r="J393" s="41"/>
      <c r="K393" s="41"/>
      <c r="L393" s="41"/>
      <c r="M393" s="41"/>
      <c r="N393" s="41"/>
      <c r="O393" s="41"/>
      <c r="P393" s="41"/>
      <c r="Q393" s="41"/>
      <c r="R393" s="41"/>
      <c r="S393" s="41"/>
      <c r="T393" s="41"/>
      <c r="U393" s="41"/>
      <c r="V393" s="41"/>
      <c r="W393" s="41"/>
      <c r="X393" s="41"/>
      <c r="Y393" s="41"/>
      <c r="Z393" s="41"/>
    </row>
    <row r="394" customFormat="false" ht="14.25" hidden="false" customHeight="true" outlineLevel="0" collapsed="false">
      <c r="A394" s="38"/>
      <c r="B394" s="38"/>
      <c r="C394" s="39"/>
      <c r="D394" s="40"/>
      <c r="E394" s="40"/>
      <c r="F394" s="41"/>
      <c r="G394" s="41"/>
      <c r="H394" s="41"/>
      <c r="I394" s="41"/>
      <c r="J394" s="41"/>
      <c r="K394" s="41"/>
      <c r="L394" s="41"/>
      <c r="M394" s="41"/>
      <c r="N394" s="41"/>
      <c r="O394" s="41"/>
      <c r="P394" s="41"/>
      <c r="Q394" s="41"/>
      <c r="R394" s="41"/>
      <c r="S394" s="41"/>
      <c r="T394" s="41"/>
      <c r="U394" s="41"/>
      <c r="V394" s="41"/>
      <c r="W394" s="41"/>
      <c r="X394" s="41"/>
      <c r="Y394" s="41"/>
      <c r="Z394" s="41"/>
    </row>
    <row r="395" customFormat="false" ht="14.25" hidden="false" customHeight="true" outlineLevel="0" collapsed="false">
      <c r="A395" s="38"/>
      <c r="B395" s="38"/>
      <c r="C395" s="39"/>
      <c r="D395" s="40"/>
      <c r="E395" s="40"/>
      <c r="F395" s="41"/>
      <c r="G395" s="41"/>
      <c r="H395" s="41"/>
      <c r="I395" s="41"/>
      <c r="J395" s="41"/>
      <c r="K395" s="41"/>
      <c r="L395" s="41"/>
      <c r="M395" s="41"/>
      <c r="N395" s="41"/>
      <c r="O395" s="41"/>
      <c r="P395" s="41"/>
      <c r="Q395" s="41"/>
      <c r="R395" s="41"/>
      <c r="S395" s="41"/>
      <c r="T395" s="41"/>
      <c r="U395" s="41"/>
      <c r="V395" s="41"/>
      <c r="W395" s="41"/>
      <c r="X395" s="41"/>
      <c r="Y395" s="41"/>
      <c r="Z395" s="41"/>
    </row>
    <row r="396" customFormat="false" ht="14.25" hidden="false" customHeight="true" outlineLevel="0" collapsed="false">
      <c r="A396" s="38"/>
      <c r="B396" s="38"/>
      <c r="C396" s="39"/>
      <c r="D396" s="40"/>
      <c r="E396" s="40"/>
      <c r="F396" s="41"/>
      <c r="G396" s="41"/>
      <c r="H396" s="41"/>
      <c r="I396" s="41"/>
      <c r="J396" s="41"/>
      <c r="K396" s="41"/>
      <c r="L396" s="41"/>
      <c r="M396" s="41"/>
      <c r="N396" s="41"/>
      <c r="O396" s="41"/>
      <c r="P396" s="41"/>
      <c r="Q396" s="41"/>
      <c r="R396" s="41"/>
      <c r="S396" s="41"/>
      <c r="T396" s="41"/>
      <c r="U396" s="41"/>
      <c r="V396" s="41"/>
      <c r="W396" s="41"/>
      <c r="X396" s="41"/>
      <c r="Y396" s="41"/>
      <c r="Z396" s="41"/>
    </row>
    <row r="397" customFormat="false" ht="14.25" hidden="false" customHeight="true" outlineLevel="0" collapsed="false">
      <c r="A397" s="38"/>
      <c r="B397" s="38"/>
      <c r="C397" s="39"/>
      <c r="D397" s="40"/>
      <c r="E397" s="40"/>
      <c r="F397" s="41"/>
      <c r="G397" s="41"/>
      <c r="H397" s="41"/>
      <c r="I397" s="41"/>
      <c r="J397" s="41"/>
      <c r="K397" s="41"/>
      <c r="L397" s="41"/>
      <c r="M397" s="41"/>
      <c r="N397" s="41"/>
      <c r="O397" s="41"/>
      <c r="P397" s="41"/>
      <c r="Q397" s="41"/>
      <c r="R397" s="41"/>
      <c r="S397" s="41"/>
      <c r="T397" s="41"/>
      <c r="U397" s="41"/>
      <c r="V397" s="41"/>
      <c r="W397" s="41"/>
      <c r="X397" s="41"/>
      <c r="Y397" s="41"/>
      <c r="Z397" s="41"/>
    </row>
    <row r="398" customFormat="false" ht="14.25" hidden="false" customHeight="true" outlineLevel="0" collapsed="false">
      <c r="A398" s="38"/>
      <c r="B398" s="38"/>
      <c r="C398" s="39"/>
      <c r="D398" s="40"/>
      <c r="E398" s="40"/>
      <c r="F398" s="41"/>
      <c r="G398" s="41"/>
      <c r="H398" s="41"/>
      <c r="I398" s="41"/>
      <c r="J398" s="41"/>
      <c r="K398" s="41"/>
      <c r="L398" s="41"/>
      <c r="M398" s="41"/>
      <c r="N398" s="41"/>
      <c r="O398" s="41"/>
      <c r="P398" s="41"/>
      <c r="Q398" s="41"/>
      <c r="R398" s="41"/>
      <c r="S398" s="41"/>
      <c r="T398" s="41"/>
      <c r="U398" s="41"/>
      <c r="V398" s="41"/>
      <c r="W398" s="41"/>
      <c r="X398" s="41"/>
      <c r="Y398" s="41"/>
      <c r="Z398" s="41"/>
    </row>
    <row r="399" customFormat="false" ht="14.25" hidden="false" customHeight="true" outlineLevel="0" collapsed="false">
      <c r="A399" s="38"/>
      <c r="B399" s="38"/>
      <c r="C399" s="39"/>
      <c r="D399" s="40"/>
      <c r="E399" s="40"/>
      <c r="F399" s="41"/>
      <c r="G399" s="41"/>
      <c r="H399" s="41"/>
      <c r="I399" s="41"/>
      <c r="J399" s="41"/>
      <c r="K399" s="41"/>
      <c r="L399" s="41"/>
      <c r="M399" s="41"/>
      <c r="N399" s="41"/>
      <c r="O399" s="41"/>
      <c r="P399" s="41"/>
      <c r="Q399" s="41"/>
      <c r="R399" s="41"/>
      <c r="S399" s="41"/>
      <c r="T399" s="41"/>
      <c r="U399" s="41"/>
      <c r="V399" s="41"/>
      <c r="W399" s="41"/>
      <c r="X399" s="41"/>
      <c r="Y399" s="41"/>
      <c r="Z399" s="41"/>
    </row>
    <row r="400" customFormat="false" ht="14.25" hidden="false" customHeight="true" outlineLevel="0" collapsed="false">
      <c r="A400" s="38"/>
      <c r="B400" s="38"/>
      <c r="C400" s="39"/>
      <c r="D400" s="40"/>
      <c r="E400" s="40"/>
      <c r="F400" s="41"/>
      <c r="G400" s="41"/>
      <c r="H400" s="41"/>
      <c r="I400" s="41"/>
      <c r="J400" s="41"/>
      <c r="K400" s="41"/>
      <c r="L400" s="41"/>
      <c r="M400" s="41"/>
      <c r="N400" s="41"/>
      <c r="O400" s="41"/>
      <c r="P400" s="41"/>
      <c r="Q400" s="41"/>
      <c r="R400" s="41"/>
      <c r="S400" s="41"/>
      <c r="T400" s="41"/>
      <c r="U400" s="41"/>
      <c r="V400" s="41"/>
      <c r="W400" s="41"/>
      <c r="X400" s="41"/>
      <c r="Y400" s="41"/>
      <c r="Z400" s="41"/>
    </row>
    <row r="401" customFormat="false" ht="14.25" hidden="false" customHeight="true" outlineLevel="0" collapsed="false">
      <c r="A401" s="38"/>
      <c r="B401" s="38"/>
      <c r="C401" s="39"/>
      <c r="D401" s="40"/>
      <c r="E401" s="40"/>
      <c r="F401" s="41"/>
      <c r="G401" s="41"/>
      <c r="H401" s="41"/>
      <c r="I401" s="41"/>
      <c r="J401" s="41"/>
      <c r="K401" s="41"/>
      <c r="L401" s="41"/>
      <c r="M401" s="41"/>
      <c r="N401" s="41"/>
      <c r="O401" s="41"/>
      <c r="P401" s="41"/>
      <c r="Q401" s="41"/>
      <c r="R401" s="41"/>
      <c r="S401" s="41"/>
      <c r="T401" s="41"/>
      <c r="U401" s="41"/>
      <c r="V401" s="41"/>
      <c r="W401" s="41"/>
      <c r="X401" s="41"/>
      <c r="Y401" s="41"/>
      <c r="Z401" s="41"/>
    </row>
    <row r="402" customFormat="false" ht="14.25" hidden="false" customHeight="true" outlineLevel="0" collapsed="false">
      <c r="A402" s="38"/>
      <c r="B402" s="38"/>
      <c r="C402" s="39"/>
      <c r="D402" s="40"/>
      <c r="E402" s="40"/>
      <c r="F402" s="41"/>
      <c r="G402" s="41"/>
      <c r="H402" s="41"/>
      <c r="I402" s="41"/>
      <c r="J402" s="41"/>
      <c r="K402" s="41"/>
      <c r="L402" s="41"/>
      <c r="M402" s="41"/>
      <c r="N402" s="41"/>
      <c r="O402" s="41"/>
      <c r="P402" s="41"/>
      <c r="Q402" s="41"/>
      <c r="R402" s="41"/>
      <c r="S402" s="41"/>
      <c r="T402" s="41"/>
      <c r="U402" s="41"/>
      <c r="V402" s="41"/>
      <c r="W402" s="41"/>
      <c r="X402" s="41"/>
      <c r="Y402" s="41"/>
      <c r="Z402" s="41"/>
    </row>
    <row r="403" customFormat="false" ht="14.25" hidden="false" customHeight="true" outlineLevel="0" collapsed="false">
      <c r="A403" s="38"/>
      <c r="B403" s="38"/>
      <c r="C403" s="39"/>
      <c r="D403" s="40"/>
      <c r="E403" s="40"/>
      <c r="F403" s="41"/>
      <c r="G403" s="41"/>
      <c r="H403" s="41"/>
      <c r="I403" s="41"/>
      <c r="J403" s="41"/>
      <c r="K403" s="41"/>
      <c r="L403" s="41"/>
      <c r="M403" s="41"/>
      <c r="N403" s="41"/>
      <c r="O403" s="41"/>
      <c r="P403" s="41"/>
      <c r="Q403" s="41"/>
      <c r="R403" s="41"/>
      <c r="S403" s="41"/>
      <c r="T403" s="41"/>
      <c r="U403" s="41"/>
      <c r="V403" s="41"/>
      <c r="W403" s="41"/>
      <c r="X403" s="41"/>
      <c r="Y403" s="41"/>
      <c r="Z403" s="41"/>
    </row>
    <row r="404" customFormat="false" ht="14.25" hidden="false" customHeight="true" outlineLevel="0" collapsed="false">
      <c r="A404" s="38"/>
      <c r="B404" s="38"/>
      <c r="C404" s="39"/>
      <c r="D404" s="40"/>
      <c r="E404" s="40"/>
      <c r="F404" s="41"/>
      <c r="G404" s="41"/>
      <c r="H404" s="41"/>
      <c r="I404" s="41"/>
      <c r="J404" s="41"/>
      <c r="K404" s="41"/>
      <c r="L404" s="41"/>
      <c r="M404" s="41"/>
      <c r="N404" s="41"/>
      <c r="O404" s="41"/>
      <c r="P404" s="41"/>
      <c r="Q404" s="41"/>
      <c r="R404" s="41"/>
      <c r="S404" s="41"/>
      <c r="T404" s="41"/>
      <c r="U404" s="41"/>
      <c r="V404" s="41"/>
      <c r="W404" s="41"/>
      <c r="X404" s="41"/>
      <c r="Y404" s="41"/>
      <c r="Z404" s="41"/>
    </row>
    <row r="405" customFormat="false" ht="14.25" hidden="false" customHeight="true" outlineLevel="0" collapsed="false">
      <c r="A405" s="38"/>
      <c r="B405" s="38"/>
      <c r="C405" s="39"/>
      <c r="D405" s="40"/>
      <c r="E405" s="40"/>
      <c r="F405" s="41"/>
      <c r="G405" s="41"/>
      <c r="H405" s="41"/>
      <c r="I405" s="41"/>
      <c r="J405" s="41"/>
      <c r="K405" s="41"/>
      <c r="L405" s="41"/>
      <c r="M405" s="41"/>
      <c r="N405" s="41"/>
      <c r="O405" s="41"/>
      <c r="P405" s="41"/>
      <c r="Q405" s="41"/>
      <c r="R405" s="41"/>
      <c r="S405" s="41"/>
      <c r="T405" s="41"/>
      <c r="U405" s="41"/>
      <c r="V405" s="41"/>
      <c r="W405" s="41"/>
      <c r="X405" s="41"/>
      <c r="Y405" s="41"/>
      <c r="Z405" s="41"/>
    </row>
    <row r="406" customFormat="false" ht="14.25" hidden="false" customHeight="true" outlineLevel="0" collapsed="false">
      <c r="A406" s="38"/>
      <c r="B406" s="38"/>
      <c r="C406" s="39"/>
      <c r="D406" s="40"/>
      <c r="E406" s="40"/>
      <c r="F406" s="41"/>
      <c r="G406" s="41"/>
      <c r="H406" s="41"/>
      <c r="I406" s="41"/>
      <c r="J406" s="41"/>
      <c r="K406" s="41"/>
      <c r="L406" s="41"/>
      <c r="M406" s="41"/>
      <c r="N406" s="41"/>
      <c r="O406" s="41"/>
      <c r="P406" s="41"/>
      <c r="Q406" s="41"/>
      <c r="R406" s="41"/>
      <c r="S406" s="41"/>
      <c r="T406" s="41"/>
      <c r="U406" s="41"/>
      <c r="V406" s="41"/>
      <c r="W406" s="41"/>
      <c r="X406" s="41"/>
      <c r="Y406" s="41"/>
      <c r="Z406" s="41"/>
    </row>
    <row r="407" customFormat="false" ht="14.25" hidden="false" customHeight="true" outlineLevel="0" collapsed="false">
      <c r="A407" s="38"/>
      <c r="B407" s="38"/>
      <c r="C407" s="39"/>
      <c r="D407" s="40"/>
      <c r="E407" s="40"/>
      <c r="F407" s="41"/>
      <c r="G407" s="41"/>
      <c r="H407" s="41"/>
      <c r="I407" s="41"/>
      <c r="J407" s="41"/>
      <c r="K407" s="41"/>
      <c r="L407" s="41"/>
      <c r="M407" s="41"/>
      <c r="N407" s="41"/>
      <c r="O407" s="41"/>
      <c r="P407" s="41"/>
      <c r="Q407" s="41"/>
      <c r="R407" s="41"/>
      <c r="S407" s="41"/>
      <c r="T407" s="41"/>
      <c r="U407" s="41"/>
      <c r="V407" s="41"/>
      <c r="W407" s="41"/>
      <c r="X407" s="41"/>
      <c r="Y407" s="41"/>
      <c r="Z407" s="41"/>
    </row>
    <row r="408" customFormat="false" ht="14.25" hidden="false" customHeight="true" outlineLevel="0" collapsed="false">
      <c r="A408" s="38"/>
      <c r="B408" s="38"/>
      <c r="C408" s="39"/>
      <c r="D408" s="40"/>
      <c r="E408" s="40"/>
      <c r="F408" s="41"/>
      <c r="G408" s="41"/>
      <c r="H408" s="41"/>
      <c r="I408" s="41"/>
      <c r="J408" s="41"/>
      <c r="K408" s="41"/>
      <c r="L408" s="41"/>
      <c r="M408" s="41"/>
      <c r="N408" s="41"/>
      <c r="O408" s="41"/>
      <c r="P408" s="41"/>
      <c r="Q408" s="41"/>
      <c r="R408" s="41"/>
      <c r="S408" s="41"/>
      <c r="T408" s="41"/>
      <c r="U408" s="41"/>
      <c r="V408" s="41"/>
      <c r="W408" s="41"/>
      <c r="X408" s="41"/>
      <c r="Y408" s="41"/>
      <c r="Z408" s="41"/>
    </row>
    <row r="409" customFormat="false" ht="14.25" hidden="false" customHeight="true" outlineLevel="0" collapsed="false">
      <c r="A409" s="38"/>
      <c r="B409" s="38"/>
      <c r="C409" s="39"/>
      <c r="D409" s="40"/>
      <c r="E409" s="40"/>
      <c r="F409" s="41"/>
      <c r="G409" s="41"/>
      <c r="H409" s="41"/>
      <c r="I409" s="41"/>
      <c r="J409" s="41"/>
      <c r="K409" s="41"/>
      <c r="L409" s="41"/>
      <c r="M409" s="41"/>
      <c r="N409" s="41"/>
      <c r="O409" s="41"/>
      <c r="P409" s="41"/>
      <c r="Q409" s="41"/>
      <c r="R409" s="41"/>
      <c r="S409" s="41"/>
      <c r="T409" s="41"/>
      <c r="U409" s="41"/>
      <c r="V409" s="41"/>
      <c r="W409" s="41"/>
      <c r="X409" s="41"/>
      <c r="Y409" s="41"/>
      <c r="Z409" s="41"/>
    </row>
    <row r="410" customFormat="false" ht="14.25" hidden="false" customHeight="true" outlineLevel="0" collapsed="false">
      <c r="A410" s="38"/>
      <c r="B410" s="38"/>
      <c r="C410" s="39"/>
      <c r="D410" s="40"/>
      <c r="E410" s="40"/>
      <c r="F410" s="41"/>
      <c r="G410" s="41"/>
      <c r="H410" s="41"/>
      <c r="I410" s="41"/>
      <c r="J410" s="41"/>
      <c r="K410" s="41"/>
      <c r="L410" s="41"/>
      <c r="M410" s="41"/>
      <c r="N410" s="41"/>
      <c r="O410" s="41"/>
      <c r="P410" s="41"/>
      <c r="Q410" s="41"/>
      <c r="R410" s="41"/>
      <c r="S410" s="41"/>
      <c r="T410" s="41"/>
      <c r="U410" s="41"/>
      <c r="V410" s="41"/>
      <c r="W410" s="41"/>
      <c r="X410" s="41"/>
      <c r="Y410" s="41"/>
      <c r="Z410" s="41"/>
    </row>
    <row r="411" customFormat="false" ht="14.25" hidden="false" customHeight="true" outlineLevel="0" collapsed="false">
      <c r="A411" s="38"/>
      <c r="B411" s="38"/>
      <c r="C411" s="39"/>
      <c r="D411" s="40"/>
      <c r="E411" s="40"/>
      <c r="F411" s="41"/>
      <c r="G411" s="41"/>
      <c r="H411" s="41"/>
      <c r="I411" s="41"/>
      <c r="J411" s="41"/>
      <c r="K411" s="41"/>
      <c r="L411" s="41"/>
      <c r="M411" s="41"/>
      <c r="N411" s="41"/>
      <c r="O411" s="41"/>
      <c r="P411" s="41"/>
      <c r="Q411" s="41"/>
      <c r="R411" s="41"/>
      <c r="S411" s="41"/>
      <c r="T411" s="41"/>
      <c r="U411" s="41"/>
      <c r="V411" s="41"/>
      <c r="W411" s="41"/>
      <c r="X411" s="41"/>
      <c r="Y411" s="41"/>
      <c r="Z411" s="41"/>
    </row>
    <row r="412" customFormat="false" ht="14.25" hidden="false" customHeight="true" outlineLevel="0" collapsed="false">
      <c r="A412" s="38"/>
      <c r="B412" s="38"/>
      <c r="C412" s="39"/>
      <c r="D412" s="40"/>
      <c r="E412" s="40"/>
      <c r="F412" s="41"/>
      <c r="G412" s="41"/>
      <c r="H412" s="41"/>
      <c r="I412" s="41"/>
      <c r="J412" s="41"/>
      <c r="K412" s="41"/>
      <c r="L412" s="41"/>
      <c r="M412" s="41"/>
      <c r="N412" s="41"/>
      <c r="O412" s="41"/>
      <c r="P412" s="41"/>
      <c r="Q412" s="41"/>
      <c r="R412" s="41"/>
      <c r="S412" s="41"/>
      <c r="T412" s="41"/>
      <c r="U412" s="41"/>
      <c r="V412" s="41"/>
      <c r="W412" s="41"/>
      <c r="X412" s="41"/>
      <c r="Y412" s="41"/>
      <c r="Z412" s="41"/>
    </row>
    <row r="413" customFormat="false" ht="14.25" hidden="false" customHeight="true" outlineLevel="0" collapsed="false">
      <c r="A413" s="38"/>
      <c r="B413" s="38"/>
      <c r="C413" s="39"/>
      <c r="D413" s="40"/>
      <c r="E413" s="40"/>
      <c r="F413" s="41"/>
      <c r="G413" s="41"/>
      <c r="H413" s="41"/>
      <c r="I413" s="41"/>
      <c r="J413" s="41"/>
      <c r="K413" s="41"/>
      <c r="L413" s="41"/>
      <c r="M413" s="41"/>
      <c r="N413" s="41"/>
      <c r="O413" s="41"/>
      <c r="P413" s="41"/>
      <c r="Q413" s="41"/>
      <c r="R413" s="41"/>
      <c r="S413" s="41"/>
      <c r="T413" s="41"/>
      <c r="U413" s="41"/>
      <c r="V413" s="41"/>
      <c r="W413" s="41"/>
      <c r="X413" s="41"/>
      <c r="Y413" s="41"/>
      <c r="Z413" s="41"/>
    </row>
    <row r="414" customFormat="false" ht="14.25" hidden="false" customHeight="true" outlineLevel="0" collapsed="false">
      <c r="A414" s="38"/>
      <c r="B414" s="38"/>
      <c r="C414" s="39"/>
      <c r="D414" s="40"/>
      <c r="E414" s="40"/>
      <c r="F414" s="41"/>
      <c r="G414" s="41"/>
      <c r="H414" s="41"/>
      <c r="I414" s="41"/>
      <c r="J414" s="41"/>
      <c r="K414" s="41"/>
      <c r="L414" s="41"/>
      <c r="M414" s="41"/>
      <c r="N414" s="41"/>
      <c r="O414" s="41"/>
      <c r="P414" s="41"/>
      <c r="Q414" s="41"/>
      <c r="R414" s="41"/>
      <c r="S414" s="41"/>
      <c r="T414" s="41"/>
      <c r="U414" s="41"/>
      <c r="V414" s="41"/>
      <c r="W414" s="41"/>
      <c r="X414" s="41"/>
      <c r="Y414" s="41"/>
      <c r="Z414" s="41"/>
    </row>
    <row r="415" customFormat="false" ht="14.25" hidden="false" customHeight="true" outlineLevel="0" collapsed="false">
      <c r="A415" s="38"/>
      <c r="B415" s="38"/>
      <c r="C415" s="39"/>
      <c r="D415" s="40"/>
      <c r="E415" s="40"/>
      <c r="F415" s="41"/>
      <c r="G415" s="41"/>
      <c r="H415" s="41"/>
      <c r="I415" s="41"/>
      <c r="J415" s="41"/>
      <c r="K415" s="41"/>
      <c r="L415" s="41"/>
      <c r="M415" s="41"/>
      <c r="N415" s="41"/>
      <c r="O415" s="41"/>
      <c r="P415" s="41"/>
      <c r="Q415" s="41"/>
      <c r="R415" s="41"/>
      <c r="S415" s="41"/>
      <c r="T415" s="41"/>
      <c r="U415" s="41"/>
      <c r="V415" s="41"/>
      <c r="W415" s="41"/>
      <c r="X415" s="41"/>
      <c r="Y415" s="41"/>
      <c r="Z415" s="41"/>
    </row>
    <row r="416" customFormat="false" ht="14.25" hidden="false" customHeight="true" outlineLevel="0" collapsed="false">
      <c r="A416" s="38"/>
      <c r="B416" s="38"/>
      <c r="C416" s="39"/>
      <c r="D416" s="40"/>
      <c r="E416" s="40"/>
      <c r="F416" s="41"/>
      <c r="G416" s="41"/>
      <c r="H416" s="41"/>
      <c r="I416" s="41"/>
      <c r="J416" s="41"/>
      <c r="K416" s="41"/>
      <c r="L416" s="41"/>
      <c r="M416" s="41"/>
      <c r="N416" s="41"/>
      <c r="O416" s="41"/>
      <c r="P416" s="41"/>
      <c r="Q416" s="41"/>
      <c r="R416" s="41"/>
      <c r="S416" s="41"/>
      <c r="T416" s="41"/>
      <c r="U416" s="41"/>
      <c r="V416" s="41"/>
      <c r="W416" s="41"/>
      <c r="X416" s="41"/>
      <c r="Y416" s="41"/>
      <c r="Z416" s="41"/>
    </row>
    <row r="417" customFormat="false" ht="14.25" hidden="false" customHeight="true" outlineLevel="0" collapsed="false">
      <c r="A417" s="38"/>
      <c r="B417" s="38"/>
      <c r="C417" s="39"/>
      <c r="D417" s="40"/>
      <c r="E417" s="40"/>
      <c r="F417" s="41"/>
      <c r="G417" s="41"/>
      <c r="H417" s="41"/>
      <c r="I417" s="41"/>
      <c r="J417" s="41"/>
      <c r="K417" s="41"/>
      <c r="L417" s="41"/>
      <c r="M417" s="41"/>
      <c r="N417" s="41"/>
      <c r="O417" s="41"/>
      <c r="P417" s="41"/>
      <c r="Q417" s="41"/>
      <c r="R417" s="41"/>
      <c r="S417" s="41"/>
      <c r="T417" s="41"/>
      <c r="U417" s="41"/>
      <c r="V417" s="41"/>
      <c r="W417" s="41"/>
      <c r="X417" s="41"/>
      <c r="Y417" s="41"/>
      <c r="Z417" s="41"/>
    </row>
    <row r="418" customFormat="false" ht="14.25" hidden="false" customHeight="true" outlineLevel="0" collapsed="false">
      <c r="A418" s="38"/>
      <c r="B418" s="38"/>
      <c r="C418" s="39"/>
      <c r="D418" s="40"/>
      <c r="E418" s="40"/>
      <c r="F418" s="41"/>
      <c r="G418" s="41"/>
      <c r="H418" s="41"/>
      <c r="I418" s="41"/>
      <c r="J418" s="41"/>
      <c r="K418" s="41"/>
      <c r="L418" s="41"/>
      <c r="M418" s="41"/>
      <c r="N418" s="41"/>
      <c r="O418" s="41"/>
      <c r="P418" s="41"/>
      <c r="Q418" s="41"/>
      <c r="R418" s="41"/>
      <c r="S418" s="41"/>
      <c r="T418" s="41"/>
      <c r="U418" s="41"/>
      <c r="V418" s="41"/>
      <c r="W418" s="41"/>
      <c r="X418" s="41"/>
      <c r="Y418" s="41"/>
      <c r="Z418" s="41"/>
    </row>
    <row r="419" customFormat="false" ht="14.25" hidden="false" customHeight="true" outlineLevel="0" collapsed="false">
      <c r="A419" s="38"/>
      <c r="B419" s="38"/>
      <c r="C419" s="39"/>
      <c r="D419" s="40"/>
      <c r="E419" s="40"/>
      <c r="F419" s="41"/>
      <c r="G419" s="41"/>
      <c r="H419" s="41"/>
      <c r="I419" s="41"/>
      <c r="J419" s="41"/>
      <c r="K419" s="41"/>
      <c r="L419" s="41"/>
      <c r="M419" s="41"/>
      <c r="N419" s="41"/>
      <c r="O419" s="41"/>
      <c r="P419" s="41"/>
      <c r="Q419" s="41"/>
      <c r="R419" s="41"/>
      <c r="S419" s="41"/>
      <c r="T419" s="41"/>
      <c r="U419" s="41"/>
      <c r="V419" s="41"/>
      <c r="W419" s="41"/>
      <c r="X419" s="41"/>
      <c r="Y419" s="41"/>
      <c r="Z419" s="41"/>
    </row>
    <row r="420" customFormat="false" ht="14.25" hidden="false" customHeight="true" outlineLevel="0" collapsed="false">
      <c r="A420" s="38"/>
      <c r="B420" s="38"/>
      <c r="C420" s="39"/>
      <c r="D420" s="40"/>
      <c r="E420" s="40"/>
      <c r="F420" s="41"/>
      <c r="G420" s="41"/>
      <c r="H420" s="41"/>
      <c r="I420" s="41"/>
      <c r="J420" s="41"/>
      <c r="K420" s="41"/>
      <c r="L420" s="41"/>
      <c r="M420" s="41"/>
      <c r="N420" s="41"/>
      <c r="O420" s="41"/>
      <c r="P420" s="41"/>
      <c r="Q420" s="41"/>
      <c r="R420" s="41"/>
      <c r="S420" s="41"/>
      <c r="T420" s="41"/>
      <c r="U420" s="41"/>
      <c r="V420" s="41"/>
      <c r="W420" s="41"/>
      <c r="X420" s="41"/>
      <c r="Y420" s="41"/>
      <c r="Z420" s="41"/>
    </row>
    <row r="421" customFormat="false" ht="14.25" hidden="false" customHeight="true" outlineLevel="0" collapsed="false">
      <c r="A421" s="38"/>
      <c r="B421" s="38"/>
      <c r="C421" s="39"/>
      <c r="D421" s="40"/>
      <c r="E421" s="40"/>
      <c r="F421" s="41"/>
      <c r="G421" s="41"/>
      <c r="H421" s="41"/>
      <c r="I421" s="41"/>
      <c r="J421" s="41"/>
      <c r="K421" s="41"/>
      <c r="L421" s="41"/>
      <c r="M421" s="41"/>
      <c r="N421" s="41"/>
      <c r="O421" s="41"/>
      <c r="P421" s="41"/>
      <c r="Q421" s="41"/>
      <c r="R421" s="41"/>
      <c r="S421" s="41"/>
      <c r="T421" s="41"/>
      <c r="U421" s="41"/>
      <c r="V421" s="41"/>
      <c r="W421" s="41"/>
      <c r="X421" s="41"/>
      <c r="Y421" s="41"/>
      <c r="Z421" s="41"/>
    </row>
    <row r="422" customFormat="false" ht="14.25" hidden="false" customHeight="true" outlineLevel="0" collapsed="false">
      <c r="A422" s="38"/>
      <c r="B422" s="38"/>
      <c r="C422" s="39"/>
      <c r="D422" s="40"/>
      <c r="E422" s="40"/>
      <c r="F422" s="41"/>
      <c r="G422" s="41"/>
      <c r="H422" s="41"/>
      <c r="I422" s="41"/>
      <c r="J422" s="41"/>
      <c r="K422" s="41"/>
      <c r="L422" s="41"/>
      <c r="M422" s="41"/>
      <c r="N422" s="41"/>
      <c r="O422" s="41"/>
      <c r="P422" s="41"/>
      <c r="Q422" s="41"/>
      <c r="R422" s="41"/>
      <c r="S422" s="41"/>
      <c r="T422" s="41"/>
      <c r="U422" s="41"/>
      <c r="V422" s="41"/>
      <c r="W422" s="41"/>
      <c r="X422" s="41"/>
      <c r="Y422" s="41"/>
      <c r="Z422" s="41"/>
    </row>
    <row r="423" customFormat="false" ht="14.25" hidden="false" customHeight="true" outlineLevel="0" collapsed="false">
      <c r="A423" s="38"/>
      <c r="B423" s="38"/>
      <c r="C423" s="39"/>
      <c r="D423" s="40"/>
      <c r="E423" s="40"/>
      <c r="F423" s="41"/>
      <c r="G423" s="41"/>
      <c r="H423" s="41"/>
      <c r="I423" s="41"/>
      <c r="J423" s="41"/>
      <c r="K423" s="41"/>
      <c r="L423" s="41"/>
      <c r="M423" s="41"/>
      <c r="N423" s="41"/>
      <c r="O423" s="41"/>
      <c r="P423" s="41"/>
      <c r="Q423" s="41"/>
      <c r="R423" s="41"/>
      <c r="S423" s="41"/>
      <c r="T423" s="41"/>
      <c r="U423" s="41"/>
      <c r="V423" s="41"/>
      <c r="W423" s="41"/>
      <c r="X423" s="41"/>
      <c r="Y423" s="41"/>
      <c r="Z423" s="41"/>
    </row>
    <row r="424" customFormat="false" ht="14.25" hidden="false" customHeight="true" outlineLevel="0" collapsed="false">
      <c r="A424" s="38"/>
      <c r="B424" s="38"/>
      <c r="C424" s="39"/>
      <c r="D424" s="40"/>
      <c r="E424" s="40"/>
      <c r="F424" s="41"/>
      <c r="G424" s="41"/>
      <c r="H424" s="41"/>
      <c r="I424" s="41"/>
      <c r="J424" s="41"/>
      <c r="K424" s="41"/>
      <c r="L424" s="41"/>
      <c r="M424" s="41"/>
      <c r="N424" s="41"/>
      <c r="O424" s="41"/>
      <c r="P424" s="41"/>
      <c r="Q424" s="41"/>
      <c r="R424" s="41"/>
      <c r="S424" s="41"/>
      <c r="T424" s="41"/>
      <c r="U424" s="41"/>
      <c r="V424" s="41"/>
      <c r="W424" s="41"/>
      <c r="X424" s="41"/>
      <c r="Y424" s="41"/>
      <c r="Z424" s="41"/>
    </row>
    <row r="425" customFormat="false" ht="14.25" hidden="false" customHeight="true" outlineLevel="0" collapsed="false">
      <c r="A425" s="38"/>
      <c r="B425" s="38"/>
      <c r="C425" s="39"/>
      <c r="D425" s="40"/>
      <c r="E425" s="40"/>
      <c r="F425" s="41"/>
      <c r="G425" s="41"/>
      <c r="H425" s="41"/>
      <c r="I425" s="41"/>
      <c r="J425" s="41"/>
      <c r="K425" s="41"/>
      <c r="L425" s="41"/>
      <c r="M425" s="41"/>
      <c r="N425" s="41"/>
      <c r="O425" s="41"/>
      <c r="P425" s="41"/>
      <c r="Q425" s="41"/>
      <c r="R425" s="41"/>
      <c r="S425" s="41"/>
      <c r="T425" s="41"/>
      <c r="U425" s="41"/>
      <c r="V425" s="41"/>
      <c r="W425" s="41"/>
      <c r="X425" s="41"/>
      <c r="Y425" s="41"/>
      <c r="Z425" s="41"/>
    </row>
    <row r="426" customFormat="false" ht="14.25" hidden="false" customHeight="true" outlineLevel="0" collapsed="false">
      <c r="A426" s="38"/>
      <c r="B426" s="38"/>
      <c r="C426" s="39"/>
      <c r="D426" s="40"/>
      <c r="E426" s="40"/>
      <c r="F426" s="41"/>
      <c r="G426" s="41"/>
      <c r="H426" s="41"/>
      <c r="I426" s="41"/>
      <c r="J426" s="41"/>
      <c r="K426" s="41"/>
      <c r="L426" s="41"/>
      <c r="M426" s="41"/>
      <c r="N426" s="41"/>
      <c r="O426" s="41"/>
      <c r="P426" s="41"/>
      <c r="Q426" s="41"/>
      <c r="R426" s="41"/>
      <c r="S426" s="41"/>
      <c r="T426" s="41"/>
      <c r="U426" s="41"/>
      <c r="V426" s="41"/>
      <c r="W426" s="41"/>
      <c r="X426" s="41"/>
      <c r="Y426" s="41"/>
      <c r="Z426" s="41"/>
    </row>
    <row r="427" customFormat="false" ht="14.25" hidden="false" customHeight="true" outlineLevel="0" collapsed="false">
      <c r="A427" s="38"/>
      <c r="B427" s="38"/>
      <c r="C427" s="39"/>
      <c r="D427" s="40"/>
      <c r="E427" s="40"/>
      <c r="F427" s="41"/>
      <c r="G427" s="41"/>
      <c r="H427" s="41"/>
      <c r="I427" s="41"/>
      <c r="J427" s="41"/>
      <c r="K427" s="41"/>
      <c r="L427" s="41"/>
      <c r="M427" s="41"/>
      <c r="N427" s="41"/>
      <c r="O427" s="41"/>
      <c r="P427" s="41"/>
      <c r="Q427" s="41"/>
      <c r="R427" s="41"/>
      <c r="S427" s="41"/>
      <c r="T427" s="41"/>
      <c r="U427" s="41"/>
      <c r="V427" s="41"/>
      <c r="W427" s="41"/>
      <c r="X427" s="41"/>
      <c r="Y427" s="41"/>
      <c r="Z427" s="41"/>
    </row>
    <row r="428" customFormat="false" ht="14.25" hidden="false" customHeight="true" outlineLevel="0" collapsed="false">
      <c r="A428" s="38"/>
      <c r="B428" s="38"/>
      <c r="C428" s="39"/>
      <c r="D428" s="40"/>
      <c r="E428" s="40"/>
      <c r="F428" s="41"/>
      <c r="G428" s="41"/>
      <c r="H428" s="41"/>
      <c r="I428" s="41"/>
      <c r="J428" s="41"/>
      <c r="K428" s="41"/>
      <c r="L428" s="41"/>
      <c r="M428" s="41"/>
      <c r="N428" s="41"/>
      <c r="O428" s="41"/>
      <c r="P428" s="41"/>
      <c r="Q428" s="41"/>
      <c r="R428" s="41"/>
      <c r="S428" s="41"/>
      <c r="T428" s="41"/>
      <c r="U428" s="41"/>
      <c r="V428" s="41"/>
      <c r="W428" s="41"/>
      <c r="X428" s="41"/>
      <c r="Y428" s="41"/>
      <c r="Z428" s="41"/>
    </row>
    <row r="429" customFormat="false" ht="14.25" hidden="false" customHeight="true" outlineLevel="0" collapsed="false">
      <c r="A429" s="38"/>
      <c r="B429" s="38"/>
      <c r="C429" s="39"/>
      <c r="D429" s="40"/>
      <c r="E429" s="40"/>
      <c r="F429" s="41"/>
      <c r="G429" s="41"/>
      <c r="H429" s="41"/>
      <c r="I429" s="41"/>
      <c r="J429" s="41"/>
      <c r="K429" s="41"/>
      <c r="L429" s="41"/>
      <c r="M429" s="41"/>
      <c r="N429" s="41"/>
      <c r="O429" s="41"/>
      <c r="P429" s="41"/>
      <c r="Q429" s="41"/>
      <c r="R429" s="41"/>
      <c r="S429" s="41"/>
      <c r="T429" s="41"/>
      <c r="U429" s="41"/>
      <c r="V429" s="41"/>
      <c r="W429" s="41"/>
      <c r="X429" s="41"/>
      <c r="Y429" s="41"/>
      <c r="Z429" s="41"/>
    </row>
    <row r="430" customFormat="false" ht="14.25" hidden="false" customHeight="true" outlineLevel="0" collapsed="false">
      <c r="A430" s="38"/>
      <c r="B430" s="38"/>
      <c r="C430" s="39"/>
      <c r="D430" s="40"/>
      <c r="E430" s="40"/>
      <c r="F430" s="41"/>
      <c r="G430" s="41"/>
      <c r="H430" s="41"/>
      <c r="I430" s="41"/>
      <c r="J430" s="41"/>
      <c r="K430" s="41"/>
      <c r="L430" s="41"/>
      <c r="M430" s="41"/>
      <c r="N430" s="41"/>
      <c r="O430" s="41"/>
      <c r="P430" s="41"/>
      <c r="Q430" s="41"/>
      <c r="R430" s="41"/>
      <c r="S430" s="41"/>
      <c r="T430" s="41"/>
      <c r="U430" s="41"/>
      <c r="V430" s="41"/>
      <c r="W430" s="41"/>
      <c r="X430" s="41"/>
      <c r="Y430" s="41"/>
      <c r="Z430" s="41"/>
    </row>
    <row r="431" customFormat="false" ht="14.25" hidden="false" customHeight="true" outlineLevel="0" collapsed="false">
      <c r="A431" s="38"/>
      <c r="B431" s="38"/>
      <c r="C431" s="39"/>
      <c r="D431" s="40"/>
      <c r="E431" s="40"/>
      <c r="F431" s="41"/>
      <c r="G431" s="41"/>
      <c r="H431" s="41"/>
      <c r="I431" s="41"/>
      <c r="J431" s="41"/>
      <c r="K431" s="41"/>
      <c r="L431" s="41"/>
      <c r="M431" s="41"/>
      <c r="N431" s="41"/>
      <c r="O431" s="41"/>
      <c r="P431" s="41"/>
      <c r="Q431" s="41"/>
      <c r="R431" s="41"/>
      <c r="S431" s="41"/>
      <c r="T431" s="41"/>
      <c r="U431" s="41"/>
      <c r="V431" s="41"/>
      <c r="W431" s="41"/>
      <c r="X431" s="41"/>
      <c r="Y431" s="41"/>
      <c r="Z431" s="41"/>
    </row>
    <row r="432" customFormat="false" ht="14.25" hidden="false" customHeight="true" outlineLevel="0" collapsed="false">
      <c r="A432" s="38"/>
      <c r="B432" s="38"/>
      <c r="C432" s="39"/>
      <c r="D432" s="40"/>
      <c r="E432" s="40"/>
      <c r="F432" s="41"/>
      <c r="G432" s="41"/>
      <c r="H432" s="41"/>
      <c r="I432" s="41"/>
      <c r="J432" s="41"/>
      <c r="K432" s="41"/>
      <c r="L432" s="41"/>
      <c r="M432" s="41"/>
      <c r="N432" s="41"/>
      <c r="O432" s="41"/>
      <c r="P432" s="41"/>
      <c r="Q432" s="41"/>
      <c r="R432" s="41"/>
      <c r="S432" s="41"/>
      <c r="T432" s="41"/>
      <c r="U432" s="41"/>
      <c r="V432" s="41"/>
      <c r="W432" s="41"/>
      <c r="X432" s="41"/>
      <c r="Y432" s="41"/>
      <c r="Z432" s="41"/>
    </row>
    <row r="433" customFormat="false" ht="14.25" hidden="false" customHeight="true" outlineLevel="0" collapsed="false">
      <c r="A433" s="38"/>
      <c r="B433" s="38"/>
      <c r="C433" s="39"/>
      <c r="D433" s="40"/>
      <c r="E433" s="40"/>
      <c r="F433" s="41"/>
      <c r="G433" s="41"/>
      <c r="H433" s="41"/>
      <c r="I433" s="41"/>
      <c r="J433" s="41"/>
      <c r="K433" s="41"/>
      <c r="L433" s="41"/>
      <c r="M433" s="41"/>
      <c r="N433" s="41"/>
      <c r="O433" s="41"/>
      <c r="P433" s="41"/>
      <c r="Q433" s="41"/>
      <c r="R433" s="41"/>
      <c r="S433" s="41"/>
      <c r="T433" s="41"/>
      <c r="U433" s="41"/>
      <c r="V433" s="41"/>
      <c r="W433" s="41"/>
      <c r="X433" s="41"/>
      <c r="Y433" s="41"/>
      <c r="Z433" s="41"/>
    </row>
    <row r="434" customFormat="false" ht="14.25" hidden="false" customHeight="true" outlineLevel="0" collapsed="false">
      <c r="A434" s="38"/>
      <c r="B434" s="38"/>
      <c r="C434" s="39"/>
      <c r="D434" s="40"/>
      <c r="E434" s="40"/>
      <c r="F434" s="41"/>
      <c r="G434" s="41"/>
      <c r="H434" s="41"/>
      <c r="I434" s="41"/>
      <c r="J434" s="41"/>
      <c r="K434" s="41"/>
      <c r="L434" s="41"/>
      <c r="M434" s="41"/>
      <c r="N434" s="41"/>
      <c r="O434" s="41"/>
      <c r="P434" s="41"/>
      <c r="Q434" s="41"/>
      <c r="R434" s="41"/>
      <c r="S434" s="41"/>
      <c r="T434" s="41"/>
      <c r="U434" s="41"/>
      <c r="V434" s="41"/>
      <c r="W434" s="41"/>
      <c r="X434" s="41"/>
      <c r="Y434" s="41"/>
      <c r="Z434" s="41"/>
    </row>
    <row r="435" customFormat="false" ht="14.25" hidden="false" customHeight="true" outlineLevel="0" collapsed="false">
      <c r="A435" s="38"/>
      <c r="B435" s="38"/>
      <c r="C435" s="39"/>
      <c r="D435" s="40"/>
      <c r="E435" s="40"/>
      <c r="F435" s="41"/>
      <c r="G435" s="41"/>
      <c r="H435" s="41"/>
      <c r="I435" s="41"/>
      <c r="J435" s="41"/>
      <c r="K435" s="41"/>
      <c r="L435" s="41"/>
      <c r="M435" s="41"/>
      <c r="N435" s="41"/>
      <c r="O435" s="41"/>
      <c r="P435" s="41"/>
      <c r="Q435" s="41"/>
      <c r="R435" s="41"/>
      <c r="S435" s="41"/>
      <c r="T435" s="41"/>
      <c r="U435" s="41"/>
      <c r="V435" s="41"/>
      <c r="W435" s="41"/>
      <c r="X435" s="41"/>
      <c r="Y435" s="41"/>
      <c r="Z435" s="41"/>
    </row>
    <row r="436" customFormat="false" ht="14.25" hidden="false" customHeight="true" outlineLevel="0" collapsed="false">
      <c r="A436" s="38"/>
      <c r="B436" s="38"/>
      <c r="C436" s="39"/>
      <c r="D436" s="40"/>
      <c r="E436" s="40"/>
      <c r="F436" s="41"/>
      <c r="G436" s="41"/>
      <c r="H436" s="41"/>
      <c r="I436" s="41"/>
      <c r="J436" s="41"/>
      <c r="K436" s="41"/>
      <c r="L436" s="41"/>
      <c r="M436" s="41"/>
      <c r="N436" s="41"/>
      <c r="O436" s="41"/>
      <c r="P436" s="41"/>
      <c r="Q436" s="41"/>
      <c r="R436" s="41"/>
      <c r="S436" s="41"/>
      <c r="T436" s="41"/>
      <c r="U436" s="41"/>
      <c r="V436" s="41"/>
      <c r="W436" s="41"/>
      <c r="X436" s="41"/>
      <c r="Y436" s="41"/>
      <c r="Z436" s="41"/>
    </row>
    <row r="437" customFormat="false" ht="14.25" hidden="false" customHeight="true" outlineLevel="0" collapsed="false">
      <c r="A437" s="38"/>
      <c r="B437" s="38"/>
      <c r="C437" s="39"/>
      <c r="D437" s="40"/>
      <c r="E437" s="40"/>
      <c r="F437" s="41"/>
      <c r="G437" s="41"/>
      <c r="H437" s="41"/>
      <c r="I437" s="41"/>
      <c r="J437" s="41"/>
      <c r="K437" s="41"/>
      <c r="L437" s="41"/>
      <c r="M437" s="41"/>
      <c r="N437" s="41"/>
      <c r="O437" s="41"/>
      <c r="P437" s="41"/>
      <c r="Q437" s="41"/>
      <c r="R437" s="41"/>
      <c r="S437" s="41"/>
      <c r="T437" s="41"/>
      <c r="U437" s="41"/>
      <c r="V437" s="41"/>
      <c r="W437" s="41"/>
      <c r="X437" s="41"/>
      <c r="Y437" s="41"/>
      <c r="Z437" s="41"/>
    </row>
    <row r="438" customFormat="false" ht="14.25" hidden="false" customHeight="true" outlineLevel="0" collapsed="false">
      <c r="A438" s="38"/>
      <c r="B438" s="38"/>
      <c r="C438" s="39"/>
      <c r="D438" s="40"/>
      <c r="E438" s="40"/>
      <c r="F438" s="41"/>
      <c r="G438" s="41"/>
      <c r="H438" s="41"/>
      <c r="I438" s="41"/>
      <c r="J438" s="41"/>
      <c r="K438" s="41"/>
      <c r="L438" s="41"/>
      <c r="M438" s="41"/>
      <c r="N438" s="41"/>
      <c r="O438" s="41"/>
      <c r="P438" s="41"/>
      <c r="Q438" s="41"/>
      <c r="R438" s="41"/>
      <c r="S438" s="41"/>
      <c r="T438" s="41"/>
      <c r="U438" s="41"/>
      <c r="V438" s="41"/>
      <c r="W438" s="41"/>
      <c r="X438" s="41"/>
      <c r="Y438" s="41"/>
      <c r="Z438" s="41"/>
    </row>
    <row r="439" customFormat="false" ht="14.25" hidden="false" customHeight="true" outlineLevel="0" collapsed="false">
      <c r="A439" s="38"/>
      <c r="B439" s="38"/>
      <c r="C439" s="39"/>
      <c r="D439" s="40"/>
      <c r="E439" s="40"/>
      <c r="F439" s="41"/>
      <c r="G439" s="41"/>
      <c r="H439" s="41"/>
      <c r="I439" s="41"/>
      <c r="J439" s="41"/>
      <c r="K439" s="41"/>
      <c r="L439" s="41"/>
      <c r="M439" s="41"/>
      <c r="N439" s="41"/>
      <c r="O439" s="41"/>
      <c r="P439" s="41"/>
      <c r="Q439" s="41"/>
      <c r="R439" s="41"/>
      <c r="S439" s="41"/>
      <c r="T439" s="41"/>
      <c r="U439" s="41"/>
      <c r="V439" s="41"/>
      <c r="W439" s="41"/>
      <c r="X439" s="41"/>
      <c r="Y439" s="41"/>
      <c r="Z439" s="41"/>
    </row>
    <row r="440" customFormat="false" ht="14.25" hidden="false" customHeight="true" outlineLevel="0" collapsed="false">
      <c r="A440" s="38"/>
      <c r="B440" s="38"/>
      <c r="C440" s="39"/>
      <c r="D440" s="40"/>
      <c r="E440" s="40"/>
      <c r="F440" s="41"/>
      <c r="G440" s="41"/>
      <c r="H440" s="41"/>
      <c r="I440" s="41"/>
      <c r="J440" s="41"/>
      <c r="K440" s="41"/>
      <c r="L440" s="41"/>
      <c r="M440" s="41"/>
      <c r="N440" s="41"/>
      <c r="O440" s="41"/>
      <c r="P440" s="41"/>
      <c r="Q440" s="41"/>
      <c r="R440" s="41"/>
      <c r="S440" s="41"/>
      <c r="T440" s="41"/>
      <c r="U440" s="41"/>
      <c r="V440" s="41"/>
      <c r="W440" s="41"/>
      <c r="X440" s="41"/>
      <c r="Y440" s="41"/>
      <c r="Z440" s="41"/>
    </row>
    <row r="441" customFormat="false" ht="14.25" hidden="false" customHeight="true" outlineLevel="0" collapsed="false">
      <c r="A441" s="38"/>
      <c r="B441" s="38"/>
      <c r="C441" s="39"/>
      <c r="D441" s="40"/>
      <c r="E441" s="40"/>
      <c r="F441" s="41"/>
      <c r="G441" s="41"/>
      <c r="H441" s="41"/>
      <c r="I441" s="41"/>
      <c r="J441" s="41"/>
      <c r="K441" s="41"/>
      <c r="L441" s="41"/>
      <c r="M441" s="41"/>
      <c r="N441" s="41"/>
      <c r="O441" s="41"/>
      <c r="P441" s="41"/>
      <c r="Q441" s="41"/>
      <c r="R441" s="41"/>
      <c r="S441" s="41"/>
      <c r="T441" s="41"/>
      <c r="U441" s="41"/>
      <c r="V441" s="41"/>
      <c r="W441" s="41"/>
      <c r="X441" s="41"/>
      <c r="Y441" s="41"/>
      <c r="Z441" s="41"/>
    </row>
    <row r="442" customFormat="false" ht="14.25" hidden="false" customHeight="true" outlineLevel="0" collapsed="false">
      <c r="A442" s="38"/>
      <c r="B442" s="38"/>
      <c r="C442" s="39"/>
      <c r="D442" s="40"/>
      <c r="E442" s="40"/>
      <c r="F442" s="41"/>
      <c r="G442" s="41"/>
      <c r="H442" s="41"/>
      <c r="I442" s="41"/>
      <c r="J442" s="41"/>
      <c r="K442" s="41"/>
      <c r="L442" s="41"/>
      <c r="M442" s="41"/>
      <c r="N442" s="41"/>
      <c r="O442" s="41"/>
      <c r="P442" s="41"/>
      <c r="Q442" s="41"/>
      <c r="R442" s="41"/>
      <c r="S442" s="41"/>
      <c r="T442" s="41"/>
      <c r="U442" s="41"/>
      <c r="V442" s="41"/>
      <c r="W442" s="41"/>
      <c r="X442" s="41"/>
      <c r="Y442" s="41"/>
      <c r="Z442" s="41"/>
    </row>
    <row r="443" customFormat="false" ht="14.25" hidden="false" customHeight="true" outlineLevel="0" collapsed="false">
      <c r="A443" s="38"/>
      <c r="B443" s="38"/>
      <c r="C443" s="39"/>
      <c r="D443" s="40"/>
      <c r="E443" s="40"/>
      <c r="F443" s="41"/>
      <c r="G443" s="41"/>
      <c r="H443" s="41"/>
      <c r="I443" s="41"/>
      <c r="J443" s="41"/>
      <c r="K443" s="41"/>
      <c r="L443" s="41"/>
      <c r="M443" s="41"/>
      <c r="N443" s="41"/>
      <c r="O443" s="41"/>
      <c r="P443" s="41"/>
      <c r="Q443" s="41"/>
      <c r="R443" s="41"/>
      <c r="S443" s="41"/>
      <c r="T443" s="41"/>
      <c r="U443" s="41"/>
      <c r="V443" s="41"/>
      <c r="W443" s="41"/>
      <c r="X443" s="41"/>
      <c r="Y443" s="41"/>
      <c r="Z443" s="41"/>
    </row>
    <row r="444" customFormat="false" ht="14.25" hidden="false" customHeight="true" outlineLevel="0" collapsed="false">
      <c r="A444" s="38"/>
      <c r="B444" s="38"/>
      <c r="C444" s="39"/>
      <c r="D444" s="40"/>
      <c r="E444" s="40"/>
      <c r="F444" s="41"/>
      <c r="G444" s="41"/>
      <c r="H444" s="41"/>
      <c r="I444" s="41"/>
      <c r="J444" s="41"/>
      <c r="K444" s="41"/>
      <c r="L444" s="41"/>
      <c r="M444" s="41"/>
      <c r="N444" s="41"/>
      <c r="O444" s="41"/>
      <c r="P444" s="41"/>
      <c r="Q444" s="41"/>
      <c r="R444" s="41"/>
      <c r="S444" s="41"/>
      <c r="T444" s="41"/>
      <c r="U444" s="41"/>
      <c r="V444" s="41"/>
      <c r="W444" s="41"/>
      <c r="X444" s="41"/>
      <c r="Y444" s="41"/>
      <c r="Z444" s="41"/>
    </row>
    <row r="445" customFormat="false" ht="14.25" hidden="false" customHeight="true" outlineLevel="0" collapsed="false">
      <c r="A445" s="38"/>
      <c r="B445" s="38"/>
      <c r="C445" s="39"/>
      <c r="D445" s="40"/>
      <c r="E445" s="40"/>
      <c r="F445" s="41"/>
      <c r="G445" s="41"/>
      <c r="H445" s="41"/>
      <c r="I445" s="41"/>
      <c r="J445" s="41"/>
      <c r="K445" s="41"/>
      <c r="L445" s="41"/>
      <c r="M445" s="41"/>
      <c r="N445" s="41"/>
      <c r="O445" s="41"/>
      <c r="P445" s="41"/>
      <c r="Q445" s="41"/>
      <c r="R445" s="41"/>
      <c r="S445" s="41"/>
      <c r="T445" s="41"/>
      <c r="U445" s="41"/>
      <c r="V445" s="41"/>
      <c r="W445" s="41"/>
      <c r="X445" s="41"/>
      <c r="Y445" s="41"/>
      <c r="Z445" s="41"/>
    </row>
    <row r="446" customFormat="false" ht="14.25" hidden="false" customHeight="true" outlineLevel="0" collapsed="false">
      <c r="A446" s="38"/>
      <c r="B446" s="38"/>
      <c r="C446" s="39"/>
      <c r="D446" s="40"/>
      <c r="E446" s="40"/>
      <c r="F446" s="41"/>
      <c r="G446" s="41"/>
      <c r="H446" s="41"/>
      <c r="I446" s="41"/>
      <c r="J446" s="41"/>
      <c r="K446" s="41"/>
      <c r="L446" s="41"/>
      <c r="M446" s="41"/>
      <c r="N446" s="41"/>
      <c r="O446" s="41"/>
      <c r="P446" s="41"/>
      <c r="Q446" s="41"/>
      <c r="R446" s="41"/>
      <c r="S446" s="41"/>
      <c r="T446" s="41"/>
      <c r="U446" s="41"/>
      <c r="V446" s="41"/>
      <c r="W446" s="41"/>
      <c r="X446" s="41"/>
      <c r="Y446" s="41"/>
      <c r="Z446" s="41"/>
    </row>
    <row r="447" customFormat="false" ht="14.25" hidden="false" customHeight="true" outlineLevel="0" collapsed="false">
      <c r="A447" s="38"/>
      <c r="B447" s="38"/>
      <c r="C447" s="39"/>
      <c r="D447" s="40"/>
      <c r="E447" s="40"/>
      <c r="F447" s="41"/>
      <c r="G447" s="41"/>
      <c r="H447" s="41"/>
      <c r="I447" s="41"/>
      <c r="J447" s="41"/>
      <c r="K447" s="41"/>
      <c r="L447" s="41"/>
      <c r="M447" s="41"/>
      <c r="N447" s="41"/>
      <c r="O447" s="41"/>
      <c r="P447" s="41"/>
      <c r="Q447" s="41"/>
      <c r="R447" s="41"/>
      <c r="S447" s="41"/>
      <c r="T447" s="41"/>
      <c r="U447" s="41"/>
      <c r="V447" s="41"/>
      <c r="W447" s="41"/>
      <c r="X447" s="41"/>
      <c r="Y447" s="41"/>
      <c r="Z447" s="41"/>
    </row>
    <row r="448" customFormat="false" ht="14.25" hidden="false" customHeight="true" outlineLevel="0" collapsed="false">
      <c r="A448" s="38"/>
      <c r="B448" s="38"/>
      <c r="C448" s="39"/>
      <c r="D448" s="40"/>
      <c r="E448" s="40"/>
      <c r="F448" s="41"/>
      <c r="G448" s="41"/>
      <c r="H448" s="41"/>
      <c r="I448" s="41"/>
      <c r="J448" s="41"/>
      <c r="K448" s="41"/>
      <c r="L448" s="41"/>
      <c r="M448" s="41"/>
      <c r="N448" s="41"/>
      <c r="O448" s="41"/>
      <c r="P448" s="41"/>
      <c r="Q448" s="41"/>
      <c r="R448" s="41"/>
      <c r="S448" s="41"/>
      <c r="T448" s="41"/>
      <c r="U448" s="41"/>
      <c r="V448" s="41"/>
      <c r="W448" s="41"/>
      <c r="X448" s="41"/>
      <c r="Y448" s="41"/>
      <c r="Z448" s="41"/>
    </row>
    <row r="449" customFormat="false" ht="14.25" hidden="false" customHeight="true" outlineLevel="0" collapsed="false">
      <c r="A449" s="38"/>
      <c r="B449" s="38"/>
      <c r="C449" s="39"/>
      <c r="D449" s="40"/>
      <c r="E449" s="40"/>
      <c r="F449" s="41"/>
      <c r="G449" s="41"/>
      <c r="H449" s="41"/>
      <c r="I449" s="41"/>
      <c r="J449" s="41"/>
      <c r="K449" s="41"/>
      <c r="L449" s="41"/>
      <c r="M449" s="41"/>
      <c r="N449" s="41"/>
      <c r="O449" s="41"/>
      <c r="P449" s="41"/>
      <c r="Q449" s="41"/>
      <c r="R449" s="41"/>
      <c r="S449" s="41"/>
      <c r="T449" s="41"/>
      <c r="U449" s="41"/>
      <c r="V449" s="41"/>
      <c r="W449" s="41"/>
      <c r="X449" s="41"/>
      <c r="Y449" s="41"/>
      <c r="Z449" s="41"/>
    </row>
    <row r="450" customFormat="false" ht="14.25" hidden="false" customHeight="true" outlineLevel="0" collapsed="false">
      <c r="A450" s="38"/>
      <c r="B450" s="38"/>
      <c r="C450" s="39"/>
      <c r="D450" s="40"/>
      <c r="E450" s="40"/>
      <c r="F450" s="41"/>
      <c r="G450" s="41"/>
      <c r="H450" s="41"/>
      <c r="I450" s="41"/>
      <c r="J450" s="41"/>
      <c r="K450" s="41"/>
      <c r="L450" s="41"/>
      <c r="M450" s="41"/>
      <c r="N450" s="41"/>
      <c r="O450" s="41"/>
      <c r="P450" s="41"/>
      <c r="Q450" s="41"/>
      <c r="R450" s="41"/>
      <c r="S450" s="41"/>
      <c r="T450" s="41"/>
      <c r="U450" s="41"/>
      <c r="V450" s="41"/>
      <c r="W450" s="41"/>
      <c r="X450" s="41"/>
      <c r="Y450" s="41"/>
      <c r="Z450" s="41"/>
    </row>
    <row r="451" customFormat="false" ht="14.25" hidden="false" customHeight="true" outlineLevel="0" collapsed="false">
      <c r="A451" s="38"/>
      <c r="B451" s="38"/>
      <c r="C451" s="39"/>
      <c r="D451" s="40"/>
      <c r="E451" s="40"/>
      <c r="F451" s="41"/>
      <c r="G451" s="41"/>
      <c r="H451" s="41"/>
      <c r="I451" s="41"/>
      <c r="J451" s="41"/>
      <c r="K451" s="41"/>
      <c r="L451" s="41"/>
      <c r="M451" s="41"/>
      <c r="N451" s="41"/>
      <c r="O451" s="41"/>
      <c r="P451" s="41"/>
      <c r="Q451" s="41"/>
      <c r="R451" s="41"/>
      <c r="S451" s="41"/>
      <c r="T451" s="41"/>
      <c r="U451" s="41"/>
      <c r="V451" s="41"/>
      <c r="W451" s="41"/>
      <c r="X451" s="41"/>
      <c r="Y451" s="41"/>
      <c r="Z451" s="41"/>
    </row>
    <row r="452" customFormat="false" ht="14.25" hidden="false" customHeight="true" outlineLevel="0" collapsed="false">
      <c r="A452" s="38"/>
      <c r="B452" s="38"/>
      <c r="C452" s="39"/>
      <c r="D452" s="40"/>
      <c r="E452" s="40"/>
      <c r="F452" s="41"/>
      <c r="G452" s="41"/>
      <c r="H452" s="41"/>
      <c r="I452" s="41"/>
      <c r="J452" s="41"/>
      <c r="K452" s="41"/>
      <c r="L452" s="41"/>
      <c r="M452" s="41"/>
      <c r="N452" s="41"/>
      <c r="O452" s="41"/>
      <c r="P452" s="41"/>
      <c r="Q452" s="41"/>
      <c r="R452" s="41"/>
      <c r="S452" s="41"/>
      <c r="T452" s="41"/>
      <c r="U452" s="41"/>
      <c r="V452" s="41"/>
      <c r="W452" s="41"/>
      <c r="X452" s="41"/>
      <c r="Y452" s="41"/>
      <c r="Z452" s="41"/>
    </row>
    <row r="453" customFormat="false" ht="14.25" hidden="false" customHeight="true" outlineLevel="0" collapsed="false">
      <c r="A453" s="38"/>
      <c r="B453" s="38"/>
      <c r="C453" s="39"/>
      <c r="D453" s="40"/>
      <c r="E453" s="40"/>
      <c r="F453" s="41"/>
      <c r="G453" s="41"/>
      <c r="H453" s="41"/>
      <c r="I453" s="41"/>
      <c r="J453" s="41"/>
      <c r="K453" s="41"/>
      <c r="L453" s="41"/>
      <c r="M453" s="41"/>
      <c r="N453" s="41"/>
      <c r="O453" s="41"/>
      <c r="P453" s="41"/>
      <c r="Q453" s="41"/>
      <c r="R453" s="41"/>
      <c r="S453" s="41"/>
      <c r="T453" s="41"/>
      <c r="U453" s="41"/>
      <c r="V453" s="41"/>
      <c r="W453" s="41"/>
      <c r="X453" s="41"/>
      <c r="Y453" s="41"/>
      <c r="Z453" s="41"/>
    </row>
    <row r="454" customFormat="false" ht="14.25" hidden="false" customHeight="true" outlineLevel="0" collapsed="false">
      <c r="A454" s="38"/>
      <c r="B454" s="38"/>
      <c r="C454" s="39"/>
      <c r="D454" s="40"/>
      <c r="E454" s="40"/>
      <c r="F454" s="41"/>
      <c r="G454" s="41"/>
      <c r="H454" s="41"/>
      <c r="I454" s="41"/>
      <c r="J454" s="41"/>
      <c r="K454" s="41"/>
      <c r="L454" s="41"/>
      <c r="M454" s="41"/>
      <c r="N454" s="41"/>
      <c r="O454" s="41"/>
      <c r="P454" s="41"/>
      <c r="Q454" s="41"/>
      <c r="R454" s="41"/>
      <c r="S454" s="41"/>
      <c r="T454" s="41"/>
      <c r="U454" s="41"/>
      <c r="V454" s="41"/>
      <c r="W454" s="41"/>
      <c r="X454" s="41"/>
      <c r="Y454" s="41"/>
      <c r="Z454" s="41"/>
    </row>
    <row r="455" customFormat="false" ht="14.25" hidden="false" customHeight="true" outlineLevel="0" collapsed="false">
      <c r="A455" s="38"/>
      <c r="B455" s="38"/>
      <c r="C455" s="39"/>
      <c r="D455" s="40"/>
      <c r="E455" s="40"/>
      <c r="F455" s="41"/>
      <c r="G455" s="41"/>
      <c r="H455" s="41"/>
      <c r="I455" s="41"/>
      <c r="J455" s="41"/>
      <c r="K455" s="41"/>
      <c r="L455" s="41"/>
      <c r="M455" s="41"/>
      <c r="N455" s="41"/>
      <c r="O455" s="41"/>
      <c r="P455" s="41"/>
      <c r="Q455" s="41"/>
      <c r="R455" s="41"/>
      <c r="S455" s="41"/>
      <c r="T455" s="41"/>
      <c r="U455" s="41"/>
      <c r="V455" s="41"/>
      <c r="W455" s="41"/>
      <c r="X455" s="41"/>
      <c r="Y455" s="41"/>
      <c r="Z455" s="41"/>
    </row>
    <row r="456" customFormat="false" ht="14.25" hidden="false" customHeight="true" outlineLevel="0" collapsed="false">
      <c r="A456" s="38"/>
      <c r="B456" s="38"/>
      <c r="C456" s="39"/>
      <c r="D456" s="40"/>
      <c r="E456" s="40"/>
      <c r="F456" s="41"/>
      <c r="G456" s="41"/>
      <c r="H456" s="41"/>
      <c r="I456" s="41"/>
      <c r="J456" s="41"/>
      <c r="K456" s="41"/>
      <c r="L456" s="41"/>
      <c r="M456" s="41"/>
      <c r="N456" s="41"/>
      <c r="O456" s="41"/>
      <c r="P456" s="41"/>
      <c r="Q456" s="41"/>
      <c r="R456" s="41"/>
      <c r="S456" s="41"/>
      <c r="T456" s="41"/>
      <c r="U456" s="41"/>
      <c r="V456" s="41"/>
      <c r="W456" s="41"/>
      <c r="X456" s="41"/>
      <c r="Y456" s="41"/>
      <c r="Z456" s="41"/>
    </row>
    <row r="457" customFormat="false" ht="14.25" hidden="false" customHeight="true" outlineLevel="0" collapsed="false">
      <c r="A457" s="38"/>
      <c r="B457" s="38"/>
      <c r="C457" s="39"/>
      <c r="D457" s="40"/>
      <c r="E457" s="40"/>
      <c r="F457" s="41"/>
      <c r="G457" s="41"/>
      <c r="H457" s="41"/>
      <c r="I457" s="41"/>
      <c r="J457" s="41"/>
      <c r="K457" s="41"/>
      <c r="L457" s="41"/>
      <c r="M457" s="41"/>
      <c r="N457" s="41"/>
      <c r="O457" s="41"/>
      <c r="P457" s="41"/>
      <c r="Q457" s="41"/>
      <c r="R457" s="41"/>
      <c r="S457" s="41"/>
      <c r="T457" s="41"/>
      <c r="U457" s="41"/>
      <c r="V457" s="41"/>
      <c r="W457" s="41"/>
      <c r="X457" s="41"/>
      <c r="Y457" s="41"/>
      <c r="Z457" s="41"/>
    </row>
    <row r="458" customFormat="false" ht="14.25" hidden="false" customHeight="true" outlineLevel="0" collapsed="false">
      <c r="A458" s="38"/>
      <c r="B458" s="38"/>
      <c r="C458" s="39"/>
      <c r="D458" s="40"/>
      <c r="E458" s="40"/>
      <c r="F458" s="41"/>
      <c r="G458" s="41"/>
      <c r="H458" s="41"/>
      <c r="I458" s="41"/>
      <c r="J458" s="41"/>
      <c r="K458" s="41"/>
      <c r="L458" s="41"/>
      <c r="M458" s="41"/>
      <c r="N458" s="41"/>
      <c r="O458" s="41"/>
      <c r="P458" s="41"/>
      <c r="Q458" s="41"/>
      <c r="R458" s="41"/>
      <c r="S458" s="41"/>
      <c r="T458" s="41"/>
      <c r="U458" s="41"/>
      <c r="V458" s="41"/>
      <c r="W458" s="41"/>
      <c r="X458" s="41"/>
      <c r="Y458" s="41"/>
      <c r="Z458" s="41"/>
    </row>
    <row r="459" customFormat="false" ht="14.25" hidden="false" customHeight="true" outlineLevel="0" collapsed="false">
      <c r="A459" s="38"/>
      <c r="B459" s="38"/>
      <c r="C459" s="39"/>
      <c r="D459" s="40"/>
      <c r="E459" s="40"/>
      <c r="F459" s="41"/>
      <c r="G459" s="41"/>
      <c r="H459" s="41"/>
      <c r="I459" s="41"/>
      <c r="J459" s="41"/>
      <c r="K459" s="41"/>
      <c r="L459" s="41"/>
      <c r="M459" s="41"/>
      <c r="N459" s="41"/>
      <c r="O459" s="41"/>
      <c r="P459" s="41"/>
      <c r="Q459" s="41"/>
      <c r="R459" s="41"/>
      <c r="S459" s="41"/>
      <c r="T459" s="41"/>
      <c r="U459" s="41"/>
      <c r="V459" s="41"/>
      <c r="W459" s="41"/>
      <c r="X459" s="41"/>
      <c r="Y459" s="41"/>
      <c r="Z459" s="41"/>
    </row>
    <row r="460" customFormat="false" ht="14.25" hidden="false" customHeight="true" outlineLevel="0" collapsed="false">
      <c r="A460" s="38"/>
      <c r="B460" s="38"/>
      <c r="C460" s="39"/>
      <c r="D460" s="40"/>
      <c r="E460" s="40"/>
      <c r="F460" s="41"/>
      <c r="G460" s="41"/>
      <c r="H460" s="41"/>
      <c r="I460" s="41"/>
      <c r="J460" s="41"/>
      <c r="K460" s="41"/>
      <c r="L460" s="41"/>
      <c r="M460" s="41"/>
      <c r="N460" s="41"/>
      <c r="O460" s="41"/>
      <c r="P460" s="41"/>
      <c r="Q460" s="41"/>
      <c r="R460" s="41"/>
      <c r="S460" s="41"/>
      <c r="T460" s="41"/>
      <c r="U460" s="41"/>
      <c r="V460" s="41"/>
      <c r="W460" s="41"/>
      <c r="X460" s="41"/>
      <c r="Y460" s="41"/>
      <c r="Z460" s="41"/>
    </row>
    <row r="461" customFormat="false" ht="14.25" hidden="false" customHeight="true" outlineLevel="0" collapsed="false">
      <c r="A461" s="38"/>
      <c r="B461" s="38"/>
      <c r="C461" s="39"/>
      <c r="D461" s="40"/>
      <c r="E461" s="40"/>
      <c r="F461" s="41"/>
      <c r="G461" s="41"/>
      <c r="H461" s="41"/>
      <c r="I461" s="41"/>
      <c r="J461" s="41"/>
      <c r="K461" s="41"/>
      <c r="L461" s="41"/>
      <c r="M461" s="41"/>
      <c r="N461" s="41"/>
      <c r="O461" s="41"/>
      <c r="P461" s="41"/>
      <c r="Q461" s="41"/>
      <c r="R461" s="41"/>
      <c r="S461" s="41"/>
      <c r="T461" s="41"/>
      <c r="U461" s="41"/>
      <c r="V461" s="41"/>
      <c r="W461" s="41"/>
      <c r="X461" s="41"/>
      <c r="Y461" s="41"/>
      <c r="Z461" s="41"/>
    </row>
    <row r="462" customFormat="false" ht="14.25" hidden="false" customHeight="true" outlineLevel="0" collapsed="false">
      <c r="A462" s="38"/>
      <c r="B462" s="38"/>
      <c r="C462" s="39"/>
      <c r="D462" s="40"/>
      <c r="E462" s="40"/>
      <c r="F462" s="41"/>
      <c r="G462" s="41"/>
      <c r="H462" s="41"/>
      <c r="I462" s="41"/>
      <c r="J462" s="41"/>
      <c r="K462" s="41"/>
      <c r="L462" s="41"/>
      <c r="M462" s="41"/>
      <c r="N462" s="41"/>
      <c r="O462" s="41"/>
      <c r="P462" s="41"/>
      <c r="Q462" s="41"/>
      <c r="R462" s="41"/>
      <c r="S462" s="41"/>
      <c r="T462" s="41"/>
      <c r="U462" s="41"/>
      <c r="V462" s="41"/>
      <c r="W462" s="41"/>
      <c r="X462" s="41"/>
      <c r="Y462" s="41"/>
      <c r="Z462" s="41"/>
    </row>
    <row r="463" customFormat="false" ht="14.25" hidden="false" customHeight="true" outlineLevel="0" collapsed="false">
      <c r="A463" s="38"/>
      <c r="B463" s="38"/>
      <c r="C463" s="39"/>
      <c r="D463" s="40"/>
      <c r="E463" s="40"/>
      <c r="F463" s="41"/>
      <c r="G463" s="41"/>
      <c r="H463" s="41"/>
      <c r="I463" s="41"/>
      <c r="J463" s="41"/>
      <c r="K463" s="41"/>
      <c r="L463" s="41"/>
      <c r="M463" s="41"/>
      <c r="N463" s="41"/>
      <c r="O463" s="41"/>
      <c r="P463" s="41"/>
      <c r="Q463" s="41"/>
      <c r="R463" s="41"/>
      <c r="S463" s="41"/>
      <c r="T463" s="41"/>
      <c r="U463" s="41"/>
      <c r="V463" s="41"/>
      <c r="W463" s="41"/>
      <c r="X463" s="41"/>
      <c r="Y463" s="41"/>
      <c r="Z463" s="41"/>
    </row>
    <row r="464" customFormat="false" ht="14.25" hidden="false" customHeight="true" outlineLevel="0" collapsed="false">
      <c r="A464" s="38"/>
      <c r="B464" s="38"/>
      <c r="C464" s="39"/>
      <c r="D464" s="40"/>
      <c r="E464" s="40"/>
      <c r="F464" s="41"/>
      <c r="G464" s="41"/>
      <c r="H464" s="41"/>
      <c r="I464" s="41"/>
      <c r="J464" s="41"/>
      <c r="K464" s="41"/>
      <c r="L464" s="41"/>
      <c r="M464" s="41"/>
      <c r="N464" s="41"/>
      <c r="O464" s="41"/>
      <c r="P464" s="41"/>
      <c r="Q464" s="41"/>
      <c r="R464" s="41"/>
      <c r="S464" s="41"/>
      <c r="T464" s="41"/>
      <c r="U464" s="41"/>
      <c r="V464" s="41"/>
      <c r="W464" s="41"/>
      <c r="X464" s="41"/>
      <c r="Y464" s="41"/>
      <c r="Z464" s="41"/>
    </row>
    <row r="465" customFormat="false" ht="14.25" hidden="false" customHeight="true" outlineLevel="0" collapsed="false">
      <c r="A465" s="38"/>
      <c r="B465" s="38"/>
      <c r="C465" s="39"/>
      <c r="D465" s="40"/>
      <c r="E465" s="40"/>
      <c r="F465" s="41"/>
      <c r="G465" s="41"/>
      <c r="H465" s="41"/>
      <c r="I465" s="41"/>
      <c r="J465" s="41"/>
      <c r="K465" s="41"/>
      <c r="L465" s="41"/>
      <c r="M465" s="41"/>
      <c r="N465" s="41"/>
      <c r="O465" s="41"/>
      <c r="P465" s="41"/>
      <c r="Q465" s="41"/>
      <c r="R465" s="41"/>
      <c r="S465" s="41"/>
      <c r="T465" s="41"/>
      <c r="U465" s="41"/>
      <c r="V465" s="41"/>
      <c r="W465" s="41"/>
      <c r="X465" s="41"/>
      <c r="Y465" s="41"/>
      <c r="Z465" s="41"/>
    </row>
    <row r="466" customFormat="false" ht="14.25" hidden="false" customHeight="true" outlineLevel="0" collapsed="false">
      <c r="A466" s="38"/>
      <c r="B466" s="38"/>
      <c r="C466" s="39"/>
      <c r="D466" s="40"/>
      <c r="E466" s="40"/>
      <c r="F466" s="41"/>
      <c r="G466" s="41"/>
      <c r="H466" s="41"/>
      <c r="I466" s="41"/>
      <c r="J466" s="41"/>
      <c r="K466" s="41"/>
      <c r="L466" s="41"/>
      <c r="M466" s="41"/>
      <c r="N466" s="41"/>
      <c r="O466" s="41"/>
      <c r="P466" s="41"/>
      <c r="Q466" s="41"/>
      <c r="R466" s="41"/>
      <c r="S466" s="41"/>
      <c r="T466" s="41"/>
      <c r="U466" s="41"/>
      <c r="V466" s="41"/>
      <c r="W466" s="41"/>
      <c r="X466" s="41"/>
      <c r="Y466" s="41"/>
      <c r="Z466" s="41"/>
    </row>
    <row r="467" customFormat="false" ht="14.25" hidden="false" customHeight="true" outlineLevel="0" collapsed="false">
      <c r="A467" s="38"/>
      <c r="B467" s="38"/>
      <c r="C467" s="39"/>
      <c r="D467" s="40"/>
      <c r="E467" s="40"/>
      <c r="F467" s="41"/>
      <c r="G467" s="41"/>
      <c r="H467" s="41"/>
      <c r="I467" s="41"/>
      <c r="J467" s="41"/>
      <c r="K467" s="41"/>
      <c r="L467" s="41"/>
      <c r="M467" s="41"/>
      <c r="N467" s="41"/>
      <c r="O467" s="41"/>
      <c r="P467" s="41"/>
      <c r="Q467" s="41"/>
      <c r="R467" s="41"/>
      <c r="S467" s="41"/>
      <c r="T467" s="41"/>
      <c r="U467" s="41"/>
      <c r="V467" s="41"/>
      <c r="W467" s="41"/>
      <c r="X467" s="41"/>
      <c r="Y467" s="41"/>
      <c r="Z467" s="41"/>
    </row>
    <row r="468" customFormat="false" ht="14.25" hidden="false" customHeight="true" outlineLevel="0" collapsed="false">
      <c r="A468" s="38"/>
      <c r="B468" s="38"/>
      <c r="C468" s="39"/>
      <c r="D468" s="40"/>
      <c r="E468" s="40"/>
      <c r="F468" s="41"/>
      <c r="G468" s="41"/>
      <c r="H468" s="41"/>
      <c r="I468" s="41"/>
      <c r="J468" s="41"/>
      <c r="K468" s="41"/>
      <c r="L468" s="41"/>
      <c r="M468" s="41"/>
      <c r="N468" s="41"/>
      <c r="O468" s="41"/>
      <c r="P468" s="41"/>
      <c r="Q468" s="41"/>
      <c r="R468" s="41"/>
      <c r="S468" s="41"/>
      <c r="T468" s="41"/>
      <c r="U468" s="41"/>
      <c r="V468" s="41"/>
      <c r="W468" s="41"/>
      <c r="X468" s="41"/>
      <c r="Y468" s="41"/>
      <c r="Z468" s="41"/>
    </row>
    <row r="469" customFormat="false" ht="14.25" hidden="false" customHeight="true" outlineLevel="0" collapsed="false">
      <c r="A469" s="38"/>
      <c r="B469" s="38"/>
      <c r="C469" s="39"/>
      <c r="D469" s="40"/>
      <c r="E469" s="40"/>
      <c r="F469" s="41"/>
      <c r="G469" s="41"/>
      <c r="H469" s="41"/>
      <c r="I469" s="41"/>
      <c r="J469" s="41"/>
      <c r="K469" s="41"/>
      <c r="L469" s="41"/>
      <c r="M469" s="41"/>
      <c r="N469" s="41"/>
      <c r="O469" s="41"/>
      <c r="P469" s="41"/>
      <c r="Q469" s="41"/>
      <c r="R469" s="41"/>
      <c r="S469" s="41"/>
      <c r="T469" s="41"/>
      <c r="U469" s="41"/>
      <c r="V469" s="41"/>
      <c r="W469" s="41"/>
      <c r="X469" s="41"/>
      <c r="Y469" s="41"/>
      <c r="Z469" s="41"/>
    </row>
    <row r="470" customFormat="false" ht="14.25" hidden="false" customHeight="true" outlineLevel="0" collapsed="false">
      <c r="A470" s="38"/>
      <c r="B470" s="38"/>
      <c r="C470" s="39"/>
      <c r="D470" s="40"/>
      <c r="E470" s="40"/>
      <c r="F470" s="41"/>
      <c r="G470" s="41"/>
      <c r="H470" s="41"/>
      <c r="I470" s="41"/>
      <c r="J470" s="41"/>
      <c r="K470" s="41"/>
      <c r="L470" s="41"/>
      <c r="M470" s="41"/>
      <c r="N470" s="41"/>
      <c r="O470" s="41"/>
      <c r="P470" s="41"/>
      <c r="Q470" s="41"/>
      <c r="R470" s="41"/>
      <c r="S470" s="41"/>
      <c r="T470" s="41"/>
      <c r="U470" s="41"/>
      <c r="V470" s="41"/>
      <c r="W470" s="41"/>
      <c r="X470" s="41"/>
      <c r="Y470" s="41"/>
      <c r="Z470" s="41"/>
    </row>
    <row r="471" customFormat="false" ht="14.25" hidden="false" customHeight="true" outlineLevel="0" collapsed="false">
      <c r="A471" s="38"/>
      <c r="B471" s="38"/>
      <c r="C471" s="39"/>
      <c r="D471" s="40"/>
      <c r="E471" s="40"/>
      <c r="F471" s="41"/>
      <c r="G471" s="41"/>
      <c r="H471" s="41"/>
      <c r="I471" s="41"/>
      <c r="J471" s="41"/>
      <c r="K471" s="41"/>
      <c r="L471" s="41"/>
      <c r="M471" s="41"/>
      <c r="N471" s="41"/>
      <c r="O471" s="41"/>
      <c r="P471" s="41"/>
      <c r="Q471" s="41"/>
      <c r="R471" s="41"/>
      <c r="S471" s="41"/>
      <c r="T471" s="41"/>
      <c r="U471" s="41"/>
      <c r="V471" s="41"/>
      <c r="W471" s="41"/>
      <c r="X471" s="41"/>
      <c r="Y471" s="41"/>
      <c r="Z471" s="41"/>
    </row>
    <row r="472" customFormat="false" ht="14.25" hidden="false" customHeight="true" outlineLevel="0" collapsed="false">
      <c r="A472" s="38"/>
      <c r="B472" s="38"/>
      <c r="C472" s="39"/>
      <c r="D472" s="40"/>
      <c r="E472" s="40"/>
      <c r="F472" s="41"/>
      <c r="G472" s="41"/>
      <c r="H472" s="41"/>
      <c r="I472" s="41"/>
      <c r="J472" s="41"/>
      <c r="K472" s="41"/>
      <c r="L472" s="41"/>
      <c r="M472" s="41"/>
      <c r="N472" s="41"/>
      <c r="O472" s="41"/>
      <c r="P472" s="41"/>
      <c r="Q472" s="41"/>
      <c r="R472" s="41"/>
      <c r="S472" s="41"/>
      <c r="T472" s="41"/>
      <c r="U472" s="41"/>
      <c r="V472" s="41"/>
      <c r="W472" s="41"/>
      <c r="X472" s="41"/>
      <c r="Y472" s="41"/>
      <c r="Z472" s="41"/>
    </row>
    <row r="473" customFormat="false" ht="14.25" hidden="false" customHeight="true" outlineLevel="0" collapsed="false">
      <c r="A473" s="38"/>
      <c r="B473" s="38"/>
      <c r="C473" s="39"/>
      <c r="D473" s="40"/>
      <c r="E473" s="40"/>
      <c r="F473" s="41"/>
      <c r="G473" s="41"/>
      <c r="H473" s="41"/>
      <c r="I473" s="41"/>
      <c r="J473" s="41"/>
      <c r="K473" s="41"/>
      <c r="L473" s="41"/>
      <c r="M473" s="41"/>
      <c r="N473" s="41"/>
      <c r="O473" s="41"/>
      <c r="P473" s="41"/>
      <c r="Q473" s="41"/>
      <c r="R473" s="41"/>
      <c r="S473" s="41"/>
      <c r="T473" s="41"/>
      <c r="U473" s="41"/>
      <c r="V473" s="41"/>
      <c r="W473" s="41"/>
      <c r="X473" s="41"/>
      <c r="Y473" s="41"/>
      <c r="Z473" s="41"/>
    </row>
    <row r="474" customFormat="false" ht="14.25" hidden="false" customHeight="true" outlineLevel="0" collapsed="false">
      <c r="A474" s="38"/>
      <c r="B474" s="38"/>
      <c r="C474" s="39"/>
      <c r="D474" s="40"/>
      <c r="E474" s="40"/>
      <c r="F474" s="41"/>
      <c r="G474" s="41"/>
      <c r="H474" s="41"/>
      <c r="I474" s="41"/>
      <c r="J474" s="41"/>
      <c r="K474" s="41"/>
      <c r="L474" s="41"/>
      <c r="M474" s="41"/>
      <c r="N474" s="41"/>
      <c r="O474" s="41"/>
      <c r="P474" s="41"/>
      <c r="Q474" s="41"/>
      <c r="R474" s="41"/>
      <c r="S474" s="41"/>
      <c r="T474" s="41"/>
      <c r="U474" s="41"/>
      <c r="V474" s="41"/>
      <c r="W474" s="41"/>
      <c r="X474" s="41"/>
      <c r="Y474" s="41"/>
      <c r="Z474" s="41"/>
    </row>
    <row r="475" customFormat="false" ht="14.25" hidden="false" customHeight="true" outlineLevel="0" collapsed="false">
      <c r="A475" s="38"/>
      <c r="B475" s="38"/>
      <c r="C475" s="39"/>
      <c r="D475" s="40"/>
      <c r="E475" s="40"/>
      <c r="F475" s="41"/>
      <c r="G475" s="41"/>
      <c r="H475" s="41"/>
      <c r="I475" s="41"/>
      <c r="J475" s="41"/>
      <c r="K475" s="41"/>
      <c r="L475" s="41"/>
      <c r="M475" s="41"/>
      <c r="N475" s="41"/>
      <c r="O475" s="41"/>
      <c r="P475" s="41"/>
      <c r="Q475" s="41"/>
      <c r="R475" s="41"/>
      <c r="S475" s="41"/>
      <c r="T475" s="41"/>
      <c r="U475" s="41"/>
      <c r="V475" s="41"/>
      <c r="W475" s="41"/>
      <c r="X475" s="41"/>
      <c r="Y475" s="41"/>
      <c r="Z475" s="41"/>
    </row>
    <row r="476" customFormat="false" ht="14.25" hidden="false" customHeight="true" outlineLevel="0" collapsed="false">
      <c r="A476" s="38"/>
      <c r="B476" s="38"/>
      <c r="C476" s="39"/>
      <c r="D476" s="40"/>
      <c r="E476" s="40"/>
      <c r="F476" s="41"/>
      <c r="G476" s="41"/>
      <c r="H476" s="41"/>
      <c r="I476" s="41"/>
      <c r="J476" s="41"/>
      <c r="K476" s="41"/>
      <c r="L476" s="41"/>
      <c r="M476" s="41"/>
      <c r="N476" s="41"/>
      <c r="O476" s="41"/>
      <c r="P476" s="41"/>
      <c r="Q476" s="41"/>
      <c r="R476" s="41"/>
      <c r="S476" s="41"/>
      <c r="T476" s="41"/>
      <c r="U476" s="41"/>
      <c r="V476" s="41"/>
      <c r="W476" s="41"/>
      <c r="X476" s="41"/>
      <c r="Y476" s="41"/>
      <c r="Z476" s="41"/>
    </row>
    <row r="477" customFormat="false" ht="14.25" hidden="false" customHeight="true" outlineLevel="0" collapsed="false">
      <c r="A477" s="38"/>
      <c r="B477" s="38"/>
      <c r="C477" s="39"/>
      <c r="D477" s="40"/>
      <c r="E477" s="40"/>
      <c r="F477" s="41"/>
      <c r="G477" s="41"/>
      <c r="H477" s="41"/>
      <c r="I477" s="41"/>
      <c r="J477" s="41"/>
      <c r="K477" s="41"/>
      <c r="L477" s="41"/>
      <c r="M477" s="41"/>
      <c r="N477" s="41"/>
      <c r="O477" s="41"/>
      <c r="P477" s="41"/>
      <c r="Q477" s="41"/>
      <c r="R477" s="41"/>
      <c r="S477" s="41"/>
      <c r="T477" s="41"/>
      <c r="U477" s="41"/>
      <c r="V477" s="41"/>
      <c r="W477" s="41"/>
      <c r="X477" s="41"/>
      <c r="Y477" s="41"/>
      <c r="Z477" s="41"/>
    </row>
    <row r="478" customFormat="false" ht="14.25" hidden="false" customHeight="true" outlineLevel="0" collapsed="false">
      <c r="A478" s="38"/>
      <c r="B478" s="38"/>
      <c r="C478" s="39"/>
      <c r="D478" s="40"/>
      <c r="E478" s="40"/>
      <c r="F478" s="41"/>
      <c r="G478" s="41"/>
      <c r="H478" s="41"/>
      <c r="I478" s="41"/>
      <c r="J478" s="41"/>
      <c r="K478" s="41"/>
      <c r="L478" s="41"/>
      <c r="M478" s="41"/>
      <c r="N478" s="41"/>
      <c r="O478" s="41"/>
      <c r="P478" s="41"/>
      <c r="Q478" s="41"/>
      <c r="R478" s="41"/>
      <c r="S478" s="41"/>
      <c r="T478" s="41"/>
      <c r="U478" s="41"/>
      <c r="V478" s="41"/>
      <c r="W478" s="41"/>
      <c r="X478" s="41"/>
      <c r="Y478" s="41"/>
      <c r="Z478" s="41"/>
    </row>
    <row r="479" customFormat="false" ht="14.25" hidden="false" customHeight="true" outlineLevel="0" collapsed="false">
      <c r="A479" s="38"/>
      <c r="B479" s="38"/>
      <c r="C479" s="39"/>
      <c r="D479" s="40"/>
      <c r="E479" s="40"/>
      <c r="F479" s="41"/>
      <c r="G479" s="41"/>
      <c r="H479" s="41"/>
      <c r="I479" s="41"/>
      <c r="J479" s="41"/>
      <c r="K479" s="41"/>
      <c r="L479" s="41"/>
      <c r="M479" s="41"/>
      <c r="N479" s="41"/>
      <c r="O479" s="41"/>
      <c r="P479" s="41"/>
      <c r="Q479" s="41"/>
      <c r="R479" s="41"/>
      <c r="S479" s="41"/>
      <c r="T479" s="41"/>
      <c r="U479" s="41"/>
      <c r="V479" s="41"/>
      <c r="W479" s="41"/>
      <c r="X479" s="41"/>
      <c r="Y479" s="41"/>
      <c r="Z479" s="41"/>
    </row>
    <row r="480" customFormat="false" ht="14.25" hidden="false" customHeight="true" outlineLevel="0" collapsed="false">
      <c r="A480" s="38"/>
      <c r="B480" s="38"/>
      <c r="C480" s="39"/>
      <c r="D480" s="40"/>
      <c r="E480" s="40"/>
      <c r="F480" s="41"/>
      <c r="G480" s="41"/>
      <c r="H480" s="41"/>
      <c r="I480" s="41"/>
      <c r="J480" s="41"/>
      <c r="K480" s="41"/>
      <c r="L480" s="41"/>
      <c r="M480" s="41"/>
      <c r="N480" s="41"/>
      <c r="O480" s="41"/>
      <c r="P480" s="41"/>
      <c r="Q480" s="41"/>
      <c r="R480" s="41"/>
      <c r="S480" s="41"/>
      <c r="T480" s="41"/>
      <c r="U480" s="41"/>
      <c r="V480" s="41"/>
      <c r="W480" s="41"/>
      <c r="X480" s="41"/>
      <c r="Y480" s="41"/>
      <c r="Z480" s="41"/>
    </row>
    <row r="481" customFormat="false" ht="14.25" hidden="false" customHeight="true" outlineLevel="0" collapsed="false">
      <c r="A481" s="38"/>
      <c r="B481" s="38"/>
      <c r="C481" s="39"/>
      <c r="D481" s="40"/>
      <c r="E481" s="40"/>
      <c r="F481" s="41"/>
      <c r="G481" s="41"/>
      <c r="H481" s="41"/>
      <c r="I481" s="41"/>
      <c r="J481" s="41"/>
      <c r="K481" s="41"/>
      <c r="L481" s="41"/>
      <c r="M481" s="41"/>
      <c r="N481" s="41"/>
      <c r="O481" s="41"/>
      <c r="P481" s="41"/>
      <c r="Q481" s="41"/>
      <c r="R481" s="41"/>
      <c r="S481" s="41"/>
      <c r="T481" s="41"/>
      <c r="U481" s="41"/>
      <c r="V481" s="41"/>
      <c r="W481" s="41"/>
      <c r="X481" s="41"/>
      <c r="Y481" s="41"/>
      <c r="Z481" s="41"/>
    </row>
    <row r="482" customFormat="false" ht="14.25" hidden="false" customHeight="true" outlineLevel="0" collapsed="false">
      <c r="A482" s="38"/>
      <c r="B482" s="38"/>
      <c r="C482" s="39"/>
      <c r="D482" s="40"/>
      <c r="E482" s="40"/>
      <c r="F482" s="41"/>
      <c r="G482" s="41"/>
      <c r="H482" s="41"/>
      <c r="I482" s="41"/>
      <c r="J482" s="41"/>
      <c r="K482" s="41"/>
      <c r="L482" s="41"/>
      <c r="M482" s="41"/>
      <c r="N482" s="41"/>
      <c r="O482" s="41"/>
      <c r="P482" s="41"/>
      <c r="Q482" s="41"/>
      <c r="R482" s="41"/>
      <c r="S482" s="41"/>
      <c r="T482" s="41"/>
      <c r="U482" s="41"/>
      <c r="V482" s="41"/>
      <c r="W482" s="41"/>
      <c r="X482" s="41"/>
      <c r="Y482" s="41"/>
      <c r="Z482" s="41"/>
    </row>
    <row r="483" customFormat="false" ht="14.25" hidden="false" customHeight="true" outlineLevel="0" collapsed="false">
      <c r="A483" s="38"/>
      <c r="B483" s="38"/>
      <c r="C483" s="39"/>
      <c r="D483" s="40"/>
      <c r="E483" s="40"/>
      <c r="F483" s="41"/>
      <c r="G483" s="41"/>
      <c r="H483" s="41"/>
      <c r="I483" s="41"/>
      <c r="J483" s="41"/>
      <c r="K483" s="41"/>
      <c r="L483" s="41"/>
      <c r="M483" s="41"/>
      <c r="N483" s="41"/>
      <c r="O483" s="41"/>
      <c r="P483" s="41"/>
      <c r="Q483" s="41"/>
      <c r="R483" s="41"/>
      <c r="S483" s="41"/>
      <c r="T483" s="41"/>
      <c r="U483" s="41"/>
      <c r="V483" s="41"/>
      <c r="W483" s="41"/>
      <c r="X483" s="41"/>
      <c r="Y483" s="41"/>
      <c r="Z483" s="41"/>
    </row>
    <row r="484" customFormat="false" ht="14.25" hidden="false" customHeight="true" outlineLevel="0" collapsed="false">
      <c r="A484" s="38"/>
      <c r="B484" s="38"/>
      <c r="C484" s="39"/>
      <c r="D484" s="40"/>
      <c r="E484" s="40"/>
      <c r="F484" s="41"/>
      <c r="G484" s="41"/>
      <c r="H484" s="41"/>
      <c r="I484" s="41"/>
      <c r="J484" s="41"/>
      <c r="K484" s="41"/>
      <c r="L484" s="41"/>
      <c r="M484" s="41"/>
      <c r="N484" s="41"/>
      <c r="O484" s="41"/>
      <c r="P484" s="41"/>
      <c r="Q484" s="41"/>
      <c r="R484" s="41"/>
      <c r="S484" s="41"/>
      <c r="T484" s="41"/>
      <c r="U484" s="41"/>
      <c r="V484" s="41"/>
      <c r="W484" s="41"/>
      <c r="X484" s="41"/>
      <c r="Y484" s="41"/>
      <c r="Z484" s="41"/>
    </row>
    <row r="485" customFormat="false" ht="14.25" hidden="false" customHeight="true" outlineLevel="0" collapsed="false">
      <c r="A485" s="38"/>
      <c r="B485" s="38"/>
      <c r="C485" s="39"/>
      <c r="D485" s="40"/>
      <c r="E485" s="40"/>
      <c r="F485" s="41"/>
      <c r="G485" s="41"/>
      <c r="H485" s="41"/>
      <c r="I485" s="41"/>
      <c r="J485" s="41"/>
      <c r="K485" s="41"/>
      <c r="L485" s="41"/>
      <c r="M485" s="41"/>
      <c r="N485" s="41"/>
      <c r="O485" s="41"/>
      <c r="P485" s="41"/>
      <c r="Q485" s="41"/>
      <c r="R485" s="41"/>
      <c r="S485" s="41"/>
      <c r="T485" s="41"/>
      <c r="U485" s="41"/>
      <c r="V485" s="41"/>
      <c r="W485" s="41"/>
      <c r="X485" s="41"/>
      <c r="Y485" s="41"/>
      <c r="Z485" s="41"/>
    </row>
    <row r="486" customFormat="false" ht="14.25" hidden="false" customHeight="true" outlineLevel="0" collapsed="false">
      <c r="A486" s="38"/>
      <c r="B486" s="38"/>
      <c r="C486" s="39"/>
      <c r="D486" s="40"/>
      <c r="E486" s="40"/>
      <c r="F486" s="41"/>
      <c r="G486" s="41"/>
      <c r="H486" s="41"/>
      <c r="I486" s="41"/>
      <c r="J486" s="41"/>
      <c r="K486" s="41"/>
      <c r="L486" s="41"/>
      <c r="M486" s="41"/>
      <c r="N486" s="41"/>
      <c r="O486" s="41"/>
      <c r="P486" s="41"/>
      <c r="Q486" s="41"/>
      <c r="R486" s="41"/>
      <c r="S486" s="41"/>
      <c r="T486" s="41"/>
      <c r="U486" s="41"/>
      <c r="V486" s="41"/>
      <c r="W486" s="41"/>
      <c r="X486" s="41"/>
      <c r="Y486" s="41"/>
      <c r="Z486" s="41"/>
    </row>
    <row r="487" customFormat="false" ht="14.25" hidden="false" customHeight="true" outlineLevel="0" collapsed="false">
      <c r="A487" s="38"/>
      <c r="B487" s="38"/>
      <c r="C487" s="39"/>
      <c r="D487" s="40"/>
      <c r="E487" s="40"/>
      <c r="F487" s="41"/>
      <c r="G487" s="41"/>
      <c r="H487" s="41"/>
      <c r="I487" s="41"/>
      <c r="J487" s="41"/>
      <c r="K487" s="41"/>
      <c r="L487" s="41"/>
      <c r="M487" s="41"/>
      <c r="N487" s="41"/>
      <c r="O487" s="41"/>
      <c r="P487" s="41"/>
      <c r="Q487" s="41"/>
      <c r="R487" s="41"/>
      <c r="S487" s="41"/>
      <c r="T487" s="41"/>
      <c r="U487" s="41"/>
      <c r="V487" s="41"/>
      <c r="W487" s="41"/>
      <c r="X487" s="41"/>
      <c r="Y487" s="41"/>
      <c r="Z487" s="41"/>
    </row>
    <row r="488" customFormat="false" ht="14.25" hidden="false" customHeight="true" outlineLevel="0" collapsed="false">
      <c r="A488" s="38"/>
      <c r="B488" s="38"/>
      <c r="C488" s="39"/>
      <c r="D488" s="40"/>
      <c r="E488" s="40"/>
      <c r="F488" s="41"/>
      <c r="G488" s="41"/>
      <c r="H488" s="41"/>
      <c r="I488" s="41"/>
      <c r="J488" s="41"/>
      <c r="K488" s="41"/>
      <c r="L488" s="41"/>
      <c r="M488" s="41"/>
      <c r="N488" s="41"/>
      <c r="O488" s="41"/>
      <c r="P488" s="41"/>
      <c r="Q488" s="41"/>
      <c r="R488" s="41"/>
      <c r="S488" s="41"/>
      <c r="T488" s="41"/>
      <c r="U488" s="41"/>
      <c r="V488" s="41"/>
      <c r="W488" s="41"/>
      <c r="X488" s="41"/>
      <c r="Y488" s="41"/>
      <c r="Z488" s="41"/>
    </row>
    <row r="489" customFormat="false" ht="14.25" hidden="false" customHeight="true" outlineLevel="0" collapsed="false">
      <c r="A489" s="38"/>
      <c r="B489" s="38"/>
      <c r="C489" s="39"/>
      <c r="D489" s="40"/>
      <c r="E489" s="40"/>
      <c r="F489" s="41"/>
      <c r="G489" s="41"/>
      <c r="H489" s="41"/>
      <c r="I489" s="41"/>
      <c r="J489" s="41"/>
      <c r="K489" s="41"/>
      <c r="L489" s="41"/>
      <c r="M489" s="41"/>
      <c r="N489" s="41"/>
      <c r="O489" s="41"/>
      <c r="P489" s="41"/>
      <c r="Q489" s="41"/>
      <c r="R489" s="41"/>
      <c r="S489" s="41"/>
      <c r="T489" s="41"/>
      <c r="U489" s="41"/>
      <c r="V489" s="41"/>
      <c r="W489" s="41"/>
      <c r="X489" s="41"/>
      <c r="Y489" s="41"/>
      <c r="Z489" s="41"/>
    </row>
    <row r="490" customFormat="false" ht="14.25" hidden="false" customHeight="true" outlineLevel="0" collapsed="false">
      <c r="A490" s="38"/>
      <c r="B490" s="38"/>
      <c r="C490" s="39"/>
      <c r="D490" s="40"/>
      <c r="E490" s="40"/>
      <c r="F490" s="41"/>
      <c r="G490" s="41"/>
      <c r="H490" s="41"/>
      <c r="I490" s="41"/>
      <c r="J490" s="41"/>
      <c r="K490" s="41"/>
      <c r="L490" s="41"/>
      <c r="M490" s="41"/>
      <c r="N490" s="41"/>
      <c r="O490" s="41"/>
      <c r="P490" s="41"/>
      <c r="Q490" s="41"/>
      <c r="R490" s="41"/>
      <c r="S490" s="41"/>
      <c r="T490" s="41"/>
      <c r="U490" s="41"/>
      <c r="V490" s="41"/>
      <c r="W490" s="41"/>
      <c r="X490" s="41"/>
      <c r="Y490" s="41"/>
      <c r="Z490" s="41"/>
    </row>
    <row r="491" customFormat="false" ht="14.25" hidden="false" customHeight="true" outlineLevel="0" collapsed="false">
      <c r="A491" s="38"/>
      <c r="B491" s="38"/>
      <c r="C491" s="39"/>
      <c r="D491" s="40"/>
      <c r="E491" s="40"/>
      <c r="F491" s="41"/>
      <c r="G491" s="41"/>
      <c r="H491" s="41"/>
      <c r="I491" s="41"/>
      <c r="J491" s="41"/>
      <c r="K491" s="41"/>
      <c r="L491" s="41"/>
      <c r="M491" s="41"/>
      <c r="N491" s="41"/>
      <c r="O491" s="41"/>
      <c r="P491" s="41"/>
      <c r="Q491" s="41"/>
      <c r="R491" s="41"/>
      <c r="S491" s="41"/>
      <c r="T491" s="41"/>
      <c r="U491" s="41"/>
      <c r="V491" s="41"/>
      <c r="W491" s="41"/>
      <c r="X491" s="41"/>
      <c r="Y491" s="41"/>
      <c r="Z491" s="41"/>
    </row>
    <row r="492" customFormat="false" ht="14.25" hidden="false" customHeight="true" outlineLevel="0" collapsed="false">
      <c r="A492" s="38"/>
      <c r="B492" s="38"/>
      <c r="C492" s="39"/>
      <c r="D492" s="40"/>
      <c r="E492" s="40"/>
      <c r="F492" s="41"/>
      <c r="G492" s="41"/>
      <c r="H492" s="41"/>
      <c r="I492" s="41"/>
      <c r="J492" s="41"/>
      <c r="K492" s="41"/>
      <c r="L492" s="41"/>
      <c r="M492" s="41"/>
      <c r="N492" s="41"/>
      <c r="O492" s="41"/>
      <c r="P492" s="41"/>
      <c r="Q492" s="41"/>
      <c r="R492" s="41"/>
      <c r="S492" s="41"/>
      <c r="T492" s="41"/>
      <c r="U492" s="41"/>
      <c r="V492" s="41"/>
      <c r="W492" s="41"/>
      <c r="X492" s="41"/>
      <c r="Y492" s="41"/>
      <c r="Z492" s="41"/>
    </row>
    <row r="493" customFormat="false" ht="14.25" hidden="false" customHeight="true" outlineLevel="0" collapsed="false">
      <c r="A493" s="38"/>
      <c r="B493" s="38"/>
      <c r="C493" s="39"/>
      <c r="D493" s="40"/>
      <c r="E493" s="40"/>
      <c r="F493" s="41"/>
      <c r="G493" s="41"/>
      <c r="H493" s="41"/>
      <c r="I493" s="41"/>
      <c r="J493" s="41"/>
      <c r="K493" s="41"/>
      <c r="L493" s="41"/>
      <c r="M493" s="41"/>
      <c r="N493" s="41"/>
      <c r="O493" s="41"/>
      <c r="P493" s="41"/>
      <c r="Q493" s="41"/>
      <c r="R493" s="41"/>
      <c r="S493" s="41"/>
      <c r="T493" s="41"/>
      <c r="U493" s="41"/>
      <c r="V493" s="41"/>
      <c r="W493" s="41"/>
      <c r="X493" s="41"/>
      <c r="Y493" s="41"/>
      <c r="Z493" s="41"/>
    </row>
    <row r="494" customFormat="false" ht="14.25" hidden="false" customHeight="true" outlineLevel="0" collapsed="false">
      <c r="A494" s="38"/>
      <c r="B494" s="38"/>
      <c r="C494" s="39"/>
      <c r="D494" s="40"/>
      <c r="E494" s="40"/>
      <c r="F494" s="41"/>
      <c r="G494" s="41"/>
      <c r="H494" s="41"/>
      <c r="I494" s="41"/>
      <c r="J494" s="41"/>
      <c r="K494" s="41"/>
      <c r="L494" s="41"/>
      <c r="M494" s="41"/>
      <c r="N494" s="41"/>
      <c r="O494" s="41"/>
      <c r="P494" s="41"/>
      <c r="Q494" s="41"/>
      <c r="R494" s="41"/>
      <c r="S494" s="41"/>
      <c r="T494" s="41"/>
      <c r="U494" s="41"/>
      <c r="V494" s="41"/>
      <c r="W494" s="41"/>
      <c r="X494" s="41"/>
      <c r="Y494" s="41"/>
      <c r="Z494" s="41"/>
    </row>
    <row r="495" customFormat="false" ht="14.25" hidden="false" customHeight="true" outlineLevel="0" collapsed="false">
      <c r="A495" s="38"/>
      <c r="B495" s="38"/>
      <c r="C495" s="39"/>
      <c r="D495" s="40"/>
      <c r="E495" s="40"/>
      <c r="F495" s="41"/>
      <c r="G495" s="41"/>
      <c r="H495" s="41"/>
      <c r="I495" s="41"/>
      <c r="J495" s="41"/>
      <c r="K495" s="41"/>
      <c r="L495" s="41"/>
      <c r="M495" s="41"/>
      <c r="N495" s="41"/>
      <c r="O495" s="41"/>
      <c r="P495" s="41"/>
      <c r="Q495" s="41"/>
      <c r="R495" s="41"/>
      <c r="S495" s="41"/>
      <c r="T495" s="41"/>
      <c r="U495" s="41"/>
      <c r="V495" s="41"/>
      <c r="W495" s="41"/>
      <c r="X495" s="41"/>
      <c r="Y495" s="41"/>
      <c r="Z495" s="41"/>
    </row>
    <row r="496" customFormat="false" ht="14.25" hidden="false" customHeight="true" outlineLevel="0" collapsed="false">
      <c r="A496" s="38"/>
      <c r="B496" s="38"/>
      <c r="C496" s="39"/>
      <c r="D496" s="40"/>
      <c r="E496" s="40"/>
      <c r="F496" s="41"/>
      <c r="G496" s="41"/>
      <c r="H496" s="41"/>
      <c r="I496" s="41"/>
      <c r="J496" s="41"/>
      <c r="K496" s="41"/>
      <c r="L496" s="41"/>
      <c r="M496" s="41"/>
      <c r="N496" s="41"/>
      <c r="O496" s="41"/>
      <c r="P496" s="41"/>
      <c r="Q496" s="41"/>
      <c r="R496" s="41"/>
      <c r="S496" s="41"/>
      <c r="T496" s="41"/>
      <c r="U496" s="41"/>
      <c r="V496" s="41"/>
      <c r="W496" s="41"/>
      <c r="X496" s="41"/>
      <c r="Y496" s="41"/>
      <c r="Z496" s="41"/>
    </row>
    <row r="497" customFormat="false" ht="14.25" hidden="false" customHeight="true" outlineLevel="0" collapsed="false">
      <c r="A497" s="38"/>
      <c r="B497" s="38"/>
      <c r="C497" s="39"/>
      <c r="D497" s="40"/>
      <c r="E497" s="40"/>
      <c r="F497" s="41"/>
      <c r="G497" s="41"/>
      <c r="H497" s="41"/>
      <c r="I497" s="41"/>
      <c r="J497" s="41"/>
      <c r="K497" s="41"/>
      <c r="L497" s="41"/>
      <c r="M497" s="41"/>
      <c r="N497" s="41"/>
      <c r="O497" s="41"/>
      <c r="P497" s="41"/>
      <c r="Q497" s="41"/>
      <c r="R497" s="41"/>
      <c r="S497" s="41"/>
      <c r="T497" s="41"/>
      <c r="U497" s="41"/>
      <c r="V497" s="41"/>
      <c r="W497" s="41"/>
      <c r="X497" s="41"/>
      <c r="Y497" s="41"/>
      <c r="Z497" s="41"/>
    </row>
    <row r="498" customFormat="false" ht="14.25" hidden="false" customHeight="true" outlineLevel="0" collapsed="false">
      <c r="A498" s="38"/>
      <c r="B498" s="38"/>
      <c r="C498" s="39"/>
      <c r="D498" s="40"/>
      <c r="E498" s="40"/>
      <c r="F498" s="41"/>
      <c r="G498" s="41"/>
      <c r="H498" s="41"/>
      <c r="I498" s="41"/>
      <c r="J498" s="41"/>
      <c r="K498" s="41"/>
      <c r="L498" s="41"/>
      <c r="M498" s="41"/>
      <c r="N498" s="41"/>
      <c r="O498" s="41"/>
      <c r="P498" s="41"/>
      <c r="Q498" s="41"/>
      <c r="R498" s="41"/>
      <c r="S498" s="41"/>
      <c r="T498" s="41"/>
      <c r="U498" s="41"/>
      <c r="V498" s="41"/>
      <c r="W498" s="41"/>
      <c r="X498" s="41"/>
      <c r="Y498" s="41"/>
      <c r="Z498" s="41"/>
    </row>
    <row r="499" customFormat="false" ht="14.25" hidden="false" customHeight="true" outlineLevel="0" collapsed="false">
      <c r="A499" s="38"/>
      <c r="B499" s="38"/>
      <c r="C499" s="39"/>
      <c r="D499" s="40"/>
      <c r="E499" s="40"/>
      <c r="F499" s="41"/>
      <c r="G499" s="41"/>
      <c r="H499" s="41"/>
      <c r="I499" s="41"/>
      <c r="J499" s="41"/>
      <c r="K499" s="41"/>
      <c r="L499" s="41"/>
      <c r="M499" s="41"/>
      <c r="N499" s="41"/>
      <c r="O499" s="41"/>
      <c r="P499" s="41"/>
      <c r="Q499" s="41"/>
      <c r="R499" s="41"/>
      <c r="S499" s="41"/>
      <c r="T499" s="41"/>
      <c r="U499" s="41"/>
      <c r="V499" s="41"/>
      <c r="W499" s="41"/>
      <c r="X499" s="41"/>
      <c r="Y499" s="41"/>
      <c r="Z499" s="41"/>
    </row>
    <row r="500" customFormat="false" ht="14.25" hidden="false" customHeight="true" outlineLevel="0" collapsed="false">
      <c r="A500" s="38"/>
      <c r="B500" s="38"/>
      <c r="C500" s="39"/>
      <c r="D500" s="40"/>
      <c r="E500" s="40"/>
      <c r="F500" s="41"/>
      <c r="G500" s="41"/>
      <c r="H500" s="41"/>
      <c r="I500" s="41"/>
      <c r="J500" s="41"/>
      <c r="K500" s="41"/>
      <c r="L500" s="41"/>
      <c r="M500" s="41"/>
      <c r="N500" s="41"/>
      <c r="O500" s="41"/>
      <c r="P500" s="41"/>
      <c r="Q500" s="41"/>
      <c r="R500" s="41"/>
      <c r="S500" s="41"/>
      <c r="T500" s="41"/>
      <c r="U500" s="41"/>
      <c r="V500" s="41"/>
      <c r="W500" s="41"/>
      <c r="X500" s="41"/>
      <c r="Y500" s="41"/>
      <c r="Z500" s="41"/>
    </row>
    <row r="501" customFormat="false" ht="14.25" hidden="false" customHeight="true" outlineLevel="0" collapsed="false">
      <c r="A501" s="38"/>
      <c r="B501" s="38"/>
      <c r="C501" s="39"/>
      <c r="D501" s="40"/>
      <c r="E501" s="40"/>
      <c r="F501" s="41"/>
      <c r="G501" s="41"/>
      <c r="H501" s="41"/>
      <c r="I501" s="41"/>
      <c r="J501" s="41"/>
      <c r="K501" s="41"/>
      <c r="L501" s="41"/>
      <c r="M501" s="41"/>
      <c r="N501" s="41"/>
      <c r="O501" s="41"/>
      <c r="P501" s="41"/>
      <c r="Q501" s="41"/>
      <c r="R501" s="41"/>
      <c r="S501" s="41"/>
      <c r="T501" s="41"/>
      <c r="U501" s="41"/>
      <c r="V501" s="41"/>
      <c r="W501" s="41"/>
      <c r="X501" s="41"/>
      <c r="Y501" s="41"/>
      <c r="Z501" s="41"/>
    </row>
    <row r="502" customFormat="false" ht="14.25" hidden="false" customHeight="true" outlineLevel="0" collapsed="false">
      <c r="A502" s="38"/>
      <c r="B502" s="38"/>
      <c r="C502" s="39"/>
      <c r="D502" s="40"/>
      <c r="E502" s="40"/>
      <c r="F502" s="41"/>
      <c r="G502" s="41"/>
      <c r="H502" s="41"/>
      <c r="I502" s="41"/>
      <c r="J502" s="41"/>
      <c r="K502" s="41"/>
      <c r="L502" s="41"/>
      <c r="M502" s="41"/>
      <c r="N502" s="41"/>
      <c r="O502" s="41"/>
      <c r="P502" s="41"/>
      <c r="Q502" s="41"/>
      <c r="R502" s="41"/>
      <c r="S502" s="41"/>
      <c r="T502" s="41"/>
      <c r="U502" s="41"/>
      <c r="V502" s="41"/>
      <c r="W502" s="41"/>
      <c r="X502" s="41"/>
      <c r="Y502" s="41"/>
      <c r="Z502" s="41"/>
    </row>
    <row r="503" customFormat="false" ht="14.25" hidden="false" customHeight="true" outlineLevel="0" collapsed="false">
      <c r="A503" s="38"/>
      <c r="B503" s="38"/>
      <c r="C503" s="39"/>
      <c r="D503" s="40"/>
      <c r="E503" s="40"/>
      <c r="F503" s="41"/>
      <c r="G503" s="41"/>
      <c r="H503" s="41"/>
      <c r="I503" s="41"/>
      <c r="J503" s="41"/>
      <c r="K503" s="41"/>
      <c r="L503" s="41"/>
      <c r="M503" s="41"/>
      <c r="N503" s="41"/>
      <c r="O503" s="41"/>
      <c r="P503" s="41"/>
      <c r="Q503" s="41"/>
      <c r="R503" s="41"/>
      <c r="S503" s="41"/>
      <c r="T503" s="41"/>
      <c r="U503" s="41"/>
      <c r="V503" s="41"/>
      <c r="W503" s="41"/>
      <c r="X503" s="41"/>
      <c r="Y503" s="41"/>
      <c r="Z503" s="41"/>
    </row>
    <row r="504" customFormat="false" ht="14.25" hidden="false" customHeight="true" outlineLevel="0" collapsed="false">
      <c r="A504" s="38"/>
      <c r="B504" s="38"/>
      <c r="C504" s="39"/>
      <c r="D504" s="40"/>
      <c r="E504" s="40"/>
      <c r="F504" s="41"/>
      <c r="G504" s="41"/>
      <c r="H504" s="41"/>
      <c r="I504" s="41"/>
      <c r="J504" s="41"/>
      <c r="K504" s="41"/>
      <c r="L504" s="41"/>
      <c r="M504" s="41"/>
      <c r="N504" s="41"/>
      <c r="O504" s="41"/>
      <c r="P504" s="41"/>
      <c r="Q504" s="41"/>
      <c r="R504" s="41"/>
      <c r="S504" s="41"/>
      <c r="T504" s="41"/>
      <c r="U504" s="41"/>
      <c r="V504" s="41"/>
      <c r="W504" s="41"/>
      <c r="X504" s="41"/>
      <c r="Y504" s="41"/>
      <c r="Z504" s="41"/>
    </row>
    <row r="505" customFormat="false" ht="14.25" hidden="false" customHeight="true" outlineLevel="0" collapsed="false">
      <c r="A505" s="38"/>
      <c r="B505" s="38"/>
      <c r="C505" s="39"/>
      <c r="D505" s="40"/>
      <c r="E505" s="40"/>
      <c r="F505" s="41"/>
      <c r="G505" s="41"/>
      <c r="H505" s="41"/>
      <c r="I505" s="41"/>
      <c r="J505" s="41"/>
      <c r="K505" s="41"/>
      <c r="L505" s="41"/>
      <c r="M505" s="41"/>
      <c r="N505" s="41"/>
      <c r="O505" s="41"/>
      <c r="P505" s="41"/>
      <c r="Q505" s="41"/>
      <c r="R505" s="41"/>
      <c r="S505" s="41"/>
      <c r="T505" s="41"/>
      <c r="U505" s="41"/>
      <c r="V505" s="41"/>
      <c r="W505" s="41"/>
      <c r="X505" s="41"/>
      <c r="Y505" s="41"/>
      <c r="Z505" s="41"/>
    </row>
    <row r="506" customFormat="false" ht="14.25" hidden="false" customHeight="true" outlineLevel="0" collapsed="false">
      <c r="A506" s="38"/>
      <c r="B506" s="38"/>
      <c r="C506" s="39"/>
      <c r="D506" s="40"/>
      <c r="E506" s="40"/>
      <c r="F506" s="41"/>
      <c r="G506" s="41"/>
      <c r="H506" s="41"/>
      <c r="I506" s="41"/>
      <c r="J506" s="41"/>
      <c r="K506" s="41"/>
      <c r="L506" s="41"/>
      <c r="M506" s="41"/>
      <c r="N506" s="41"/>
      <c r="O506" s="41"/>
      <c r="P506" s="41"/>
      <c r="Q506" s="41"/>
      <c r="R506" s="41"/>
      <c r="S506" s="41"/>
      <c r="T506" s="41"/>
      <c r="U506" s="41"/>
      <c r="V506" s="41"/>
      <c r="W506" s="41"/>
      <c r="X506" s="41"/>
      <c r="Y506" s="41"/>
      <c r="Z506" s="41"/>
    </row>
    <row r="507" customFormat="false" ht="14.25" hidden="false" customHeight="true" outlineLevel="0" collapsed="false">
      <c r="A507" s="38"/>
      <c r="B507" s="38"/>
      <c r="C507" s="39"/>
      <c r="D507" s="40"/>
      <c r="E507" s="40"/>
      <c r="F507" s="41"/>
      <c r="G507" s="41"/>
      <c r="H507" s="41"/>
      <c r="I507" s="41"/>
      <c r="J507" s="41"/>
      <c r="K507" s="41"/>
      <c r="L507" s="41"/>
      <c r="M507" s="41"/>
      <c r="N507" s="41"/>
      <c r="O507" s="41"/>
      <c r="P507" s="41"/>
      <c r="Q507" s="41"/>
      <c r="R507" s="41"/>
      <c r="S507" s="41"/>
      <c r="T507" s="41"/>
      <c r="U507" s="41"/>
      <c r="V507" s="41"/>
      <c r="W507" s="41"/>
      <c r="X507" s="41"/>
      <c r="Y507" s="41"/>
      <c r="Z507" s="41"/>
    </row>
    <row r="508" customFormat="false" ht="14.25" hidden="false" customHeight="true" outlineLevel="0" collapsed="false">
      <c r="A508" s="38"/>
      <c r="B508" s="38"/>
      <c r="C508" s="39"/>
      <c r="D508" s="40"/>
      <c r="E508" s="40"/>
      <c r="F508" s="41"/>
      <c r="G508" s="41"/>
      <c r="H508" s="41"/>
      <c r="I508" s="41"/>
      <c r="J508" s="41"/>
      <c r="K508" s="41"/>
      <c r="L508" s="41"/>
      <c r="M508" s="41"/>
      <c r="N508" s="41"/>
      <c r="O508" s="41"/>
      <c r="P508" s="41"/>
      <c r="Q508" s="41"/>
      <c r="R508" s="41"/>
      <c r="S508" s="41"/>
      <c r="T508" s="41"/>
      <c r="U508" s="41"/>
      <c r="V508" s="41"/>
      <c r="W508" s="41"/>
      <c r="X508" s="41"/>
      <c r="Y508" s="41"/>
      <c r="Z508" s="41"/>
    </row>
    <row r="509" customFormat="false" ht="14.25" hidden="false" customHeight="true" outlineLevel="0" collapsed="false">
      <c r="A509" s="38"/>
      <c r="B509" s="38"/>
      <c r="C509" s="39"/>
      <c r="D509" s="40"/>
      <c r="E509" s="40"/>
      <c r="F509" s="41"/>
      <c r="G509" s="41"/>
      <c r="H509" s="41"/>
      <c r="I509" s="41"/>
      <c r="J509" s="41"/>
      <c r="K509" s="41"/>
      <c r="L509" s="41"/>
      <c r="M509" s="41"/>
      <c r="N509" s="41"/>
      <c r="O509" s="41"/>
      <c r="P509" s="41"/>
      <c r="Q509" s="41"/>
      <c r="R509" s="41"/>
      <c r="S509" s="41"/>
      <c r="T509" s="41"/>
      <c r="U509" s="41"/>
      <c r="V509" s="41"/>
      <c r="W509" s="41"/>
      <c r="X509" s="41"/>
      <c r="Y509" s="41"/>
      <c r="Z509" s="41"/>
    </row>
    <row r="510" customFormat="false" ht="14.25" hidden="false" customHeight="true" outlineLevel="0" collapsed="false">
      <c r="A510" s="38"/>
      <c r="B510" s="38"/>
      <c r="C510" s="39"/>
      <c r="D510" s="40"/>
      <c r="E510" s="40"/>
      <c r="F510" s="41"/>
      <c r="G510" s="41"/>
      <c r="H510" s="41"/>
      <c r="I510" s="41"/>
      <c r="J510" s="41"/>
      <c r="K510" s="41"/>
      <c r="L510" s="41"/>
      <c r="M510" s="41"/>
      <c r="N510" s="41"/>
      <c r="O510" s="41"/>
      <c r="P510" s="41"/>
      <c r="Q510" s="41"/>
      <c r="R510" s="41"/>
      <c r="S510" s="41"/>
      <c r="T510" s="41"/>
      <c r="U510" s="41"/>
      <c r="V510" s="41"/>
      <c r="W510" s="41"/>
      <c r="X510" s="41"/>
      <c r="Y510" s="41"/>
      <c r="Z510" s="41"/>
    </row>
    <row r="511" customFormat="false" ht="14.25" hidden="false" customHeight="true" outlineLevel="0" collapsed="false">
      <c r="A511" s="38"/>
      <c r="B511" s="38"/>
      <c r="C511" s="39"/>
      <c r="D511" s="40"/>
      <c r="E511" s="40"/>
      <c r="F511" s="41"/>
      <c r="G511" s="41"/>
      <c r="H511" s="41"/>
      <c r="I511" s="41"/>
      <c r="J511" s="41"/>
      <c r="K511" s="41"/>
      <c r="L511" s="41"/>
      <c r="M511" s="41"/>
      <c r="N511" s="41"/>
      <c r="O511" s="41"/>
      <c r="P511" s="41"/>
      <c r="Q511" s="41"/>
      <c r="R511" s="41"/>
      <c r="S511" s="41"/>
      <c r="T511" s="41"/>
      <c r="U511" s="41"/>
      <c r="V511" s="41"/>
      <c r="W511" s="41"/>
      <c r="X511" s="41"/>
      <c r="Y511" s="41"/>
      <c r="Z511" s="41"/>
    </row>
    <row r="512" customFormat="false" ht="14.25" hidden="false" customHeight="true" outlineLevel="0" collapsed="false">
      <c r="A512" s="38"/>
      <c r="B512" s="38"/>
      <c r="C512" s="39"/>
      <c r="D512" s="40"/>
      <c r="E512" s="40"/>
      <c r="F512" s="41"/>
      <c r="G512" s="41"/>
      <c r="H512" s="41"/>
      <c r="I512" s="41"/>
      <c r="J512" s="41"/>
      <c r="K512" s="41"/>
      <c r="L512" s="41"/>
      <c r="M512" s="41"/>
      <c r="N512" s="41"/>
      <c r="O512" s="41"/>
      <c r="P512" s="41"/>
      <c r="Q512" s="41"/>
      <c r="R512" s="41"/>
      <c r="S512" s="41"/>
      <c r="T512" s="41"/>
      <c r="U512" s="41"/>
      <c r="V512" s="41"/>
      <c r="W512" s="41"/>
      <c r="X512" s="41"/>
      <c r="Y512" s="41"/>
      <c r="Z512" s="41"/>
    </row>
    <row r="513" customFormat="false" ht="14.25" hidden="false" customHeight="true" outlineLevel="0" collapsed="false">
      <c r="A513" s="38"/>
      <c r="B513" s="38"/>
      <c r="C513" s="39"/>
      <c r="D513" s="40"/>
      <c r="E513" s="40"/>
      <c r="F513" s="41"/>
      <c r="G513" s="41"/>
      <c r="H513" s="41"/>
      <c r="I513" s="41"/>
      <c r="J513" s="41"/>
      <c r="K513" s="41"/>
      <c r="L513" s="41"/>
      <c r="M513" s="41"/>
      <c r="N513" s="41"/>
      <c r="O513" s="41"/>
      <c r="P513" s="41"/>
      <c r="Q513" s="41"/>
      <c r="R513" s="41"/>
      <c r="S513" s="41"/>
      <c r="T513" s="41"/>
      <c r="U513" s="41"/>
      <c r="V513" s="41"/>
      <c r="W513" s="41"/>
      <c r="X513" s="41"/>
      <c r="Y513" s="41"/>
      <c r="Z513" s="41"/>
    </row>
    <row r="514" customFormat="false" ht="14.25" hidden="false" customHeight="true" outlineLevel="0" collapsed="false">
      <c r="A514" s="38"/>
      <c r="B514" s="38"/>
      <c r="C514" s="39"/>
      <c r="D514" s="40"/>
      <c r="E514" s="40"/>
      <c r="F514" s="41"/>
      <c r="G514" s="41"/>
      <c r="H514" s="41"/>
      <c r="I514" s="41"/>
      <c r="J514" s="41"/>
      <c r="K514" s="41"/>
      <c r="L514" s="41"/>
      <c r="M514" s="41"/>
      <c r="N514" s="41"/>
      <c r="O514" s="41"/>
      <c r="P514" s="41"/>
      <c r="Q514" s="41"/>
      <c r="R514" s="41"/>
      <c r="S514" s="41"/>
      <c r="T514" s="41"/>
      <c r="U514" s="41"/>
      <c r="V514" s="41"/>
      <c r="W514" s="41"/>
      <c r="X514" s="41"/>
      <c r="Y514" s="41"/>
      <c r="Z514" s="41"/>
    </row>
    <row r="515" customFormat="false" ht="14.25" hidden="false" customHeight="true" outlineLevel="0" collapsed="false">
      <c r="A515" s="38"/>
      <c r="B515" s="38"/>
      <c r="C515" s="39"/>
      <c r="D515" s="40"/>
      <c r="E515" s="40"/>
      <c r="F515" s="41"/>
      <c r="G515" s="41"/>
      <c r="H515" s="41"/>
      <c r="I515" s="41"/>
      <c r="J515" s="41"/>
      <c r="K515" s="41"/>
      <c r="L515" s="41"/>
      <c r="M515" s="41"/>
      <c r="N515" s="41"/>
      <c r="O515" s="41"/>
      <c r="P515" s="41"/>
      <c r="Q515" s="41"/>
      <c r="R515" s="41"/>
      <c r="S515" s="41"/>
      <c r="T515" s="41"/>
      <c r="U515" s="41"/>
      <c r="V515" s="41"/>
      <c r="W515" s="41"/>
      <c r="X515" s="41"/>
      <c r="Y515" s="41"/>
      <c r="Z515" s="41"/>
    </row>
    <row r="516" customFormat="false" ht="14.25" hidden="false" customHeight="true" outlineLevel="0" collapsed="false">
      <c r="A516" s="38"/>
      <c r="B516" s="38"/>
      <c r="C516" s="39"/>
      <c r="D516" s="40"/>
      <c r="E516" s="40"/>
      <c r="F516" s="41"/>
      <c r="G516" s="41"/>
      <c r="H516" s="41"/>
      <c r="I516" s="41"/>
      <c r="J516" s="41"/>
      <c r="K516" s="41"/>
      <c r="L516" s="41"/>
      <c r="M516" s="41"/>
      <c r="N516" s="41"/>
      <c r="O516" s="41"/>
      <c r="P516" s="41"/>
      <c r="Q516" s="41"/>
      <c r="R516" s="41"/>
      <c r="S516" s="41"/>
      <c r="T516" s="41"/>
      <c r="U516" s="41"/>
      <c r="V516" s="41"/>
      <c r="W516" s="41"/>
      <c r="X516" s="41"/>
      <c r="Y516" s="41"/>
      <c r="Z516" s="41"/>
    </row>
    <row r="517" customFormat="false" ht="14.25" hidden="false" customHeight="true" outlineLevel="0" collapsed="false">
      <c r="A517" s="38"/>
      <c r="B517" s="38"/>
      <c r="C517" s="39"/>
      <c r="D517" s="40"/>
      <c r="E517" s="40"/>
      <c r="F517" s="41"/>
      <c r="G517" s="41"/>
      <c r="H517" s="41"/>
      <c r="I517" s="41"/>
      <c r="J517" s="41"/>
      <c r="K517" s="41"/>
      <c r="L517" s="41"/>
      <c r="M517" s="41"/>
      <c r="N517" s="41"/>
      <c r="O517" s="41"/>
      <c r="P517" s="41"/>
      <c r="Q517" s="41"/>
      <c r="R517" s="41"/>
      <c r="S517" s="41"/>
      <c r="T517" s="41"/>
      <c r="U517" s="41"/>
      <c r="V517" s="41"/>
      <c r="W517" s="41"/>
      <c r="X517" s="41"/>
      <c r="Y517" s="41"/>
      <c r="Z517" s="41"/>
    </row>
    <row r="518" customFormat="false" ht="14.25" hidden="false" customHeight="true" outlineLevel="0" collapsed="false">
      <c r="A518" s="38"/>
      <c r="B518" s="38"/>
      <c r="C518" s="39"/>
      <c r="D518" s="40"/>
      <c r="E518" s="40"/>
      <c r="F518" s="41"/>
      <c r="G518" s="41"/>
      <c r="H518" s="41"/>
      <c r="I518" s="41"/>
      <c r="J518" s="41"/>
      <c r="K518" s="41"/>
      <c r="L518" s="41"/>
      <c r="M518" s="41"/>
      <c r="N518" s="41"/>
      <c r="O518" s="41"/>
      <c r="P518" s="41"/>
      <c r="Q518" s="41"/>
      <c r="R518" s="41"/>
      <c r="S518" s="41"/>
      <c r="T518" s="41"/>
      <c r="U518" s="41"/>
      <c r="V518" s="41"/>
      <c r="W518" s="41"/>
      <c r="X518" s="41"/>
      <c r="Y518" s="41"/>
      <c r="Z518" s="41"/>
    </row>
    <row r="519" customFormat="false" ht="14.25" hidden="false" customHeight="true" outlineLevel="0" collapsed="false">
      <c r="A519" s="38"/>
      <c r="B519" s="38"/>
      <c r="C519" s="39"/>
      <c r="D519" s="40"/>
      <c r="E519" s="40"/>
      <c r="F519" s="41"/>
      <c r="G519" s="41"/>
      <c r="H519" s="41"/>
      <c r="I519" s="41"/>
      <c r="J519" s="41"/>
      <c r="K519" s="41"/>
      <c r="L519" s="41"/>
      <c r="M519" s="41"/>
      <c r="N519" s="41"/>
      <c r="O519" s="41"/>
      <c r="P519" s="41"/>
      <c r="Q519" s="41"/>
      <c r="R519" s="41"/>
      <c r="S519" s="41"/>
      <c r="T519" s="41"/>
      <c r="U519" s="41"/>
      <c r="V519" s="41"/>
      <c r="W519" s="41"/>
      <c r="X519" s="41"/>
      <c r="Y519" s="41"/>
      <c r="Z519" s="41"/>
    </row>
    <row r="520" customFormat="false" ht="14.25" hidden="false" customHeight="true" outlineLevel="0" collapsed="false">
      <c r="A520" s="38"/>
      <c r="B520" s="38"/>
      <c r="C520" s="39"/>
      <c r="D520" s="40"/>
      <c r="E520" s="40"/>
      <c r="F520" s="41"/>
      <c r="G520" s="41"/>
      <c r="H520" s="41"/>
      <c r="I520" s="41"/>
      <c r="J520" s="41"/>
      <c r="K520" s="41"/>
      <c r="L520" s="41"/>
      <c r="M520" s="41"/>
      <c r="N520" s="41"/>
      <c r="O520" s="41"/>
      <c r="P520" s="41"/>
      <c r="Q520" s="41"/>
      <c r="R520" s="41"/>
      <c r="S520" s="41"/>
      <c r="T520" s="41"/>
      <c r="U520" s="41"/>
      <c r="V520" s="41"/>
      <c r="W520" s="41"/>
      <c r="X520" s="41"/>
      <c r="Y520" s="41"/>
      <c r="Z520" s="41"/>
    </row>
    <row r="521" customFormat="false" ht="14.25" hidden="false" customHeight="true" outlineLevel="0" collapsed="false">
      <c r="A521" s="38"/>
      <c r="B521" s="38"/>
      <c r="C521" s="39"/>
      <c r="D521" s="40"/>
      <c r="E521" s="40"/>
      <c r="F521" s="41"/>
      <c r="G521" s="41"/>
      <c r="H521" s="41"/>
      <c r="I521" s="41"/>
      <c r="J521" s="41"/>
      <c r="K521" s="41"/>
      <c r="L521" s="41"/>
      <c r="M521" s="41"/>
      <c r="N521" s="41"/>
      <c r="O521" s="41"/>
      <c r="P521" s="41"/>
      <c r="Q521" s="41"/>
      <c r="R521" s="41"/>
      <c r="S521" s="41"/>
      <c r="T521" s="41"/>
      <c r="U521" s="41"/>
      <c r="V521" s="41"/>
      <c r="W521" s="41"/>
      <c r="X521" s="41"/>
      <c r="Y521" s="41"/>
      <c r="Z521" s="41"/>
    </row>
    <row r="522" customFormat="false" ht="14.25" hidden="false" customHeight="true" outlineLevel="0" collapsed="false">
      <c r="A522" s="38"/>
      <c r="B522" s="38"/>
      <c r="C522" s="39"/>
      <c r="D522" s="40"/>
      <c r="E522" s="40"/>
      <c r="F522" s="41"/>
      <c r="G522" s="41"/>
      <c r="H522" s="41"/>
      <c r="I522" s="41"/>
      <c r="J522" s="41"/>
      <c r="K522" s="41"/>
      <c r="L522" s="41"/>
      <c r="M522" s="41"/>
      <c r="N522" s="41"/>
      <c r="O522" s="41"/>
      <c r="P522" s="41"/>
      <c r="Q522" s="41"/>
      <c r="R522" s="41"/>
      <c r="S522" s="41"/>
      <c r="T522" s="41"/>
      <c r="U522" s="41"/>
      <c r="V522" s="41"/>
      <c r="W522" s="41"/>
      <c r="X522" s="41"/>
      <c r="Y522" s="41"/>
      <c r="Z522" s="41"/>
    </row>
    <row r="523" customFormat="false" ht="14.25" hidden="false" customHeight="true" outlineLevel="0" collapsed="false">
      <c r="A523" s="38"/>
      <c r="B523" s="38"/>
      <c r="C523" s="39"/>
      <c r="D523" s="40"/>
      <c r="E523" s="40"/>
      <c r="F523" s="41"/>
      <c r="G523" s="41"/>
      <c r="H523" s="41"/>
      <c r="I523" s="41"/>
      <c r="J523" s="41"/>
      <c r="K523" s="41"/>
      <c r="L523" s="41"/>
      <c r="M523" s="41"/>
      <c r="N523" s="41"/>
      <c r="O523" s="41"/>
      <c r="P523" s="41"/>
      <c r="Q523" s="41"/>
      <c r="R523" s="41"/>
      <c r="S523" s="41"/>
      <c r="T523" s="41"/>
      <c r="U523" s="41"/>
      <c r="V523" s="41"/>
      <c r="W523" s="41"/>
      <c r="X523" s="41"/>
      <c r="Y523" s="41"/>
      <c r="Z523" s="41"/>
    </row>
    <row r="524" customFormat="false" ht="14.25" hidden="false" customHeight="true" outlineLevel="0" collapsed="false">
      <c r="A524" s="38"/>
      <c r="B524" s="38"/>
      <c r="C524" s="39"/>
      <c r="D524" s="40"/>
      <c r="E524" s="40"/>
      <c r="F524" s="41"/>
      <c r="G524" s="41"/>
      <c r="H524" s="41"/>
      <c r="I524" s="41"/>
      <c r="J524" s="41"/>
      <c r="K524" s="41"/>
      <c r="L524" s="41"/>
      <c r="M524" s="41"/>
      <c r="N524" s="41"/>
      <c r="O524" s="41"/>
      <c r="P524" s="41"/>
      <c r="Q524" s="41"/>
      <c r="R524" s="41"/>
      <c r="S524" s="41"/>
      <c r="T524" s="41"/>
      <c r="U524" s="41"/>
      <c r="V524" s="41"/>
      <c r="W524" s="41"/>
      <c r="X524" s="41"/>
      <c r="Y524" s="41"/>
      <c r="Z524" s="41"/>
    </row>
    <row r="525" customFormat="false" ht="14.25" hidden="false" customHeight="true" outlineLevel="0" collapsed="false">
      <c r="A525" s="38"/>
      <c r="B525" s="38"/>
      <c r="C525" s="39"/>
      <c r="D525" s="40"/>
      <c r="E525" s="40"/>
      <c r="F525" s="41"/>
      <c r="G525" s="41"/>
      <c r="H525" s="41"/>
      <c r="I525" s="41"/>
      <c r="J525" s="41"/>
      <c r="K525" s="41"/>
      <c r="L525" s="41"/>
      <c r="M525" s="41"/>
      <c r="N525" s="41"/>
      <c r="O525" s="41"/>
      <c r="P525" s="41"/>
      <c r="Q525" s="41"/>
      <c r="R525" s="41"/>
      <c r="S525" s="41"/>
      <c r="T525" s="41"/>
      <c r="U525" s="41"/>
      <c r="V525" s="41"/>
      <c r="W525" s="41"/>
      <c r="X525" s="41"/>
      <c r="Y525" s="41"/>
      <c r="Z525" s="41"/>
    </row>
    <row r="526" customFormat="false" ht="14.25" hidden="false" customHeight="true" outlineLevel="0" collapsed="false">
      <c r="A526" s="38"/>
      <c r="B526" s="38"/>
      <c r="C526" s="39"/>
      <c r="D526" s="40"/>
      <c r="E526" s="40"/>
      <c r="F526" s="41"/>
      <c r="G526" s="41"/>
      <c r="H526" s="41"/>
      <c r="I526" s="41"/>
      <c r="J526" s="41"/>
      <c r="K526" s="41"/>
      <c r="L526" s="41"/>
      <c r="M526" s="41"/>
      <c r="N526" s="41"/>
      <c r="O526" s="41"/>
      <c r="P526" s="41"/>
      <c r="Q526" s="41"/>
      <c r="R526" s="41"/>
      <c r="S526" s="41"/>
      <c r="T526" s="41"/>
      <c r="U526" s="41"/>
      <c r="V526" s="41"/>
      <c r="W526" s="41"/>
      <c r="X526" s="41"/>
      <c r="Y526" s="41"/>
      <c r="Z526" s="41"/>
    </row>
    <row r="527" customFormat="false" ht="14.25" hidden="false" customHeight="true" outlineLevel="0" collapsed="false">
      <c r="A527" s="38"/>
      <c r="B527" s="38"/>
      <c r="C527" s="39"/>
      <c r="D527" s="40"/>
      <c r="E527" s="40"/>
      <c r="F527" s="41"/>
      <c r="G527" s="41"/>
      <c r="H527" s="41"/>
      <c r="I527" s="41"/>
      <c r="J527" s="41"/>
      <c r="K527" s="41"/>
      <c r="L527" s="41"/>
      <c r="M527" s="41"/>
      <c r="N527" s="41"/>
      <c r="O527" s="41"/>
      <c r="P527" s="41"/>
      <c r="Q527" s="41"/>
      <c r="R527" s="41"/>
      <c r="S527" s="41"/>
      <c r="T527" s="41"/>
      <c r="U527" s="41"/>
      <c r="V527" s="41"/>
      <c r="W527" s="41"/>
      <c r="X527" s="41"/>
      <c r="Y527" s="41"/>
      <c r="Z527" s="41"/>
    </row>
    <row r="528" customFormat="false" ht="14.25" hidden="false" customHeight="true" outlineLevel="0" collapsed="false">
      <c r="A528" s="38"/>
      <c r="B528" s="38"/>
      <c r="C528" s="39"/>
      <c r="D528" s="40"/>
      <c r="E528" s="40"/>
      <c r="F528" s="41"/>
      <c r="G528" s="41"/>
      <c r="H528" s="41"/>
      <c r="I528" s="41"/>
      <c r="J528" s="41"/>
      <c r="K528" s="41"/>
      <c r="L528" s="41"/>
      <c r="M528" s="41"/>
      <c r="N528" s="41"/>
      <c r="O528" s="41"/>
      <c r="P528" s="41"/>
      <c r="Q528" s="41"/>
      <c r="R528" s="41"/>
      <c r="S528" s="41"/>
      <c r="T528" s="41"/>
      <c r="U528" s="41"/>
      <c r="V528" s="41"/>
      <c r="W528" s="41"/>
      <c r="X528" s="41"/>
      <c r="Y528" s="41"/>
      <c r="Z528" s="41"/>
    </row>
    <row r="529" customFormat="false" ht="14.25" hidden="false" customHeight="true" outlineLevel="0" collapsed="false">
      <c r="A529" s="38"/>
      <c r="B529" s="38"/>
      <c r="C529" s="39"/>
      <c r="D529" s="40"/>
      <c r="E529" s="40"/>
      <c r="F529" s="41"/>
      <c r="G529" s="41"/>
      <c r="H529" s="41"/>
      <c r="I529" s="41"/>
      <c r="J529" s="41"/>
      <c r="K529" s="41"/>
      <c r="L529" s="41"/>
      <c r="M529" s="41"/>
      <c r="N529" s="41"/>
      <c r="O529" s="41"/>
      <c r="P529" s="41"/>
      <c r="Q529" s="41"/>
      <c r="R529" s="41"/>
      <c r="S529" s="41"/>
      <c r="T529" s="41"/>
      <c r="U529" s="41"/>
      <c r="V529" s="41"/>
      <c r="W529" s="41"/>
      <c r="X529" s="41"/>
      <c r="Y529" s="41"/>
      <c r="Z529" s="41"/>
    </row>
    <row r="530" customFormat="false" ht="14.25" hidden="false" customHeight="true" outlineLevel="0" collapsed="false">
      <c r="A530" s="38"/>
      <c r="B530" s="38"/>
      <c r="C530" s="39"/>
      <c r="D530" s="40"/>
      <c r="E530" s="40"/>
      <c r="F530" s="41"/>
      <c r="G530" s="41"/>
      <c r="H530" s="41"/>
      <c r="I530" s="41"/>
      <c r="J530" s="41"/>
      <c r="K530" s="41"/>
      <c r="L530" s="41"/>
      <c r="M530" s="41"/>
      <c r="N530" s="41"/>
      <c r="O530" s="41"/>
      <c r="P530" s="41"/>
      <c r="Q530" s="41"/>
      <c r="R530" s="41"/>
      <c r="S530" s="41"/>
      <c r="T530" s="41"/>
      <c r="U530" s="41"/>
      <c r="V530" s="41"/>
      <c r="W530" s="41"/>
      <c r="X530" s="41"/>
      <c r="Y530" s="41"/>
      <c r="Z530" s="41"/>
    </row>
    <row r="531" customFormat="false" ht="14.25" hidden="false" customHeight="true" outlineLevel="0" collapsed="false">
      <c r="A531" s="38"/>
      <c r="B531" s="38"/>
      <c r="C531" s="39"/>
      <c r="D531" s="40"/>
      <c r="E531" s="40"/>
      <c r="F531" s="41"/>
      <c r="G531" s="41"/>
      <c r="H531" s="41"/>
      <c r="I531" s="41"/>
      <c r="J531" s="41"/>
      <c r="K531" s="41"/>
      <c r="L531" s="41"/>
      <c r="M531" s="41"/>
      <c r="N531" s="41"/>
      <c r="O531" s="41"/>
      <c r="P531" s="41"/>
      <c r="Q531" s="41"/>
      <c r="R531" s="41"/>
      <c r="S531" s="41"/>
      <c r="T531" s="41"/>
      <c r="U531" s="41"/>
      <c r="V531" s="41"/>
      <c r="W531" s="41"/>
      <c r="X531" s="41"/>
      <c r="Y531" s="41"/>
      <c r="Z531" s="41"/>
    </row>
    <row r="532" customFormat="false" ht="14.25" hidden="false" customHeight="true" outlineLevel="0" collapsed="false">
      <c r="A532" s="38"/>
      <c r="B532" s="38"/>
      <c r="C532" s="39"/>
      <c r="D532" s="40"/>
      <c r="E532" s="40"/>
      <c r="F532" s="41"/>
      <c r="G532" s="41"/>
      <c r="H532" s="41"/>
      <c r="I532" s="41"/>
      <c r="J532" s="41"/>
      <c r="K532" s="41"/>
      <c r="L532" s="41"/>
      <c r="M532" s="41"/>
      <c r="N532" s="41"/>
      <c r="O532" s="41"/>
      <c r="P532" s="41"/>
      <c r="Q532" s="41"/>
      <c r="R532" s="41"/>
      <c r="S532" s="41"/>
      <c r="T532" s="41"/>
      <c r="U532" s="41"/>
      <c r="V532" s="41"/>
      <c r="W532" s="41"/>
      <c r="X532" s="41"/>
      <c r="Y532" s="41"/>
      <c r="Z532" s="41"/>
    </row>
    <row r="533" customFormat="false" ht="14.25" hidden="false" customHeight="true" outlineLevel="0" collapsed="false">
      <c r="A533" s="38"/>
      <c r="B533" s="38"/>
      <c r="C533" s="39"/>
      <c r="D533" s="40"/>
      <c r="E533" s="40"/>
      <c r="F533" s="41"/>
      <c r="G533" s="41"/>
      <c r="H533" s="41"/>
      <c r="I533" s="41"/>
      <c r="J533" s="41"/>
      <c r="K533" s="41"/>
      <c r="L533" s="41"/>
      <c r="M533" s="41"/>
      <c r="N533" s="41"/>
      <c r="O533" s="41"/>
      <c r="P533" s="41"/>
      <c r="Q533" s="41"/>
      <c r="R533" s="41"/>
      <c r="S533" s="41"/>
      <c r="T533" s="41"/>
      <c r="U533" s="41"/>
      <c r="V533" s="41"/>
      <c r="W533" s="41"/>
      <c r="X533" s="41"/>
      <c r="Y533" s="41"/>
      <c r="Z533" s="41"/>
    </row>
    <row r="534" customFormat="false" ht="14.25" hidden="false" customHeight="true" outlineLevel="0" collapsed="false">
      <c r="A534" s="38"/>
      <c r="B534" s="38"/>
      <c r="C534" s="39"/>
      <c r="D534" s="40"/>
      <c r="E534" s="40"/>
      <c r="F534" s="41"/>
      <c r="G534" s="41"/>
      <c r="H534" s="41"/>
      <c r="I534" s="41"/>
      <c r="J534" s="41"/>
      <c r="K534" s="41"/>
      <c r="L534" s="41"/>
      <c r="M534" s="41"/>
      <c r="N534" s="41"/>
      <c r="O534" s="41"/>
      <c r="P534" s="41"/>
      <c r="Q534" s="41"/>
      <c r="R534" s="41"/>
      <c r="S534" s="41"/>
      <c r="T534" s="41"/>
      <c r="U534" s="41"/>
      <c r="V534" s="41"/>
      <c r="W534" s="41"/>
      <c r="X534" s="41"/>
      <c r="Y534" s="41"/>
      <c r="Z534" s="41"/>
    </row>
    <row r="535" customFormat="false" ht="14.25" hidden="false" customHeight="true" outlineLevel="0" collapsed="false">
      <c r="A535" s="38"/>
      <c r="B535" s="38"/>
      <c r="C535" s="39"/>
      <c r="D535" s="40"/>
      <c r="E535" s="40"/>
      <c r="F535" s="41"/>
      <c r="G535" s="41"/>
      <c r="H535" s="41"/>
      <c r="I535" s="41"/>
      <c r="J535" s="41"/>
      <c r="K535" s="41"/>
      <c r="L535" s="41"/>
      <c r="M535" s="41"/>
      <c r="N535" s="41"/>
      <c r="O535" s="41"/>
      <c r="P535" s="41"/>
      <c r="Q535" s="41"/>
      <c r="R535" s="41"/>
      <c r="S535" s="41"/>
      <c r="T535" s="41"/>
      <c r="U535" s="41"/>
      <c r="V535" s="41"/>
      <c r="W535" s="41"/>
      <c r="X535" s="41"/>
      <c r="Y535" s="41"/>
      <c r="Z535" s="41"/>
    </row>
    <row r="536" customFormat="false" ht="14.25" hidden="false" customHeight="true" outlineLevel="0" collapsed="false">
      <c r="A536" s="38"/>
      <c r="B536" s="38"/>
      <c r="C536" s="39"/>
      <c r="D536" s="40"/>
      <c r="E536" s="40"/>
      <c r="F536" s="41"/>
      <c r="G536" s="41"/>
      <c r="H536" s="41"/>
      <c r="I536" s="41"/>
      <c r="J536" s="41"/>
      <c r="K536" s="41"/>
      <c r="L536" s="41"/>
      <c r="M536" s="41"/>
      <c r="N536" s="41"/>
      <c r="O536" s="41"/>
      <c r="P536" s="41"/>
      <c r="Q536" s="41"/>
      <c r="R536" s="41"/>
      <c r="S536" s="41"/>
      <c r="T536" s="41"/>
      <c r="U536" s="41"/>
      <c r="V536" s="41"/>
      <c r="W536" s="41"/>
      <c r="X536" s="41"/>
      <c r="Y536" s="41"/>
      <c r="Z536" s="41"/>
    </row>
    <row r="537" customFormat="false" ht="14.25" hidden="false" customHeight="true" outlineLevel="0" collapsed="false">
      <c r="A537" s="38"/>
      <c r="B537" s="38"/>
      <c r="C537" s="39"/>
      <c r="D537" s="40"/>
      <c r="E537" s="40"/>
      <c r="F537" s="41"/>
      <c r="G537" s="41"/>
      <c r="H537" s="41"/>
      <c r="I537" s="41"/>
      <c r="J537" s="41"/>
      <c r="K537" s="41"/>
      <c r="L537" s="41"/>
      <c r="M537" s="41"/>
      <c r="N537" s="41"/>
      <c r="O537" s="41"/>
      <c r="P537" s="41"/>
      <c r="Q537" s="41"/>
      <c r="R537" s="41"/>
      <c r="S537" s="41"/>
      <c r="T537" s="41"/>
      <c r="U537" s="41"/>
      <c r="V537" s="41"/>
      <c r="W537" s="41"/>
      <c r="X537" s="41"/>
      <c r="Y537" s="41"/>
      <c r="Z537" s="41"/>
    </row>
    <row r="538" customFormat="false" ht="14.25" hidden="false" customHeight="true" outlineLevel="0" collapsed="false">
      <c r="A538" s="38"/>
      <c r="B538" s="38"/>
      <c r="C538" s="39"/>
      <c r="D538" s="40"/>
      <c r="E538" s="40"/>
      <c r="F538" s="41"/>
      <c r="G538" s="41"/>
      <c r="H538" s="41"/>
      <c r="I538" s="41"/>
      <c r="J538" s="41"/>
      <c r="K538" s="41"/>
      <c r="L538" s="41"/>
      <c r="M538" s="41"/>
      <c r="N538" s="41"/>
      <c r="O538" s="41"/>
      <c r="P538" s="41"/>
      <c r="Q538" s="41"/>
      <c r="R538" s="41"/>
      <c r="S538" s="41"/>
      <c r="T538" s="41"/>
      <c r="U538" s="41"/>
      <c r="V538" s="41"/>
      <c r="W538" s="41"/>
      <c r="X538" s="41"/>
      <c r="Y538" s="41"/>
      <c r="Z538" s="41"/>
    </row>
    <row r="539" customFormat="false" ht="14.25" hidden="false" customHeight="true" outlineLevel="0" collapsed="false">
      <c r="A539" s="38"/>
      <c r="B539" s="38"/>
      <c r="C539" s="39"/>
      <c r="D539" s="40"/>
      <c r="E539" s="40"/>
      <c r="F539" s="41"/>
      <c r="G539" s="41"/>
      <c r="H539" s="41"/>
      <c r="I539" s="41"/>
      <c r="J539" s="41"/>
      <c r="K539" s="41"/>
      <c r="L539" s="41"/>
      <c r="M539" s="41"/>
      <c r="N539" s="41"/>
      <c r="O539" s="41"/>
      <c r="P539" s="41"/>
      <c r="Q539" s="41"/>
      <c r="R539" s="41"/>
      <c r="S539" s="41"/>
      <c r="T539" s="41"/>
      <c r="U539" s="41"/>
      <c r="V539" s="41"/>
      <c r="W539" s="41"/>
      <c r="X539" s="41"/>
      <c r="Y539" s="41"/>
      <c r="Z539" s="41"/>
    </row>
    <row r="540" customFormat="false" ht="14.25" hidden="false" customHeight="true" outlineLevel="0" collapsed="false">
      <c r="A540" s="38"/>
      <c r="B540" s="38"/>
      <c r="C540" s="39"/>
      <c r="D540" s="40"/>
      <c r="E540" s="40"/>
      <c r="F540" s="41"/>
      <c r="G540" s="41"/>
      <c r="H540" s="41"/>
      <c r="I540" s="41"/>
      <c r="J540" s="41"/>
      <c r="K540" s="41"/>
      <c r="L540" s="41"/>
      <c r="M540" s="41"/>
      <c r="N540" s="41"/>
      <c r="O540" s="41"/>
      <c r="P540" s="41"/>
      <c r="Q540" s="41"/>
      <c r="R540" s="41"/>
      <c r="S540" s="41"/>
      <c r="T540" s="41"/>
      <c r="U540" s="41"/>
      <c r="V540" s="41"/>
      <c r="W540" s="41"/>
      <c r="X540" s="41"/>
      <c r="Y540" s="41"/>
      <c r="Z540" s="41"/>
    </row>
    <row r="541" customFormat="false" ht="14.25" hidden="false" customHeight="true" outlineLevel="0" collapsed="false">
      <c r="A541" s="38"/>
      <c r="B541" s="38"/>
      <c r="C541" s="39"/>
      <c r="D541" s="40"/>
      <c r="E541" s="40"/>
      <c r="F541" s="41"/>
      <c r="G541" s="41"/>
      <c r="H541" s="41"/>
      <c r="I541" s="41"/>
      <c r="J541" s="41"/>
      <c r="K541" s="41"/>
      <c r="L541" s="41"/>
      <c r="M541" s="41"/>
      <c r="N541" s="41"/>
      <c r="O541" s="41"/>
      <c r="P541" s="41"/>
      <c r="Q541" s="41"/>
      <c r="R541" s="41"/>
      <c r="S541" s="41"/>
      <c r="T541" s="41"/>
      <c r="U541" s="41"/>
      <c r="V541" s="41"/>
      <c r="W541" s="41"/>
      <c r="X541" s="41"/>
      <c r="Y541" s="41"/>
      <c r="Z541" s="41"/>
    </row>
    <row r="542" customFormat="false" ht="14.25" hidden="false" customHeight="true" outlineLevel="0" collapsed="false">
      <c r="A542" s="38"/>
      <c r="B542" s="38"/>
      <c r="C542" s="39"/>
      <c r="D542" s="40"/>
      <c r="E542" s="40"/>
      <c r="F542" s="41"/>
      <c r="G542" s="41"/>
      <c r="H542" s="41"/>
      <c r="I542" s="41"/>
      <c r="J542" s="41"/>
      <c r="K542" s="41"/>
      <c r="L542" s="41"/>
      <c r="M542" s="41"/>
      <c r="N542" s="41"/>
      <c r="O542" s="41"/>
      <c r="P542" s="41"/>
      <c r="Q542" s="41"/>
      <c r="R542" s="41"/>
      <c r="S542" s="41"/>
      <c r="T542" s="41"/>
      <c r="U542" s="41"/>
      <c r="V542" s="41"/>
      <c r="W542" s="41"/>
      <c r="X542" s="41"/>
      <c r="Y542" s="41"/>
      <c r="Z542" s="41"/>
    </row>
    <row r="543" customFormat="false" ht="14.25" hidden="false" customHeight="true" outlineLevel="0" collapsed="false">
      <c r="A543" s="38"/>
      <c r="B543" s="38"/>
      <c r="C543" s="39"/>
      <c r="D543" s="40"/>
      <c r="E543" s="40"/>
      <c r="F543" s="41"/>
      <c r="G543" s="41"/>
      <c r="H543" s="41"/>
      <c r="I543" s="41"/>
      <c r="J543" s="41"/>
      <c r="K543" s="41"/>
      <c r="L543" s="41"/>
      <c r="M543" s="41"/>
      <c r="N543" s="41"/>
      <c r="O543" s="41"/>
      <c r="P543" s="41"/>
      <c r="Q543" s="41"/>
      <c r="R543" s="41"/>
      <c r="S543" s="41"/>
      <c r="T543" s="41"/>
      <c r="U543" s="41"/>
      <c r="V543" s="41"/>
      <c r="W543" s="41"/>
      <c r="X543" s="41"/>
      <c r="Y543" s="41"/>
      <c r="Z543" s="41"/>
    </row>
    <row r="544" customFormat="false" ht="14.25" hidden="false" customHeight="true" outlineLevel="0" collapsed="false">
      <c r="A544" s="38"/>
      <c r="B544" s="38"/>
      <c r="C544" s="39"/>
      <c r="D544" s="40"/>
      <c r="E544" s="40"/>
      <c r="F544" s="41"/>
      <c r="G544" s="41"/>
      <c r="H544" s="41"/>
      <c r="I544" s="41"/>
      <c r="J544" s="41"/>
      <c r="K544" s="41"/>
      <c r="L544" s="41"/>
      <c r="M544" s="41"/>
      <c r="N544" s="41"/>
      <c r="O544" s="41"/>
      <c r="P544" s="41"/>
      <c r="Q544" s="41"/>
      <c r="R544" s="41"/>
      <c r="S544" s="41"/>
      <c r="T544" s="41"/>
      <c r="U544" s="41"/>
      <c r="V544" s="41"/>
      <c r="W544" s="41"/>
      <c r="X544" s="41"/>
      <c r="Y544" s="41"/>
      <c r="Z544" s="41"/>
    </row>
    <row r="545" customFormat="false" ht="14.25" hidden="false" customHeight="true" outlineLevel="0" collapsed="false">
      <c r="A545" s="38"/>
      <c r="B545" s="38"/>
      <c r="C545" s="39"/>
      <c r="D545" s="40"/>
      <c r="E545" s="40"/>
      <c r="F545" s="41"/>
      <c r="G545" s="41"/>
      <c r="H545" s="41"/>
      <c r="I545" s="41"/>
      <c r="J545" s="41"/>
      <c r="K545" s="41"/>
      <c r="L545" s="41"/>
      <c r="M545" s="41"/>
      <c r="N545" s="41"/>
      <c r="O545" s="41"/>
      <c r="P545" s="41"/>
      <c r="Q545" s="41"/>
      <c r="R545" s="41"/>
      <c r="S545" s="41"/>
      <c r="T545" s="41"/>
      <c r="U545" s="41"/>
      <c r="V545" s="41"/>
      <c r="W545" s="41"/>
      <c r="X545" s="41"/>
      <c r="Y545" s="41"/>
      <c r="Z545" s="41"/>
    </row>
    <row r="546" customFormat="false" ht="14.25" hidden="false" customHeight="true" outlineLevel="0" collapsed="false">
      <c r="A546" s="38"/>
      <c r="B546" s="38"/>
      <c r="C546" s="39"/>
      <c r="D546" s="40"/>
      <c r="E546" s="40"/>
      <c r="F546" s="41"/>
      <c r="G546" s="41"/>
      <c r="H546" s="41"/>
      <c r="I546" s="41"/>
      <c r="J546" s="41"/>
      <c r="K546" s="41"/>
      <c r="L546" s="41"/>
      <c r="M546" s="41"/>
      <c r="N546" s="41"/>
      <c r="O546" s="41"/>
      <c r="P546" s="41"/>
      <c r="Q546" s="41"/>
      <c r="R546" s="41"/>
      <c r="S546" s="41"/>
      <c r="T546" s="41"/>
      <c r="U546" s="41"/>
      <c r="V546" s="41"/>
      <c r="W546" s="41"/>
      <c r="X546" s="41"/>
      <c r="Y546" s="41"/>
      <c r="Z546" s="41"/>
    </row>
    <row r="547" customFormat="false" ht="14.25" hidden="false" customHeight="true" outlineLevel="0" collapsed="false">
      <c r="A547" s="38"/>
      <c r="B547" s="38"/>
      <c r="C547" s="39"/>
      <c r="D547" s="40"/>
      <c r="E547" s="40"/>
      <c r="F547" s="41"/>
      <c r="G547" s="41"/>
      <c r="H547" s="41"/>
      <c r="I547" s="41"/>
      <c r="J547" s="41"/>
      <c r="K547" s="41"/>
      <c r="L547" s="41"/>
      <c r="M547" s="41"/>
      <c r="N547" s="41"/>
      <c r="O547" s="41"/>
      <c r="P547" s="41"/>
      <c r="Q547" s="41"/>
      <c r="R547" s="41"/>
      <c r="S547" s="41"/>
      <c r="T547" s="41"/>
      <c r="U547" s="41"/>
      <c r="V547" s="41"/>
      <c r="W547" s="41"/>
      <c r="X547" s="41"/>
      <c r="Y547" s="41"/>
      <c r="Z547" s="41"/>
    </row>
    <row r="548" customFormat="false" ht="14.25" hidden="false" customHeight="true" outlineLevel="0" collapsed="false">
      <c r="A548" s="38"/>
      <c r="B548" s="38"/>
      <c r="C548" s="39"/>
      <c r="D548" s="40"/>
      <c r="E548" s="40"/>
      <c r="F548" s="41"/>
      <c r="G548" s="41"/>
      <c r="H548" s="41"/>
      <c r="I548" s="41"/>
      <c r="J548" s="41"/>
      <c r="K548" s="41"/>
      <c r="L548" s="41"/>
      <c r="M548" s="41"/>
      <c r="N548" s="41"/>
      <c r="O548" s="41"/>
      <c r="P548" s="41"/>
      <c r="Q548" s="41"/>
      <c r="R548" s="41"/>
      <c r="S548" s="41"/>
      <c r="T548" s="41"/>
      <c r="U548" s="41"/>
      <c r="V548" s="41"/>
      <c r="W548" s="41"/>
      <c r="X548" s="41"/>
      <c r="Y548" s="41"/>
      <c r="Z548" s="41"/>
    </row>
    <row r="549" customFormat="false" ht="14.25" hidden="false" customHeight="true" outlineLevel="0" collapsed="false">
      <c r="A549" s="38"/>
      <c r="B549" s="38"/>
      <c r="C549" s="39"/>
      <c r="D549" s="40"/>
      <c r="E549" s="40"/>
      <c r="F549" s="41"/>
      <c r="G549" s="41"/>
      <c r="H549" s="41"/>
      <c r="I549" s="41"/>
      <c r="J549" s="41"/>
      <c r="K549" s="41"/>
      <c r="L549" s="41"/>
      <c r="M549" s="41"/>
      <c r="N549" s="41"/>
      <c r="O549" s="41"/>
      <c r="P549" s="41"/>
      <c r="Q549" s="41"/>
      <c r="R549" s="41"/>
      <c r="S549" s="41"/>
      <c r="T549" s="41"/>
      <c r="U549" s="41"/>
      <c r="V549" s="41"/>
      <c r="W549" s="41"/>
      <c r="X549" s="41"/>
      <c r="Y549" s="41"/>
      <c r="Z549" s="41"/>
    </row>
    <row r="550" customFormat="false" ht="14.25" hidden="false" customHeight="true" outlineLevel="0" collapsed="false">
      <c r="A550" s="38"/>
      <c r="B550" s="38"/>
      <c r="C550" s="39"/>
      <c r="D550" s="40"/>
      <c r="E550" s="40"/>
      <c r="F550" s="41"/>
      <c r="G550" s="41"/>
      <c r="H550" s="41"/>
      <c r="I550" s="41"/>
      <c r="J550" s="41"/>
      <c r="K550" s="41"/>
      <c r="L550" s="41"/>
      <c r="M550" s="41"/>
      <c r="N550" s="41"/>
      <c r="O550" s="41"/>
      <c r="P550" s="41"/>
      <c r="Q550" s="41"/>
      <c r="R550" s="41"/>
      <c r="S550" s="41"/>
      <c r="T550" s="41"/>
      <c r="U550" s="41"/>
      <c r="V550" s="41"/>
      <c r="W550" s="41"/>
      <c r="X550" s="41"/>
      <c r="Y550" s="41"/>
      <c r="Z550" s="41"/>
    </row>
    <row r="551" customFormat="false" ht="14.25" hidden="false" customHeight="true" outlineLevel="0" collapsed="false">
      <c r="A551" s="38"/>
      <c r="B551" s="38"/>
      <c r="C551" s="39"/>
      <c r="D551" s="40"/>
      <c r="E551" s="40"/>
      <c r="F551" s="41"/>
      <c r="G551" s="41"/>
      <c r="H551" s="41"/>
      <c r="I551" s="41"/>
      <c r="J551" s="41"/>
      <c r="K551" s="41"/>
      <c r="L551" s="41"/>
      <c r="M551" s="41"/>
      <c r="N551" s="41"/>
      <c r="O551" s="41"/>
      <c r="P551" s="41"/>
      <c r="Q551" s="41"/>
      <c r="R551" s="41"/>
      <c r="S551" s="41"/>
      <c r="T551" s="41"/>
      <c r="U551" s="41"/>
      <c r="V551" s="41"/>
      <c r="W551" s="41"/>
      <c r="X551" s="41"/>
      <c r="Y551" s="41"/>
      <c r="Z551" s="41"/>
    </row>
    <row r="552" customFormat="false" ht="14.25" hidden="false" customHeight="true" outlineLevel="0" collapsed="false">
      <c r="A552" s="38"/>
      <c r="B552" s="38"/>
      <c r="C552" s="39"/>
      <c r="D552" s="40"/>
      <c r="E552" s="40"/>
      <c r="F552" s="41"/>
      <c r="G552" s="41"/>
      <c r="H552" s="41"/>
      <c r="I552" s="41"/>
      <c r="J552" s="41"/>
      <c r="K552" s="41"/>
      <c r="L552" s="41"/>
      <c r="M552" s="41"/>
      <c r="N552" s="41"/>
      <c r="O552" s="41"/>
      <c r="P552" s="41"/>
      <c r="Q552" s="41"/>
      <c r="R552" s="41"/>
      <c r="S552" s="41"/>
      <c r="T552" s="41"/>
      <c r="U552" s="41"/>
      <c r="V552" s="41"/>
      <c r="W552" s="41"/>
      <c r="X552" s="41"/>
      <c r="Y552" s="41"/>
      <c r="Z552" s="41"/>
    </row>
    <row r="553" customFormat="false" ht="14.25" hidden="false" customHeight="true" outlineLevel="0" collapsed="false">
      <c r="A553" s="38"/>
      <c r="B553" s="38"/>
      <c r="C553" s="39"/>
      <c r="D553" s="40"/>
      <c r="E553" s="40"/>
      <c r="F553" s="41"/>
      <c r="G553" s="41"/>
      <c r="H553" s="41"/>
      <c r="I553" s="41"/>
      <c r="J553" s="41"/>
      <c r="K553" s="41"/>
      <c r="L553" s="41"/>
      <c r="M553" s="41"/>
      <c r="N553" s="41"/>
      <c r="O553" s="41"/>
      <c r="P553" s="41"/>
      <c r="Q553" s="41"/>
      <c r="R553" s="41"/>
      <c r="S553" s="41"/>
      <c r="T553" s="41"/>
      <c r="U553" s="41"/>
      <c r="V553" s="41"/>
      <c r="W553" s="41"/>
      <c r="X553" s="41"/>
      <c r="Y553" s="41"/>
      <c r="Z553" s="41"/>
    </row>
    <row r="554" customFormat="false" ht="14.25" hidden="false" customHeight="true" outlineLevel="0" collapsed="false">
      <c r="A554" s="38"/>
      <c r="B554" s="38"/>
      <c r="C554" s="39"/>
      <c r="D554" s="40"/>
      <c r="E554" s="40"/>
      <c r="F554" s="41"/>
      <c r="G554" s="41"/>
      <c r="H554" s="41"/>
      <c r="I554" s="41"/>
      <c r="J554" s="41"/>
      <c r="K554" s="41"/>
      <c r="L554" s="41"/>
      <c r="M554" s="41"/>
      <c r="N554" s="41"/>
      <c r="O554" s="41"/>
      <c r="P554" s="41"/>
      <c r="Q554" s="41"/>
      <c r="R554" s="41"/>
      <c r="S554" s="41"/>
      <c r="T554" s="41"/>
      <c r="U554" s="41"/>
      <c r="V554" s="41"/>
      <c r="W554" s="41"/>
      <c r="X554" s="41"/>
      <c r="Y554" s="41"/>
      <c r="Z554" s="41"/>
    </row>
    <row r="555" customFormat="false" ht="14.25" hidden="false" customHeight="true" outlineLevel="0" collapsed="false">
      <c r="A555" s="38"/>
      <c r="B555" s="38"/>
      <c r="C555" s="39"/>
      <c r="D555" s="40"/>
      <c r="E555" s="40"/>
      <c r="F555" s="41"/>
      <c r="G555" s="41"/>
      <c r="H555" s="41"/>
      <c r="I555" s="41"/>
      <c r="J555" s="41"/>
      <c r="K555" s="41"/>
      <c r="L555" s="41"/>
      <c r="M555" s="41"/>
      <c r="N555" s="41"/>
      <c r="O555" s="41"/>
      <c r="P555" s="41"/>
      <c r="Q555" s="41"/>
      <c r="R555" s="41"/>
      <c r="S555" s="41"/>
      <c r="T555" s="41"/>
      <c r="U555" s="41"/>
      <c r="V555" s="41"/>
      <c r="W555" s="41"/>
      <c r="X555" s="41"/>
      <c r="Y555" s="41"/>
      <c r="Z555" s="41"/>
    </row>
    <row r="556" customFormat="false" ht="14.25" hidden="false" customHeight="true" outlineLevel="0" collapsed="false">
      <c r="A556" s="38"/>
      <c r="B556" s="38"/>
      <c r="C556" s="39"/>
      <c r="D556" s="40"/>
      <c r="E556" s="40"/>
      <c r="F556" s="41"/>
      <c r="G556" s="41"/>
      <c r="H556" s="41"/>
      <c r="I556" s="41"/>
      <c r="J556" s="41"/>
      <c r="K556" s="41"/>
      <c r="L556" s="41"/>
      <c r="M556" s="41"/>
      <c r="N556" s="41"/>
      <c r="O556" s="41"/>
      <c r="P556" s="41"/>
      <c r="Q556" s="41"/>
      <c r="R556" s="41"/>
      <c r="S556" s="41"/>
      <c r="T556" s="41"/>
      <c r="U556" s="41"/>
      <c r="V556" s="41"/>
      <c r="W556" s="41"/>
      <c r="X556" s="41"/>
      <c r="Y556" s="41"/>
      <c r="Z556" s="41"/>
    </row>
    <row r="557" customFormat="false" ht="14.25" hidden="false" customHeight="true" outlineLevel="0" collapsed="false">
      <c r="A557" s="38"/>
      <c r="B557" s="38"/>
      <c r="C557" s="39"/>
      <c r="D557" s="40"/>
      <c r="E557" s="40"/>
      <c r="F557" s="41"/>
      <c r="G557" s="41"/>
      <c r="H557" s="41"/>
      <c r="I557" s="41"/>
      <c r="J557" s="41"/>
      <c r="K557" s="41"/>
      <c r="L557" s="41"/>
      <c r="M557" s="41"/>
      <c r="N557" s="41"/>
      <c r="O557" s="41"/>
      <c r="P557" s="41"/>
      <c r="Q557" s="41"/>
      <c r="R557" s="41"/>
      <c r="S557" s="41"/>
      <c r="T557" s="41"/>
      <c r="U557" s="41"/>
      <c r="V557" s="41"/>
      <c r="W557" s="41"/>
      <c r="X557" s="41"/>
      <c r="Y557" s="41"/>
      <c r="Z557" s="41"/>
    </row>
    <row r="558" customFormat="false" ht="14.25" hidden="false" customHeight="true" outlineLevel="0" collapsed="false">
      <c r="A558" s="38"/>
      <c r="B558" s="38"/>
      <c r="C558" s="39"/>
      <c r="D558" s="40"/>
      <c r="E558" s="40"/>
      <c r="F558" s="41"/>
      <c r="G558" s="41"/>
      <c r="H558" s="41"/>
      <c r="I558" s="41"/>
      <c r="J558" s="41"/>
      <c r="K558" s="41"/>
      <c r="L558" s="41"/>
      <c r="M558" s="41"/>
      <c r="N558" s="41"/>
      <c r="O558" s="41"/>
      <c r="P558" s="41"/>
      <c r="Q558" s="41"/>
      <c r="R558" s="41"/>
      <c r="S558" s="41"/>
      <c r="T558" s="41"/>
      <c r="U558" s="41"/>
      <c r="V558" s="41"/>
      <c r="W558" s="41"/>
      <c r="X558" s="41"/>
      <c r="Y558" s="41"/>
      <c r="Z558" s="41"/>
    </row>
    <row r="559" customFormat="false" ht="14.25" hidden="false" customHeight="true" outlineLevel="0" collapsed="false">
      <c r="A559" s="38"/>
      <c r="B559" s="38"/>
      <c r="C559" s="39"/>
      <c r="D559" s="40"/>
      <c r="E559" s="40"/>
      <c r="F559" s="41"/>
      <c r="G559" s="41"/>
      <c r="H559" s="41"/>
      <c r="I559" s="41"/>
      <c r="J559" s="41"/>
      <c r="K559" s="41"/>
      <c r="L559" s="41"/>
      <c r="M559" s="41"/>
      <c r="N559" s="41"/>
      <c r="O559" s="41"/>
      <c r="P559" s="41"/>
      <c r="Q559" s="41"/>
      <c r="R559" s="41"/>
      <c r="S559" s="41"/>
      <c r="T559" s="41"/>
      <c r="U559" s="41"/>
      <c r="V559" s="41"/>
      <c r="W559" s="41"/>
      <c r="X559" s="41"/>
      <c r="Y559" s="41"/>
      <c r="Z559" s="41"/>
    </row>
    <row r="560" customFormat="false" ht="14.25" hidden="false" customHeight="true" outlineLevel="0" collapsed="false">
      <c r="A560" s="38"/>
      <c r="B560" s="38"/>
      <c r="C560" s="39"/>
      <c r="D560" s="40"/>
      <c r="E560" s="40"/>
      <c r="F560" s="41"/>
      <c r="G560" s="41"/>
      <c r="H560" s="41"/>
      <c r="I560" s="41"/>
      <c r="J560" s="41"/>
      <c r="K560" s="41"/>
      <c r="L560" s="41"/>
      <c r="M560" s="41"/>
      <c r="N560" s="41"/>
      <c r="O560" s="41"/>
      <c r="P560" s="41"/>
      <c r="Q560" s="41"/>
      <c r="R560" s="41"/>
      <c r="S560" s="41"/>
      <c r="T560" s="41"/>
      <c r="U560" s="41"/>
      <c r="V560" s="41"/>
      <c r="W560" s="41"/>
      <c r="X560" s="41"/>
      <c r="Y560" s="41"/>
      <c r="Z560" s="41"/>
    </row>
    <row r="561" customFormat="false" ht="14.25" hidden="false" customHeight="true" outlineLevel="0" collapsed="false">
      <c r="A561" s="38"/>
      <c r="B561" s="38"/>
      <c r="C561" s="39"/>
      <c r="D561" s="40"/>
      <c r="E561" s="40"/>
      <c r="F561" s="41"/>
      <c r="G561" s="41"/>
      <c r="H561" s="41"/>
      <c r="I561" s="41"/>
      <c r="J561" s="41"/>
      <c r="K561" s="41"/>
      <c r="L561" s="41"/>
      <c r="M561" s="41"/>
      <c r="N561" s="41"/>
      <c r="O561" s="41"/>
      <c r="P561" s="41"/>
      <c r="Q561" s="41"/>
      <c r="R561" s="41"/>
      <c r="S561" s="41"/>
      <c r="T561" s="41"/>
      <c r="U561" s="41"/>
      <c r="V561" s="41"/>
      <c r="W561" s="41"/>
      <c r="X561" s="41"/>
      <c r="Y561" s="41"/>
      <c r="Z561" s="41"/>
    </row>
    <row r="562" customFormat="false" ht="14.25" hidden="false" customHeight="true" outlineLevel="0" collapsed="false">
      <c r="A562" s="38"/>
      <c r="B562" s="38"/>
      <c r="C562" s="39"/>
      <c r="D562" s="40"/>
      <c r="E562" s="40"/>
      <c r="F562" s="41"/>
      <c r="G562" s="41"/>
      <c r="H562" s="41"/>
      <c r="I562" s="41"/>
      <c r="J562" s="41"/>
      <c r="K562" s="41"/>
      <c r="L562" s="41"/>
      <c r="M562" s="41"/>
      <c r="N562" s="41"/>
      <c r="O562" s="41"/>
      <c r="P562" s="41"/>
      <c r="Q562" s="41"/>
      <c r="R562" s="41"/>
      <c r="S562" s="41"/>
      <c r="T562" s="41"/>
      <c r="U562" s="41"/>
      <c r="V562" s="41"/>
      <c r="W562" s="41"/>
      <c r="X562" s="41"/>
      <c r="Y562" s="41"/>
      <c r="Z562" s="41"/>
    </row>
    <row r="563" customFormat="false" ht="14.25" hidden="false" customHeight="true" outlineLevel="0" collapsed="false">
      <c r="A563" s="38"/>
      <c r="B563" s="38"/>
      <c r="C563" s="39"/>
      <c r="D563" s="40"/>
      <c r="E563" s="40"/>
      <c r="F563" s="41"/>
      <c r="G563" s="41"/>
      <c r="H563" s="41"/>
      <c r="I563" s="41"/>
      <c r="J563" s="41"/>
      <c r="K563" s="41"/>
      <c r="L563" s="41"/>
      <c r="M563" s="41"/>
      <c r="N563" s="41"/>
      <c r="O563" s="41"/>
      <c r="P563" s="41"/>
      <c r="Q563" s="41"/>
      <c r="R563" s="41"/>
      <c r="S563" s="41"/>
      <c r="T563" s="41"/>
      <c r="U563" s="41"/>
      <c r="V563" s="41"/>
      <c r="W563" s="41"/>
      <c r="X563" s="41"/>
      <c r="Y563" s="41"/>
      <c r="Z563" s="41"/>
    </row>
    <row r="564" customFormat="false" ht="14.25" hidden="false" customHeight="true" outlineLevel="0" collapsed="false">
      <c r="A564" s="38"/>
      <c r="B564" s="38"/>
      <c r="C564" s="39"/>
      <c r="D564" s="40"/>
      <c r="E564" s="40"/>
      <c r="F564" s="41"/>
      <c r="G564" s="41"/>
      <c r="H564" s="41"/>
      <c r="I564" s="41"/>
      <c r="J564" s="41"/>
      <c r="K564" s="41"/>
      <c r="L564" s="41"/>
      <c r="M564" s="41"/>
      <c r="N564" s="41"/>
      <c r="O564" s="41"/>
      <c r="P564" s="41"/>
      <c r="Q564" s="41"/>
      <c r="R564" s="41"/>
      <c r="S564" s="41"/>
      <c r="T564" s="41"/>
      <c r="U564" s="41"/>
      <c r="V564" s="41"/>
      <c r="W564" s="41"/>
      <c r="X564" s="41"/>
      <c r="Y564" s="41"/>
      <c r="Z564" s="41"/>
    </row>
    <row r="565" customFormat="false" ht="14.25" hidden="false" customHeight="true" outlineLevel="0" collapsed="false">
      <c r="A565" s="38"/>
      <c r="B565" s="38"/>
      <c r="C565" s="39"/>
      <c r="D565" s="40"/>
      <c r="E565" s="40"/>
      <c r="F565" s="41"/>
      <c r="G565" s="41"/>
      <c r="H565" s="41"/>
      <c r="I565" s="41"/>
      <c r="J565" s="41"/>
      <c r="K565" s="41"/>
      <c r="L565" s="41"/>
      <c r="M565" s="41"/>
      <c r="N565" s="41"/>
      <c r="O565" s="41"/>
      <c r="P565" s="41"/>
      <c r="Q565" s="41"/>
      <c r="R565" s="41"/>
      <c r="S565" s="41"/>
      <c r="T565" s="41"/>
      <c r="U565" s="41"/>
      <c r="V565" s="41"/>
      <c r="W565" s="41"/>
      <c r="X565" s="41"/>
      <c r="Y565" s="41"/>
      <c r="Z565" s="41"/>
    </row>
    <row r="566" customFormat="false" ht="14.25" hidden="false" customHeight="true" outlineLevel="0" collapsed="false">
      <c r="A566" s="38"/>
      <c r="B566" s="38"/>
      <c r="C566" s="39"/>
      <c r="D566" s="40"/>
      <c r="E566" s="40"/>
      <c r="F566" s="41"/>
      <c r="G566" s="41"/>
      <c r="H566" s="41"/>
      <c r="I566" s="41"/>
      <c r="J566" s="41"/>
      <c r="K566" s="41"/>
      <c r="L566" s="41"/>
      <c r="M566" s="41"/>
      <c r="N566" s="41"/>
      <c r="O566" s="41"/>
      <c r="P566" s="41"/>
      <c r="Q566" s="41"/>
      <c r="R566" s="41"/>
      <c r="S566" s="41"/>
      <c r="T566" s="41"/>
      <c r="U566" s="41"/>
      <c r="V566" s="41"/>
      <c r="W566" s="41"/>
      <c r="X566" s="41"/>
      <c r="Y566" s="41"/>
      <c r="Z566" s="41"/>
    </row>
    <row r="567" customFormat="false" ht="14.25" hidden="false" customHeight="true" outlineLevel="0" collapsed="false">
      <c r="A567" s="38"/>
      <c r="B567" s="38"/>
      <c r="C567" s="39"/>
      <c r="D567" s="40"/>
      <c r="E567" s="40"/>
      <c r="F567" s="41"/>
      <c r="G567" s="41"/>
      <c r="H567" s="41"/>
      <c r="I567" s="41"/>
      <c r="J567" s="41"/>
      <c r="K567" s="41"/>
      <c r="L567" s="41"/>
      <c r="M567" s="41"/>
      <c r="N567" s="41"/>
      <c r="O567" s="41"/>
      <c r="P567" s="41"/>
      <c r="Q567" s="41"/>
      <c r="R567" s="41"/>
      <c r="S567" s="41"/>
      <c r="T567" s="41"/>
      <c r="U567" s="41"/>
      <c r="V567" s="41"/>
      <c r="W567" s="41"/>
      <c r="X567" s="41"/>
      <c r="Y567" s="41"/>
      <c r="Z567" s="41"/>
    </row>
    <row r="568" customFormat="false" ht="14.25" hidden="false" customHeight="true" outlineLevel="0" collapsed="false">
      <c r="A568" s="38"/>
      <c r="B568" s="38"/>
      <c r="C568" s="39"/>
      <c r="D568" s="40"/>
      <c r="E568" s="40"/>
      <c r="F568" s="41"/>
      <c r="G568" s="41"/>
      <c r="H568" s="41"/>
      <c r="I568" s="41"/>
      <c r="J568" s="41"/>
      <c r="K568" s="41"/>
      <c r="L568" s="41"/>
      <c r="M568" s="41"/>
      <c r="N568" s="41"/>
      <c r="O568" s="41"/>
      <c r="P568" s="41"/>
      <c r="Q568" s="41"/>
      <c r="R568" s="41"/>
      <c r="S568" s="41"/>
      <c r="T568" s="41"/>
      <c r="U568" s="41"/>
      <c r="V568" s="41"/>
      <c r="W568" s="41"/>
      <c r="X568" s="41"/>
      <c r="Y568" s="41"/>
      <c r="Z568" s="41"/>
    </row>
    <row r="569" customFormat="false" ht="14.25" hidden="false" customHeight="true" outlineLevel="0" collapsed="false">
      <c r="A569" s="38"/>
      <c r="B569" s="38"/>
      <c r="C569" s="39"/>
      <c r="D569" s="40"/>
      <c r="E569" s="40"/>
      <c r="F569" s="41"/>
      <c r="G569" s="41"/>
      <c r="H569" s="41"/>
      <c r="I569" s="41"/>
      <c r="J569" s="41"/>
      <c r="K569" s="41"/>
      <c r="L569" s="41"/>
      <c r="M569" s="41"/>
      <c r="N569" s="41"/>
      <c r="O569" s="41"/>
      <c r="P569" s="41"/>
      <c r="Q569" s="41"/>
      <c r="R569" s="41"/>
      <c r="S569" s="41"/>
      <c r="T569" s="41"/>
      <c r="U569" s="41"/>
      <c r="V569" s="41"/>
      <c r="W569" s="41"/>
      <c r="X569" s="41"/>
      <c r="Y569" s="41"/>
      <c r="Z569" s="41"/>
    </row>
    <row r="570" customFormat="false" ht="14.25" hidden="false" customHeight="true" outlineLevel="0" collapsed="false">
      <c r="A570" s="38"/>
      <c r="B570" s="38"/>
      <c r="C570" s="39"/>
      <c r="D570" s="40"/>
      <c r="E570" s="40"/>
      <c r="F570" s="41"/>
      <c r="G570" s="41"/>
      <c r="H570" s="41"/>
      <c r="I570" s="41"/>
      <c r="J570" s="41"/>
      <c r="K570" s="41"/>
      <c r="L570" s="41"/>
      <c r="M570" s="41"/>
      <c r="N570" s="41"/>
      <c r="O570" s="41"/>
      <c r="P570" s="41"/>
      <c r="Q570" s="41"/>
      <c r="R570" s="41"/>
      <c r="S570" s="41"/>
      <c r="T570" s="41"/>
      <c r="U570" s="41"/>
      <c r="V570" s="41"/>
      <c r="W570" s="41"/>
      <c r="X570" s="41"/>
      <c r="Y570" s="41"/>
      <c r="Z570" s="41"/>
    </row>
    <row r="571" customFormat="false" ht="14.25" hidden="false" customHeight="true" outlineLevel="0" collapsed="false">
      <c r="A571" s="38"/>
      <c r="B571" s="38"/>
      <c r="C571" s="39"/>
      <c r="D571" s="40"/>
      <c r="E571" s="40"/>
      <c r="F571" s="41"/>
      <c r="G571" s="41"/>
      <c r="H571" s="41"/>
      <c r="I571" s="41"/>
      <c r="J571" s="41"/>
      <c r="K571" s="41"/>
      <c r="L571" s="41"/>
      <c r="M571" s="41"/>
      <c r="N571" s="41"/>
      <c r="O571" s="41"/>
      <c r="P571" s="41"/>
      <c r="Q571" s="41"/>
      <c r="R571" s="41"/>
      <c r="S571" s="41"/>
      <c r="T571" s="41"/>
      <c r="U571" s="41"/>
      <c r="V571" s="41"/>
      <c r="W571" s="41"/>
      <c r="X571" s="41"/>
      <c r="Y571" s="41"/>
      <c r="Z571" s="41"/>
    </row>
    <row r="572" customFormat="false" ht="14.25" hidden="false" customHeight="true" outlineLevel="0" collapsed="false">
      <c r="A572" s="38"/>
      <c r="B572" s="38"/>
      <c r="C572" s="39"/>
      <c r="D572" s="40"/>
      <c r="E572" s="40"/>
      <c r="F572" s="41"/>
      <c r="G572" s="41"/>
      <c r="H572" s="41"/>
      <c r="I572" s="41"/>
      <c r="J572" s="41"/>
      <c r="K572" s="41"/>
      <c r="L572" s="41"/>
      <c r="M572" s="41"/>
      <c r="N572" s="41"/>
      <c r="O572" s="41"/>
      <c r="P572" s="41"/>
      <c r="Q572" s="41"/>
      <c r="R572" s="41"/>
      <c r="S572" s="41"/>
      <c r="T572" s="41"/>
      <c r="U572" s="41"/>
      <c r="V572" s="41"/>
      <c r="W572" s="41"/>
      <c r="X572" s="41"/>
      <c r="Y572" s="41"/>
      <c r="Z572" s="41"/>
    </row>
    <row r="573" customFormat="false" ht="14.25" hidden="false" customHeight="true" outlineLevel="0" collapsed="false">
      <c r="A573" s="38"/>
      <c r="B573" s="38"/>
      <c r="C573" s="39"/>
      <c r="D573" s="40"/>
      <c r="E573" s="40"/>
      <c r="F573" s="41"/>
      <c r="G573" s="41"/>
      <c r="H573" s="41"/>
      <c r="I573" s="41"/>
      <c r="J573" s="41"/>
      <c r="K573" s="41"/>
      <c r="L573" s="41"/>
      <c r="M573" s="41"/>
      <c r="N573" s="41"/>
      <c r="O573" s="41"/>
      <c r="P573" s="41"/>
      <c r="Q573" s="41"/>
      <c r="R573" s="41"/>
      <c r="S573" s="41"/>
      <c r="T573" s="41"/>
      <c r="U573" s="41"/>
      <c r="V573" s="41"/>
      <c r="W573" s="41"/>
      <c r="X573" s="41"/>
      <c r="Y573" s="41"/>
      <c r="Z573" s="41"/>
    </row>
    <row r="574" customFormat="false" ht="14.25" hidden="false" customHeight="true" outlineLevel="0" collapsed="false">
      <c r="A574" s="38"/>
      <c r="B574" s="38"/>
      <c r="C574" s="39"/>
      <c r="D574" s="40"/>
      <c r="E574" s="40"/>
      <c r="F574" s="41"/>
      <c r="G574" s="41"/>
      <c r="H574" s="41"/>
      <c r="I574" s="41"/>
      <c r="J574" s="41"/>
      <c r="K574" s="41"/>
      <c r="L574" s="41"/>
      <c r="M574" s="41"/>
      <c r="N574" s="41"/>
      <c r="O574" s="41"/>
      <c r="P574" s="41"/>
      <c r="Q574" s="41"/>
      <c r="R574" s="41"/>
      <c r="S574" s="41"/>
      <c r="T574" s="41"/>
      <c r="U574" s="41"/>
      <c r="V574" s="41"/>
      <c r="W574" s="41"/>
      <c r="X574" s="41"/>
      <c r="Y574" s="41"/>
      <c r="Z574" s="41"/>
    </row>
    <row r="575" customFormat="false" ht="14.25" hidden="false" customHeight="true" outlineLevel="0" collapsed="false">
      <c r="A575" s="38"/>
      <c r="B575" s="38"/>
      <c r="C575" s="39"/>
      <c r="D575" s="40"/>
      <c r="E575" s="40"/>
      <c r="F575" s="41"/>
      <c r="G575" s="41"/>
      <c r="H575" s="41"/>
      <c r="I575" s="41"/>
      <c r="J575" s="41"/>
      <c r="K575" s="41"/>
      <c r="L575" s="41"/>
      <c r="M575" s="41"/>
      <c r="N575" s="41"/>
      <c r="O575" s="41"/>
      <c r="P575" s="41"/>
      <c r="Q575" s="41"/>
      <c r="R575" s="41"/>
      <c r="S575" s="41"/>
      <c r="T575" s="41"/>
      <c r="U575" s="41"/>
      <c r="V575" s="41"/>
      <c r="W575" s="41"/>
      <c r="X575" s="41"/>
      <c r="Y575" s="41"/>
      <c r="Z575" s="41"/>
    </row>
    <row r="576" customFormat="false" ht="14.25" hidden="false" customHeight="true" outlineLevel="0" collapsed="false">
      <c r="A576" s="38"/>
      <c r="B576" s="38"/>
      <c r="C576" s="39"/>
      <c r="D576" s="40"/>
      <c r="E576" s="40"/>
      <c r="F576" s="41"/>
      <c r="G576" s="41"/>
      <c r="H576" s="41"/>
      <c r="I576" s="41"/>
      <c r="J576" s="41"/>
      <c r="K576" s="41"/>
      <c r="L576" s="41"/>
      <c r="M576" s="41"/>
      <c r="N576" s="41"/>
      <c r="O576" s="41"/>
      <c r="P576" s="41"/>
      <c r="Q576" s="41"/>
      <c r="R576" s="41"/>
      <c r="S576" s="41"/>
      <c r="T576" s="41"/>
      <c r="U576" s="41"/>
      <c r="V576" s="41"/>
      <c r="W576" s="41"/>
      <c r="X576" s="41"/>
      <c r="Y576" s="41"/>
      <c r="Z576" s="41"/>
    </row>
    <row r="577" customFormat="false" ht="14.25" hidden="false" customHeight="true" outlineLevel="0" collapsed="false">
      <c r="A577" s="38"/>
      <c r="B577" s="38"/>
      <c r="C577" s="39"/>
      <c r="D577" s="40"/>
      <c r="E577" s="40"/>
      <c r="F577" s="41"/>
      <c r="G577" s="41"/>
      <c r="H577" s="41"/>
      <c r="I577" s="41"/>
      <c r="J577" s="41"/>
      <c r="K577" s="41"/>
      <c r="L577" s="41"/>
      <c r="M577" s="41"/>
      <c r="N577" s="41"/>
      <c r="O577" s="41"/>
      <c r="P577" s="41"/>
      <c r="Q577" s="41"/>
      <c r="R577" s="41"/>
      <c r="S577" s="41"/>
      <c r="T577" s="41"/>
      <c r="U577" s="41"/>
      <c r="V577" s="41"/>
      <c r="W577" s="41"/>
      <c r="X577" s="41"/>
      <c r="Y577" s="41"/>
      <c r="Z577" s="41"/>
    </row>
    <row r="578" customFormat="false" ht="14.25" hidden="false" customHeight="true" outlineLevel="0" collapsed="false">
      <c r="A578" s="38"/>
      <c r="B578" s="38"/>
      <c r="C578" s="39"/>
      <c r="D578" s="40"/>
      <c r="E578" s="40"/>
      <c r="F578" s="41"/>
      <c r="G578" s="41"/>
      <c r="H578" s="41"/>
      <c r="I578" s="41"/>
      <c r="J578" s="41"/>
      <c r="K578" s="41"/>
      <c r="L578" s="41"/>
      <c r="M578" s="41"/>
      <c r="N578" s="41"/>
      <c r="O578" s="41"/>
      <c r="P578" s="41"/>
      <c r="Q578" s="41"/>
      <c r="R578" s="41"/>
      <c r="S578" s="41"/>
      <c r="T578" s="41"/>
      <c r="U578" s="41"/>
      <c r="V578" s="41"/>
      <c r="W578" s="41"/>
      <c r="X578" s="41"/>
      <c r="Y578" s="41"/>
      <c r="Z578" s="41"/>
    </row>
    <row r="579" customFormat="false" ht="14.25" hidden="false" customHeight="true" outlineLevel="0" collapsed="false">
      <c r="A579" s="38"/>
      <c r="B579" s="38"/>
      <c r="C579" s="39"/>
      <c r="D579" s="40"/>
      <c r="E579" s="40"/>
      <c r="F579" s="41"/>
      <c r="G579" s="41"/>
      <c r="H579" s="41"/>
      <c r="I579" s="41"/>
      <c r="J579" s="41"/>
      <c r="K579" s="41"/>
      <c r="L579" s="41"/>
      <c r="M579" s="41"/>
      <c r="N579" s="41"/>
      <c r="O579" s="41"/>
      <c r="P579" s="41"/>
      <c r="Q579" s="41"/>
      <c r="R579" s="41"/>
      <c r="S579" s="41"/>
      <c r="T579" s="41"/>
      <c r="U579" s="41"/>
      <c r="V579" s="41"/>
      <c r="W579" s="41"/>
      <c r="X579" s="41"/>
      <c r="Y579" s="41"/>
      <c r="Z579" s="41"/>
    </row>
    <row r="580" customFormat="false" ht="14.25" hidden="false" customHeight="true" outlineLevel="0" collapsed="false">
      <c r="A580" s="38"/>
      <c r="B580" s="38"/>
      <c r="C580" s="39"/>
      <c r="D580" s="40"/>
      <c r="E580" s="40"/>
      <c r="F580" s="41"/>
      <c r="G580" s="41"/>
      <c r="H580" s="41"/>
      <c r="I580" s="41"/>
      <c r="J580" s="41"/>
      <c r="K580" s="41"/>
      <c r="L580" s="41"/>
      <c r="M580" s="41"/>
      <c r="N580" s="41"/>
      <c r="O580" s="41"/>
      <c r="P580" s="41"/>
      <c r="Q580" s="41"/>
      <c r="R580" s="41"/>
      <c r="S580" s="41"/>
      <c r="T580" s="41"/>
      <c r="U580" s="41"/>
      <c r="V580" s="41"/>
      <c r="W580" s="41"/>
      <c r="X580" s="41"/>
      <c r="Y580" s="41"/>
      <c r="Z580" s="41"/>
    </row>
    <row r="581" customFormat="false" ht="14.25" hidden="false" customHeight="true" outlineLevel="0" collapsed="false">
      <c r="A581" s="38"/>
      <c r="B581" s="38"/>
      <c r="C581" s="39"/>
      <c r="D581" s="40"/>
      <c r="E581" s="40"/>
      <c r="F581" s="41"/>
      <c r="G581" s="41"/>
      <c r="H581" s="41"/>
      <c r="I581" s="41"/>
      <c r="J581" s="41"/>
      <c r="K581" s="41"/>
      <c r="L581" s="41"/>
      <c r="M581" s="41"/>
      <c r="N581" s="41"/>
      <c r="O581" s="41"/>
      <c r="P581" s="41"/>
      <c r="Q581" s="41"/>
      <c r="R581" s="41"/>
      <c r="S581" s="41"/>
      <c r="T581" s="41"/>
      <c r="U581" s="41"/>
      <c r="V581" s="41"/>
      <c r="W581" s="41"/>
      <c r="X581" s="41"/>
      <c r="Y581" s="41"/>
      <c r="Z581" s="41"/>
    </row>
    <row r="582" customFormat="false" ht="14.25" hidden="false" customHeight="true" outlineLevel="0" collapsed="false">
      <c r="A582" s="38"/>
      <c r="B582" s="38"/>
      <c r="C582" s="39"/>
      <c r="D582" s="40"/>
      <c r="E582" s="40"/>
      <c r="F582" s="41"/>
      <c r="G582" s="41"/>
      <c r="H582" s="41"/>
      <c r="I582" s="41"/>
      <c r="J582" s="41"/>
      <c r="K582" s="41"/>
      <c r="L582" s="41"/>
      <c r="M582" s="41"/>
      <c r="N582" s="41"/>
      <c r="O582" s="41"/>
      <c r="P582" s="41"/>
      <c r="Q582" s="41"/>
      <c r="R582" s="41"/>
      <c r="S582" s="41"/>
      <c r="T582" s="41"/>
      <c r="U582" s="41"/>
      <c r="V582" s="41"/>
      <c r="W582" s="41"/>
      <c r="X582" s="41"/>
      <c r="Y582" s="41"/>
      <c r="Z582" s="41"/>
    </row>
    <row r="583" customFormat="false" ht="14.25" hidden="false" customHeight="true" outlineLevel="0" collapsed="false">
      <c r="A583" s="38"/>
      <c r="B583" s="38"/>
      <c r="C583" s="39"/>
      <c r="D583" s="40"/>
      <c r="E583" s="40"/>
      <c r="F583" s="41"/>
      <c r="G583" s="41"/>
      <c r="H583" s="41"/>
      <c r="I583" s="41"/>
      <c r="J583" s="41"/>
      <c r="K583" s="41"/>
      <c r="L583" s="41"/>
      <c r="M583" s="41"/>
      <c r="N583" s="41"/>
      <c r="O583" s="41"/>
      <c r="P583" s="41"/>
      <c r="Q583" s="41"/>
      <c r="R583" s="41"/>
      <c r="S583" s="41"/>
      <c r="T583" s="41"/>
      <c r="U583" s="41"/>
      <c r="V583" s="41"/>
      <c r="W583" s="41"/>
      <c r="X583" s="41"/>
      <c r="Y583" s="41"/>
      <c r="Z583" s="41"/>
    </row>
    <row r="584" customFormat="false" ht="14.25" hidden="false" customHeight="true" outlineLevel="0" collapsed="false">
      <c r="A584" s="38"/>
      <c r="B584" s="38"/>
      <c r="C584" s="39"/>
      <c r="D584" s="40"/>
      <c r="E584" s="40"/>
      <c r="F584" s="41"/>
      <c r="G584" s="41"/>
      <c r="H584" s="41"/>
      <c r="I584" s="41"/>
      <c r="J584" s="41"/>
      <c r="K584" s="41"/>
      <c r="L584" s="41"/>
      <c r="M584" s="41"/>
      <c r="N584" s="41"/>
      <c r="O584" s="41"/>
      <c r="P584" s="41"/>
      <c r="Q584" s="41"/>
      <c r="R584" s="41"/>
      <c r="S584" s="41"/>
      <c r="T584" s="41"/>
      <c r="U584" s="41"/>
      <c r="V584" s="41"/>
      <c r="W584" s="41"/>
      <c r="X584" s="41"/>
      <c r="Y584" s="41"/>
      <c r="Z584" s="41"/>
    </row>
    <row r="585" customFormat="false" ht="14.25" hidden="false" customHeight="true" outlineLevel="0" collapsed="false">
      <c r="A585" s="38"/>
      <c r="B585" s="38"/>
      <c r="C585" s="39"/>
      <c r="D585" s="40"/>
      <c r="E585" s="40"/>
      <c r="F585" s="41"/>
      <c r="G585" s="41"/>
      <c r="H585" s="41"/>
      <c r="I585" s="41"/>
      <c r="J585" s="41"/>
      <c r="K585" s="41"/>
      <c r="L585" s="41"/>
      <c r="M585" s="41"/>
      <c r="N585" s="41"/>
      <c r="O585" s="41"/>
      <c r="P585" s="41"/>
      <c r="Q585" s="41"/>
      <c r="R585" s="41"/>
      <c r="S585" s="41"/>
      <c r="T585" s="41"/>
      <c r="U585" s="41"/>
      <c r="V585" s="41"/>
      <c r="W585" s="41"/>
      <c r="X585" s="41"/>
      <c r="Y585" s="41"/>
      <c r="Z585" s="41"/>
    </row>
    <row r="586" customFormat="false" ht="14.25" hidden="false" customHeight="true" outlineLevel="0" collapsed="false">
      <c r="A586" s="38"/>
      <c r="B586" s="38"/>
      <c r="C586" s="39"/>
      <c r="D586" s="40"/>
      <c r="E586" s="40"/>
      <c r="F586" s="41"/>
      <c r="G586" s="41"/>
      <c r="H586" s="41"/>
      <c r="I586" s="41"/>
      <c r="J586" s="41"/>
      <c r="K586" s="41"/>
      <c r="L586" s="41"/>
      <c r="M586" s="41"/>
      <c r="N586" s="41"/>
      <c r="O586" s="41"/>
      <c r="P586" s="41"/>
      <c r="Q586" s="41"/>
      <c r="R586" s="41"/>
      <c r="S586" s="41"/>
      <c r="T586" s="41"/>
      <c r="U586" s="41"/>
      <c r="V586" s="41"/>
      <c r="W586" s="41"/>
      <c r="X586" s="41"/>
      <c r="Y586" s="41"/>
      <c r="Z586" s="41"/>
    </row>
    <row r="587" customFormat="false" ht="14.25" hidden="false" customHeight="true" outlineLevel="0" collapsed="false">
      <c r="A587" s="38"/>
      <c r="B587" s="38"/>
      <c r="C587" s="39"/>
      <c r="D587" s="40"/>
      <c r="E587" s="40"/>
      <c r="F587" s="41"/>
      <c r="G587" s="41"/>
      <c r="H587" s="41"/>
      <c r="I587" s="41"/>
      <c r="J587" s="41"/>
      <c r="K587" s="41"/>
      <c r="L587" s="41"/>
      <c r="M587" s="41"/>
      <c r="N587" s="41"/>
      <c r="O587" s="41"/>
      <c r="P587" s="41"/>
      <c r="Q587" s="41"/>
      <c r="R587" s="41"/>
      <c r="S587" s="41"/>
      <c r="T587" s="41"/>
      <c r="U587" s="41"/>
      <c r="V587" s="41"/>
      <c r="W587" s="41"/>
      <c r="X587" s="41"/>
      <c r="Y587" s="41"/>
      <c r="Z587" s="41"/>
    </row>
    <row r="588" customFormat="false" ht="14.25" hidden="false" customHeight="true" outlineLevel="0" collapsed="false">
      <c r="A588" s="38"/>
      <c r="B588" s="38"/>
      <c r="C588" s="39"/>
      <c r="D588" s="40"/>
      <c r="E588" s="40"/>
      <c r="F588" s="41"/>
      <c r="G588" s="41"/>
      <c r="H588" s="41"/>
      <c r="I588" s="41"/>
      <c r="J588" s="41"/>
      <c r="K588" s="41"/>
      <c r="L588" s="41"/>
      <c r="M588" s="41"/>
      <c r="N588" s="41"/>
      <c r="O588" s="41"/>
      <c r="P588" s="41"/>
      <c r="Q588" s="41"/>
      <c r="R588" s="41"/>
      <c r="S588" s="41"/>
      <c r="T588" s="41"/>
      <c r="U588" s="41"/>
      <c r="V588" s="41"/>
      <c r="W588" s="41"/>
      <c r="X588" s="41"/>
      <c r="Y588" s="41"/>
      <c r="Z588" s="41"/>
    </row>
    <row r="589" customFormat="false" ht="14.25" hidden="false" customHeight="true" outlineLevel="0" collapsed="false">
      <c r="A589" s="38"/>
      <c r="B589" s="38"/>
      <c r="C589" s="39"/>
      <c r="D589" s="40"/>
      <c r="E589" s="40"/>
      <c r="F589" s="41"/>
      <c r="G589" s="41"/>
      <c r="H589" s="41"/>
      <c r="I589" s="41"/>
      <c r="J589" s="41"/>
      <c r="K589" s="41"/>
      <c r="L589" s="41"/>
      <c r="M589" s="41"/>
      <c r="N589" s="41"/>
      <c r="O589" s="41"/>
      <c r="P589" s="41"/>
      <c r="Q589" s="41"/>
      <c r="R589" s="41"/>
      <c r="S589" s="41"/>
      <c r="T589" s="41"/>
      <c r="U589" s="41"/>
      <c r="V589" s="41"/>
      <c r="W589" s="41"/>
      <c r="X589" s="41"/>
      <c r="Y589" s="41"/>
      <c r="Z589" s="41"/>
    </row>
    <row r="590" customFormat="false" ht="14.25" hidden="false" customHeight="true" outlineLevel="0" collapsed="false">
      <c r="A590" s="38"/>
      <c r="B590" s="38"/>
      <c r="C590" s="39"/>
      <c r="D590" s="40"/>
      <c r="E590" s="40"/>
      <c r="F590" s="41"/>
      <c r="G590" s="41"/>
      <c r="H590" s="41"/>
      <c r="I590" s="41"/>
      <c r="J590" s="41"/>
      <c r="K590" s="41"/>
      <c r="L590" s="41"/>
      <c r="M590" s="41"/>
      <c r="N590" s="41"/>
      <c r="O590" s="41"/>
      <c r="P590" s="41"/>
      <c r="Q590" s="41"/>
      <c r="R590" s="41"/>
      <c r="S590" s="41"/>
      <c r="T590" s="41"/>
      <c r="U590" s="41"/>
      <c r="V590" s="41"/>
      <c r="W590" s="41"/>
      <c r="X590" s="41"/>
      <c r="Y590" s="41"/>
      <c r="Z590" s="41"/>
    </row>
    <row r="591" customFormat="false" ht="14.25" hidden="false" customHeight="true" outlineLevel="0" collapsed="false">
      <c r="A591" s="38"/>
      <c r="B591" s="38"/>
      <c r="C591" s="39"/>
      <c r="D591" s="40"/>
      <c r="E591" s="40"/>
      <c r="F591" s="41"/>
      <c r="G591" s="41"/>
      <c r="H591" s="41"/>
      <c r="I591" s="41"/>
      <c r="J591" s="41"/>
      <c r="K591" s="41"/>
      <c r="L591" s="41"/>
      <c r="M591" s="41"/>
      <c r="N591" s="41"/>
      <c r="O591" s="41"/>
      <c r="P591" s="41"/>
      <c r="Q591" s="41"/>
      <c r="R591" s="41"/>
      <c r="S591" s="41"/>
      <c r="T591" s="41"/>
      <c r="U591" s="41"/>
      <c r="V591" s="41"/>
      <c r="W591" s="41"/>
      <c r="X591" s="41"/>
      <c r="Y591" s="41"/>
      <c r="Z591" s="41"/>
    </row>
    <row r="592" customFormat="false" ht="14.25" hidden="false" customHeight="true" outlineLevel="0" collapsed="false">
      <c r="A592" s="38"/>
      <c r="B592" s="38"/>
      <c r="C592" s="39"/>
      <c r="D592" s="40"/>
      <c r="E592" s="40"/>
      <c r="F592" s="41"/>
      <c r="G592" s="41"/>
      <c r="H592" s="41"/>
      <c r="I592" s="41"/>
      <c r="J592" s="41"/>
      <c r="K592" s="41"/>
      <c r="L592" s="41"/>
      <c r="M592" s="41"/>
      <c r="N592" s="41"/>
      <c r="O592" s="41"/>
      <c r="P592" s="41"/>
      <c r="Q592" s="41"/>
      <c r="R592" s="41"/>
      <c r="S592" s="41"/>
      <c r="T592" s="41"/>
      <c r="U592" s="41"/>
      <c r="V592" s="41"/>
      <c r="W592" s="41"/>
      <c r="X592" s="41"/>
      <c r="Y592" s="41"/>
      <c r="Z592" s="41"/>
    </row>
    <row r="593" customFormat="false" ht="14.25" hidden="false" customHeight="true" outlineLevel="0" collapsed="false">
      <c r="A593" s="38"/>
      <c r="B593" s="38"/>
      <c r="C593" s="39"/>
      <c r="D593" s="40"/>
      <c r="E593" s="40"/>
      <c r="F593" s="41"/>
      <c r="G593" s="41"/>
      <c r="H593" s="41"/>
      <c r="I593" s="41"/>
      <c r="J593" s="41"/>
      <c r="K593" s="41"/>
      <c r="L593" s="41"/>
      <c r="M593" s="41"/>
      <c r="N593" s="41"/>
      <c r="O593" s="41"/>
      <c r="P593" s="41"/>
      <c r="Q593" s="41"/>
      <c r="R593" s="41"/>
      <c r="S593" s="41"/>
      <c r="T593" s="41"/>
      <c r="U593" s="41"/>
      <c r="V593" s="41"/>
      <c r="W593" s="41"/>
      <c r="X593" s="41"/>
      <c r="Y593" s="41"/>
      <c r="Z593" s="41"/>
    </row>
    <row r="594" customFormat="false" ht="14.25" hidden="false" customHeight="true" outlineLevel="0" collapsed="false">
      <c r="A594" s="38"/>
      <c r="B594" s="38"/>
      <c r="C594" s="39"/>
      <c r="D594" s="40"/>
      <c r="E594" s="40"/>
      <c r="F594" s="41"/>
      <c r="G594" s="41"/>
      <c r="H594" s="41"/>
      <c r="I594" s="41"/>
      <c r="J594" s="41"/>
      <c r="K594" s="41"/>
      <c r="L594" s="41"/>
      <c r="M594" s="41"/>
      <c r="N594" s="41"/>
      <c r="O594" s="41"/>
      <c r="P594" s="41"/>
      <c r="Q594" s="41"/>
      <c r="R594" s="41"/>
      <c r="S594" s="41"/>
      <c r="T594" s="41"/>
      <c r="U594" s="41"/>
      <c r="V594" s="41"/>
      <c r="W594" s="41"/>
      <c r="X594" s="41"/>
      <c r="Y594" s="41"/>
      <c r="Z594" s="41"/>
    </row>
    <row r="595" customFormat="false" ht="14.25" hidden="false" customHeight="true" outlineLevel="0" collapsed="false">
      <c r="A595" s="38"/>
      <c r="B595" s="38"/>
      <c r="C595" s="39"/>
      <c r="D595" s="40"/>
      <c r="E595" s="40"/>
      <c r="F595" s="41"/>
      <c r="G595" s="41"/>
      <c r="H595" s="41"/>
      <c r="I595" s="41"/>
      <c r="J595" s="41"/>
      <c r="K595" s="41"/>
      <c r="L595" s="41"/>
      <c r="M595" s="41"/>
      <c r="N595" s="41"/>
      <c r="O595" s="41"/>
      <c r="P595" s="41"/>
      <c r="Q595" s="41"/>
      <c r="R595" s="41"/>
      <c r="S595" s="41"/>
      <c r="T595" s="41"/>
      <c r="U595" s="41"/>
      <c r="V595" s="41"/>
      <c r="W595" s="41"/>
      <c r="X595" s="41"/>
      <c r="Y595" s="41"/>
      <c r="Z595" s="41"/>
    </row>
    <row r="596" customFormat="false" ht="14.25" hidden="false" customHeight="true" outlineLevel="0" collapsed="false">
      <c r="A596" s="38"/>
      <c r="B596" s="38"/>
      <c r="C596" s="39"/>
      <c r="D596" s="40"/>
      <c r="E596" s="40"/>
      <c r="F596" s="41"/>
      <c r="G596" s="41"/>
      <c r="H596" s="41"/>
      <c r="I596" s="41"/>
      <c r="J596" s="41"/>
      <c r="K596" s="41"/>
      <c r="L596" s="41"/>
      <c r="M596" s="41"/>
      <c r="N596" s="41"/>
      <c r="O596" s="41"/>
      <c r="P596" s="41"/>
      <c r="Q596" s="41"/>
      <c r="R596" s="41"/>
      <c r="S596" s="41"/>
      <c r="T596" s="41"/>
      <c r="U596" s="41"/>
      <c r="V596" s="41"/>
      <c r="W596" s="41"/>
      <c r="X596" s="41"/>
      <c r="Y596" s="41"/>
      <c r="Z596" s="41"/>
    </row>
    <row r="597" customFormat="false" ht="14.25" hidden="false" customHeight="true" outlineLevel="0" collapsed="false">
      <c r="A597" s="38"/>
      <c r="B597" s="38"/>
      <c r="C597" s="39"/>
      <c r="D597" s="40"/>
      <c r="E597" s="40"/>
      <c r="F597" s="41"/>
      <c r="G597" s="41"/>
      <c r="H597" s="41"/>
      <c r="I597" s="41"/>
      <c r="J597" s="41"/>
      <c r="K597" s="41"/>
      <c r="L597" s="41"/>
      <c r="M597" s="41"/>
      <c r="N597" s="41"/>
      <c r="O597" s="41"/>
      <c r="P597" s="41"/>
      <c r="Q597" s="41"/>
      <c r="R597" s="41"/>
      <c r="S597" s="41"/>
      <c r="T597" s="41"/>
      <c r="U597" s="41"/>
      <c r="V597" s="41"/>
      <c r="W597" s="41"/>
      <c r="X597" s="41"/>
      <c r="Y597" s="41"/>
      <c r="Z597" s="41"/>
    </row>
    <row r="598" customFormat="false" ht="14.25" hidden="false" customHeight="true" outlineLevel="0" collapsed="false">
      <c r="A598" s="38"/>
      <c r="B598" s="38"/>
      <c r="C598" s="39"/>
      <c r="D598" s="40"/>
      <c r="E598" s="40"/>
      <c r="F598" s="41"/>
      <c r="G598" s="41"/>
      <c r="H598" s="41"/>
      <c r="I598" s="41"/>
      <c r="J598" s="41"/>
      <c r="K598" s="41"/>
      <c r="L598" s="41"/>
      <c r="M598" s="41"/>
      <c r="N598" s="41"/>
      <c r="O598" s="41"/>
      <c r="P598" s="41"/>
      <c r="Q598" s="41"/>
      <c r="R598" s="41"/>
      <c r="S598" s="41"/>
      <c r="T598" s="41"/>
      <c r="U598" s="41"/>
      <c r="V598" s="41"/>
      <c r="W598" s="41"/>
      <c r="X598" s="41"/>
      <c r="Y598" s="41"/>
      <c r="Z598" s="41"/>
    </row>
    <row r="599" customFormat="false" ht="14.25" hidden="false" customHeight="true" outlineLevel="0" collapsed="false">
      <c r="A599" s="38"/>
      <c r="B599" s="38"/>
      <c r="C599" s="39"/>
      <c r="D599" s="40"/>
      <c r="E599" s="40"/>
      <c r="F599" s="41"/>
      <c r="G599" s="41"/>
      <c r="H599" s="41"/>
      <c r="I599" s="41"/>
      <c r="J599" s="41"/>
      <c r="K599" s="41"/>
      <c r="L599" s="41"/>
      <c r="M599" s="41"/>
      <c r="N599" s="41"/>
      <c r="O599" s="41"/>
      <c r="P599" s="41"/>
      <c r="Q599" s="41"/>
      <c r="R599" s="41"/>
      <c r="S599" s="41"/>
      <c r="T599" s="41"/>
      <c r="U599" s="41"/>
      <c r="V599" s="41"/>
      <c r="W599" s="41"/>
      <c r="X599" s="41"/>
      <c r="Y599" s="41"/>
      <c r="Z599" s="41"/>
    </row>
    <row r="600" customFormat="false" ht="14.25" hidden="false" customHeight="true" outlineLevel="0" collapsed="false">
      <c r="A600" s="38"/>
      <c r="B600" s="38"/>
      <c r="C600" s="39"/>
      <c r="D600" s="40"/>
      <c r="E600" s="40"/>
      <c r="F600" s="41"/>
      <c r="G600" s="41"/>
      <c r="H600" s="41"/>
      <c r="I600" s="41"/>
      <c r="J600" s="41"/>
      <c r="K600" s="41"/>
      <c r="L600" s="41"/>
      <c r="M600" s="41"/>
      <c r="N600" s="41"/>
      <c r="O600" s="41"/>
      <c r="P600" s="41"/>
      <c r="Q600" s="41"/>
      <c r="R600" s="41"/>
      <c r="S600" s="41"/>
      <c r="T600" s="41"/>
      <c r="U600" s="41"/>
      <c r="V600" s="41"/>
      <c r="W600" s="41"/>
      <c r="X600" s="41"/>
      <c r="Y600" s="41"/>
      <c r="Z600" s="41"/>
    </row>
    <row r="601" customFormat="false" ht="14.25" hidden="false" customHeight="true" outlineLevel="0" collapsed="false">
      <c r="A601" s="38"/>
      <c r="B601" s="38"/>
      <c r="C601" s="39"/>
      <c r="D601" s="40"/>
      <c r="E601" s="40"/>
      <c r="F601" s="41"/>
      <c r="G601" s="41"/>
      <c r="H601" s="41"/>
      <c r="I601" s="41"/>
      <c r="J601" s="41"/>
      <c r="K601" s="41"/>
      <c r="L601" s="41"/>
      <c r="M601" s="41"/>
      <c r="N601" s="41"/>
      <c r="O601" s="41"/>
      <c r="P601" s="41"/>
      <c r="Q601" s="41"/>
      <c r="R601" s="41"/>
      <c r="S601" s="41"/>
      <c r="T601" s="41"/>
      <c r="U601" s="41"/>
      <c r="V601" s="41"/>
      <c r="W601" s="41"/>
      <c r="X601" s="41"/>
      <c r="Y601" s="41"/>
      <c r="Z601" s="41"/>
    </row>
    <row r="602" customFormat="false" ht="14.25" hidden="false" customHeight="true" outlineLevel="0" collapsed="false">
      <c r="A602" s="38"/>
      <c r="B602" s="38"/>
      <c r="C602" s="39"/>
      <c r="D602" s="40"/>
      <c r="E602" s="40"/>
      <c r="F602" s="41"/>
      <c r="G602" s="41"/>
      <c r="H602" s="41"/>
      <c r="I602" s="41"/>
      <c r="J602" s="41"/>
      <c r="K602" s="41"/>
      <c r="L602" s="41"/>
      <c r="M602" s="41"/>
      <c r="N602" s="41"/>
      <c r="O602" s="41"/>
      <c r="P602" s="41"/>
      <c r="Q602" s="41"/>
      <c r="R602" s="41"/>
      <c r="S602" s="41"/>
      <c r="T602" s="41"/>
      <c r="U602" s="41"/>
      <c r="V602" s="41"/>
      <c r="W602" s="41"/>
      <c r="X602" s="41"/>
      <c r="Y602" s="41"/>
      <c r="Z602" s="41"/>
    </row>
    <row r="603" customFormat="false" ht="14.25" hidden="false" customHeight="true" outlineLevel="0" collapsed="false">
      <c r="A603" s="38"/>
      <c r="B603" s="38"/>
      <c r="C603" s="39"/>
      <c r="D603" s="40"/>
      <c r="E603" s="40"/>
      <c r="F603" s="41"/>
      <c r="G603" s="41"/>
      <c r="H603" s="41"/>
      <c r="I603" s="41"/>
      <c r="J603" s="41"/>
      <c r="K603" s="41"/>
      <c r="L603" s="41"/>
      <c r="M603" s="41"/>
      <c r="N603" s="41"/>
      <c r="O603" s="41"/>
      <c r="P603" s="41"/>
      <c r="Q603" s="41"/>
      <c r="R603" s="41"/>
      <c r="S603" s="41"/>
      <c r="T603" s="41"/>
      <c r="U603" s="41"/>
      <c r="V603" s="41"/>
      <c r="W603" s="41"/>
      <c r="X603" s="41"/>
      <c r="Y603" s="41"/>
      <c r="Z603" s="41"/>
    </row>
    <row r="604" customFormat="false" ht="14.25" hidden="false" customHeight="true" outlineLevel="0" collapsed="false">
      <c r="A604" s="38"/>
      <c r="B604" s="38"/>
      <c r="C604" s="39"/>
      <c r="D604" s="40"/>
      <c r="E604" s="40"/>
      <c r="F604" s="41"/>
      <c r="G604" s="41"/>
      <c r="H604" s="41"/>
      <c r="I604" s="41"/>
      <c r="J604" s="41"/>
      <c r="K604" s="41"/>
      <c r="L604" s="41"/>
      <c r="M604" s="41"/>
      <c r="N604" s="41"/>
      <c r="O604" s="41"/>
      <c r="P604" s="41"/>
      <c r="Q604" s="41"/>
      <c r="R604" s="41"/>
      <c r="S604" s="41"/>
      <c r="T604" s="41"/>
      <c r="U604" s="41"/>
      <c r="V604" s="41"/>
      <c r="W604" s="41"/>
      <c r="X604" s="41"/>
      <c r="Y604" s="41"/>
      <c r="Z604" s="41"/>
    </row>
    <row r="605" customFormat="false" ht="14.25" hidden="false" customHeight="true" outlineLevel="0" collapsed="false">
      <c r="A605" s="38"/>
      <c r="B605" s="38"/>
      <c r="C605" s="39"/>
      <c r="D605" s="40"/>
      <c r="E605" s="40"/>
      <c r="F605" s="41"/>
      <c r="G605" s="41"/>
      <c r="H605" s="41"/>
      <c r="I605" s="41"/>
      <c r="J605" s="41"/>
      <c r="K605" s="41"/>
      <c r="L605" s="41"/>
      <c r="M605" s="41"/>
      <c r="N605" s="41"/>
      <c r="O605" s="41"/>
      <c r="P605" s="41"/>
      <c r="Q605" s="41"/>
      <c r="R605" s="41"/>
      <c r="S605" s="41"/>
      <c r="T605" s="41"/>
      <c r="U605" s="41"/>
      <c r="V605" s="41"/>
      <c r="W605" s="41"/>
      <c r="X605" s="41"/>
      <c r="Y605" s="41"/>
      <c r="Z605" s="41"/>
    </row>
    <row r="606" customFormat="false" ht="14.25" hidden="false" customHeight="true" outlineLevel="0" collapsed="false">
      <c r="A606" s="38"/>
      <c r="B606" s="38"/>
      <c r="C606" s="39"/>
      <c r="D606" s="40"/>
      <c r="E606" s="40"/>
      <c r="F606" s="41"/>
      <c r="G606" s="41"/>
      <c r="H606" s="41"/>
      <c r="I606" s="41"/>
      <c r="J606" s="41"/>
      <c r="K606" s="41"/>
      <c r="L606" s="41"/>
      <c r="M606" s="41"/>
      <c r="N606" s="41"/>
      <c r="O606" s="41"/>
      <c r="P606" s="41"/>
      <c r="Q606" s="41"/>
      <c r="R606" s="41"/>
      <c r="S606" s="41"/>
      <c r="T606" s="41"/>
      <c r="U606" s="41"/>
      <c r="V606" s="41"/>
      <c r="W606" s="41"/>
      <c r="X606" s="41"/>
      <c r="Y606" s="41"/>
      <c r="Z606" s="41"/>
    </row>
    <row r="607" customFormat="false" ht="14.25" hidden="false" customHeight="true" outlineLevel="0" collapsed="false">
      <c r="A607" s="38"/>
      <c r="B607" s="38"/>
      <c r="C607" s="39"/>
      <c r="D607" s="40"/>
      <c r="E607" s="40"/>
      <c r="F607" s="41"/>
      <c r="G607" s="41"/>
      <c r="H607" s="41"/>
      <c r="I607" s="41"/>
      <c r="J607" s="41"/>
      <c r="K607" s="41"/>
      <c r="L607" s="41"/>
      <c r="M607" s="41"/>
      <c r="N607" s="41"/>
      <c r="O607" s="41"/>
      <c r="P607" s="41"/>
      <c r="Q607" s="41"/>
      <c r="R607" s="41"/>
      <c r="S607" s="41"/>
      <c r="T607" s="41"/>
      <c r="U607" s="41"/>
      <c r="V607" s="41"/>
      <c r="W607" s="41"/>
      <c r="X607" s="41"/>
      <c r="Y607" s="41"/>
      <c r="Z607" s="41"/>
    </row>
    <row r="608" customFormat="false" ht="14.25" hidden="false" customHeight="true" outlineLevel="0" collapsed="false">
      <c r="A608" s="38"/>
      <c r="B608" s="38"/>
      <c r="C608" s="39"/>
      <c r="D608" s="40"/>
      <c r="E608" s="40"/>
      <c r="F608" s="41"/>
      <c r="G608" s="41"/>
      <c r="H608" s="41"/>
      <c r="I608" s="41"/>
      <c r="J608" s="41"/>
      <c r="K608" s="41"/>
      <c r="L608" s="41"/>
      <c r="M608" s="41"/>
      <c r="N608" s="41"/>
      <c r="O608" s="41"/>
      <c r="P608" s="41"/>
      <c r="Q608" s="41"/>
      <c r="R608" s="41"/>
      <c r="S608" s="41"/>
      <c r="T608" s="41"/>
      <c r="U608" s="41"/>
      <c r="V608" s="41"/>
      <c r="W608" s="41"/>
      <c r="X608" s="41"/>
      <c r="Y608" s="41"/>
      <c r="Z608" s="41"/>
    </row>
    <row r="609" customFormat="false" ht="14.25" hidden="false" customHeight="true" outlineLevel="0" collapsed="false">
      <c r="A609" s="38"/>
      <c r="B609" s="38"/>
      <c r="C609" s="39"/>
      <c r="D609" s="40"/>
      <c r="E609" s="40"/>
      <c r="F609" s="41"/>
      <c r="G609" s="41"/>
      <c r="H609" s="41"/>
      <c r="I609" s="41"/>
      <c r="J609" s="41"/>
      <c r="K609" s="41"/>
      <c r="L609" s="41"/>
      <c r="M609" s="41"/>
      <c r="N609" s="41"/>
      <c r="O609" s="41"/>
      <c r="P609" s="41"/>
      <c r="Q609" s="41"/>
      <c r="R609" s="41"/>
      <c r="S609" s="41"/>
      <c r="T609" s="41"/>
      <c r="U609" s="41"/>
      <c r="V609" s="41"/>
      <c r="W609" s="41"/>
      <c r="X609" s="41"/>
      <c r="Y609" s="41"/>
      <c r="Z609" s="41"/>
    </row>
    <row r="610" customFormat="false" ht="14.25" hidden="false" customHeight="true" outlineLevel="0" collapsed="false">
      <c r="A610" s="38"/>
      <c r="B610" s="38"/>
      <c r="C610" s="39"/>
      <c r="D610" s="40"/>
      <c r="E610" s="40"/>
      <c r="F610" s="41"/>
      <c r="G610" s="41"/>
      <c r="H610" s="41"/>
      <c r="I610" s="41"/>
      <c r="J610" s="41"/>
      <c r="K610" s="41"/>
      <c r="L610" s="41"/>
      <c r="M610" s="41"/>
      <c r="N610" s="41"/>
      <c r="O610" s="41"/>
      <c r="P610" s="41"/>
      <c r="Q610" s="41"/>
      <c r="R610" s="41"/>
      <c r="S610" s="41"/>
      <c r="T610" s="41"/>
      <c r="U610" s="41"/>
      <c r="V610" s="41"/>
      <c r="W610" s="41"/>
      <c r="X610" s="41"/>
      <c r="Y610" s="41"/>
      <c r="Z610" s="41"/>
    </row>
    <row r="611" customFormat="false" ht="14.25" hidden="false" customHeight="true" outlineLevel="0" collapsed="false">
      <c r="A611" s="38"/>
      <c r="B611" s="38"/>
      <c r="C611" s="39"/>
      <c r="D611" s="40"/>
      <c r="E611" s="40"/>
      <c r="F611" s="41"/>
      <c r="G611" s="41"/>
      <c r="H611" s="41"/>
      <c r="I611" s="41"/>
      <c r="J611" s="41"/>
      <c r="K611" s="41"/>
      <c r="L611" s="41"/>
      <c r="M611" s="41"/>
      <c r="N611" s="41"/>
      <c r="O611" s="41"/>
      <c r="P611" s="41"/>
      <c r="Q611" s="41"/>
      <c r="R611" s="41"/>
      <c r="S611" s="41"/>
      <c r="T611" s="41"/>
      <c r="U611" s="41"/>
      <c r="V611" s="41"/>
      <c r="W611" s="41"/>
      <c r="X611" s="41"/>
      <c r="Y611" s="41"/>
      <c r="Z611" s="41"/>
    </row>
    <row r="612" customFormat="false" ht="14.25" hidden="false" customHeight="true" outlineLevel="0" collapsed="false">
      <c r="A612" s="38"/>
      <c r="B612" s="38"/>
      <c r="C612" s="39"/>
      <c r="D612" s="40"/>
      <c r="E612" s="40"/>
      <c r="F612" s="41"/>
      <c r="G612" s="41"/>
      <c r="H612" s="41"/>
      <c r="I612" s="41"/>
      <c r="J612" s="41"/>
      <c r="K612" s="41"/>
      <c r="L612" s="41"/>
      <c r="M612" s="41"/>
      <c r="N612" s="41"/>
      <c r="O612" s="41"/>
      <c r="P612" s="41"/>
      <c r="Q612" s="41"/>
      <c r="R612" s="41"/>
      <c r="S612" s="41"/>
      <c r="T612" s="41"/>
      <c r="U612" s="41"/>
      <c r="V612" s="41"/>
      <c r="W612" s="41"/>
      <c r="X612" s="41"/>
      <c r="Y612" s="41"/>
      <c r="Z612" s="41"/>
    </row>
    <row r="613" customFormat="false" ht="14.25" hidden="false" customHeight="true" outlineLevel="0" collapsed="false">
      <c r="A613" s="38"/>
      <c r="B613" s="38"/>
      <c r="C613" s="39"/>
      <c r="D613" s="40"/>
      <c r="E613" s="40"/>
      <c r="F613" s="41"/>
      <c r="G613" s="41"/>
      <c r="H613" s="41"/>
      <c r="I613" s="41"/>
      <c r="J613" s="41"/>
      <c r="K613" s="41"/>
      <c r="L613" s="41"/>
      <c r="M613" s="41"/>
      <c r="N613" s="41"/>
      <c r="O613" s="41"/>
      <c r="P613" s="41"/>
      <c r="Q613" s="41"/>
      <c r="R613" s="41"/>
      <c r="S613" s="41"/>
      <c r="T613" s="41"/>
      <c r="U613" s="41"/>
      <c r="V613" s="41"/>
      <c r="W613" s="41"/>
      <c r="X613" s="41"/>
      <c r="Y613" s="41"/>
      <c r="Z613" s="41"/>
    </row>
    <row r="614" customFormat="false" ht="14.25" hidden="false" customHeight="true" outlineLevel="0" collapsed="false">
      <c r="A614" s="38"/>
      <c r="B614" s="38"/>
      <c r="C614" s="39"/>
      <c r="D614" s="40"/>
      <c r="E614" s="40"/>
      <c r="F614" s="41"/>
      <c r="G614" s="41"/>
      <c r="H614" s="41"/>
      <c r="I614" s="41"/>
      <c r="J614" s="41"/>
      <c r="K614" s="41"/>
      <c r="L614" s="41"/>
      <c r="M614" s="41"/>
      <c r="N614" s="41"/>
      <c r="O614" s="41"/>
      <c r="P614" s="41"/>
      <c r="Q614" s="41"/>
      <c r="R614" s="41"/>
      <c r="S614" s="41"/>
      <c r="T614" s="41"/>
      <c r="U614" s="41"/>
      <c r="V614" s="41"/>
      <c r="W614" s="41"/>
      <c r="X614" s="41"/>
      <c r="Y614" s="41"/>
      <c r="Z614" s="41"/>
    </row>
    <row r="615" customFormat="false" ht="14.25" hidden="false" customHeight="true" outlineLevel="0" collapsed="false">
      <c r="A615" s="38"/>
      <c r="B615" s="38"/>
      <c r="C615" s="39"/>
      <c r="D615" s="40"/>
      <c r="E615" s="40"/>
      <c r="F615" s="41"/>
      <c r="G615" s="41"/>
      <c r="H615" s="41"/>
      <c r="I615" s="41"/>
      <c r="J615" s="41"/>
      <c r="K615" s="41"/>
      <c r="L615" s="41"/>
      <c r="M615" s="41"/>
      <c r="N615" s="41"/>
      <c r="O615" s="41"/>
      <c r="P615" s="41"/>
      <c r="Q615" s="41"/>
      <c r="R615" s="41"/>
      <c r="S615" s="41"/>
      <c r="T615" s="41"/>
      <c r="U615" s="41"/>
      <c r="V615" s="41"/>
      <c r="W615" s="41"/>
      <c r="X615" s="41"/>
      <c r="Y615" s="41"/>
      <c r="Z615" s="41"/>
    </row>
    <row r="616" customFormat="false" ht="14.25" hidden="false" customHeight="true" outlineLevel="0" collapsed="false">
      <c r="A616" s="38"/>
      <c r="B616" s="38"/>
      <c r="C616" s="39"/>
      <c r="D616" s="40"/>
      <c r="E616" s="40"/>
      <c r="F616" s="41"/>
      <c r="G616" s="41"/>
      <c r="H616" s="41"/>
      <c r="I616" s="41"/>
      <c r="J616" s="41"/>
      <c r="K616" s="41"/>
      <c r="L616" s="41"/>
      <c r="M616" s="41"/>
      <c r="N616" s="41"/>
      <c r="O616" s="41"/>
      <c r="P616" s="41"/>
      <c r="Q616" s="41"/>
      <c r="R616" s="41"/>
      <c r="S616" s="41"/>
      <c r="T616" s="41"/>
      <c r="U616" s="41"/>
      <c r="V616" s="41"/>
      <c r="W616" s="41"/>
      <c r="X616" s="41"/>
      <c r="Y616" s="41"/>
      <c r="Z616" s="41"/>
    </row>
    <row r="617" customFormat="false" ht="14.25" hidden="false" customHeight="true" outlineLevel="0" collapsed="false">
      <c r="A617" s="38"/>
      <c r="B617" s="38"/>
      <c r="C617" s="39"/>
      <c r="D617" s="40"/>
      <c r="E617" s="40"/>
      <c r="F617" s="41"/>
      <c r="G617" s="41"/>
      <c r="H617" s="41"/>
      <c r="I617" s="41"/>
      <c r="J617" s="41"/>
      <c r="K617" s="41"/>
      <c r="L617" s="41"/>
      <c r="M617" s="41"/>
      <c r="N617" s="41"/>
      <c r="O617" s="41"/>
      <c r="P617" s="41"/>
      <c r="Q617" s="41"/>
      <c r="R617" s="41"/>
      <c r="S617" s="41"/>
      <c r="T617" s="41"/>
      <c r="U617" s="41"/>
      <c r="V617" s="41"/>
      <c r="W617" s="41"/>
      <c r="X617" s="41"/>
      <c r="Y617" s="41"/>
      <c r="Z617" s="41"/>
    </row>
    <row r="618" customFormat="false" ht="14.25" hidden="false" customHeight="true" outlineLevel="0" collapsed="false">
      <c r="A618" s="38"/>
      <c r="B618" s="38"/>
      <c r="C618" s="39"/>
      <c r="D618" s="40"/>
      <c r="E618" s="40"/>
      <c r="F618" s="41"/>
      <c r="G618" s="41"/>
      <c r="H618" s="41"/>
      <c r="I618" s="41"/>
      <c r="J618" s="41"/>
      <c r="K618" s="41"/>
      <c r="L618" s="41"/>
      <c r="M618" s="41"/>
      <c r="N618" s="41"/>
      <c r="O618" s="41"/>
      <c r="P618" s="41"/>
      <c r="Q618" s="41"/>
      <c r="R618" s="41"/>
      <c r="S618" s="41"/>
      <c r="T618" s="41"/>
      <c r="U618" s="41"/>
      <c r="V618" s="41"/>
      <c r="W618" s="41"/>
      <c r="X618" s="41"/>
      <c r="Y618" s="41"/>
      <c r="Z618" s="41"/>
    </row>
    <row r="619" customFormat="false" ht="14.25" hidden="false" customHeight="true" outlineLevel="0" collapsed="false">
      <c r="A619" s="38"/>
      <c r="B619" s="38"/>
      <c r="C619" s="39"/>
      <c r="D619" s="40"/>
      <c r="E619" s="40"/>
      <c r="F619" s="41"/>
      <c r="G619" s="41"/>
      <c r="H619" s="41"/>
      <c r="I619" s="41"/>
      <c r="J619" s="41"/>
      <c r="K619" s="41"/>
      <c r="L619" s="41"/>
      <c r="M619" s="41"/>
      <c r="N619" s="41"/>
      <c r="O619" s="41"/>
      <c r="P619" s="41"/>
      <c r="Q619" s="41"/>
      <c r="R619" s="41"/>
      <c r="S619" s="41"/>
      <c r="T619" s="41"/>
      <c r="U619" s="41"/>
      <c r="V619" s="41"/>
      <c r="W619" s="41"/>
      <c r="X619" s="41"/>
      <c r="Y619" s="41"/>
      <c r="Z619" s="41"/>
    </row>
    <row r="620" customFormat="false" ht="14.25" hidden="false" customHeight="true" outlineLevel="0" collapsed="false">
      <c r="A620" s="38"/>
      <c r="B620" s="38"/>
      <c r="C620" s="39"/>
      <c r="D620" s="40"/>
      <c r="E620" s="40"/>
      <c r="F620" s="41"/>
      <c r="G620" s="41"/>
      <c r="H620" s="41"/>
      <c r="I620" s="41"/>
      <c r="J620" s="41"/>
      <c r="K620" s="41"/>
      <c r="L620" s="41"/>
      <c r="M620" s="41"/>
      <c r="N620" s="41"/>
      <c r="O620" s="41"/>
      <c r="P620" s="41"/>
      <c r="Q620" s="41"/>
      <c r="R620" s="41"/>
      <c r="S620" s="41"/>
      <c r="T620" s="41"/>
      <c r="U620" s="41"/>
      <c r="V620" s="41"/>
      <c r="W620" s="41"/>
      <c r="X620" s="41"/>
      <c r="Y620" s="41"/>
      <c r="Z620" s="41"/>
    </row>
    <row r="621" customFormat="false" ht="14.25" hidden="false" customHeight="true" outlineLevel="0" collapsed="false">
      <c r="A621" s="38"/>
      <c r="B621" s="38"/>
      <c r="C621" s="39"/>
      <c r="D621" s="40"/>
      <c r="E621" s="40"/>
      <c r="F621" s="41"/>
      <c r="G621" s="41"/>
      <c r="H621" s="41"/>
      <c r="I621" s="41"/>
      <c r="J621" s="41"/>
      <c r="K621" s="41"/>
      <c r="L621" s="41"/>
      <c r="M621" s="41"/>
      <c r="N621" s="41"/>
      <c r="O621" s="41"/>
      <c r="P621" s="41"/>
      <c r="Q621" s="41"/>
      <c r="R621" s="41"/>
      <c r="S621" s="41"/>
      <c r="T621" s="41"/>
      <c r="U621" s="41"/>
      <c r="V621" s="41"/>
      <c r="W621" s="41"/>
      <c r="X621" s="41"/>
      <c r="Y621" s="41"/>
      <c r="Z621" s="41"/>
    </row>
    <row r="622" customFormat="false" ht="14.25" hidden="false" customHeight="true" outlineLevel="0" collapsed="false">
      <c r="A622" s="38"/>
      <c r="B622" s="38"/>
      <c r="C622" s="39"/>
      <c r="D622" s="40"/>
      <c r="E622" s="40"/>
      <c r="F622" s="41"/>
      <c r="G622" s="41"/>
      <c r="H622" s="41"/>
      <c r="I622" s="41"/>
      <c r="J622" s="41"/>
      <c r="K622" s="41"/>
      <c r="L622" s="41"/>
      <c r="M622" s="41"/>
      <c r="N622" s="41"/>
      <c r="O622" s="41"/>
      <c r="P622" s="41"/>
      <c r="Q622" s="41"/>
      <c r="R622" s="41"/>
      <c r="S622" s="41"/>
      <c r="T622" s="41"/>
      <c r="U622" s="41"/>
      <c r="V622" s="41"/>
      <c r="W622" s="41"/>
      <c r="X622" s="41"/>
      <c r="Y622" s="41"/>
      <c r="Z622" s="41"/>
    </row>
    <row r="623" customFormat="false" ht="14.25" hidden="false" customHeight="true" outlineLevel="0" collapsed="false">
      <c r="A623" s="38"/>
      <c r="B623" s="38"/>
      <c r="C623" s="39"/>
      <c r="D623" s="40"/>
      <c r="E623" s="40"/>
      <c r="F623" s="41"/>
      <c r="G623" s="41"/>
      <c r="H623" s="41"/>
      <c r="I623" s="41"/>
      <c r="J623" s="41"/>
      <c r="K623" s="41"/>
      <c r="L623" s="41"/>
      <c r="M623" s="41"/>
      <c r="N623" s="41"/>
      <c r="O623" s="41"/>
      <c r="P623" s="41"/>
      <c r="Q623" s="41"/>
      <c r="R623" s="41"/>
      <c r="S623" s="41"/>
      <c r="T623" s="41"/>
      <c r="U623" s="41"/>
      <c r="V623" s="41"/>
      <c r="W623" s="41"/>
      <c r="X623" s="41"/>
      <c r="Y623" s="41"/>
      <c r="Z623" s="41"/>
    </row>
    <row r="624" customFormat="false" ht="14.25" hidden="false" customHeight="true" outlineLevel="0" collapsed="false">
      <c r="A624" s="38"/>
      <c r="B624" s="38"/>
      <c r="C624" s="39"/>
      <c r="D624" s="40"/>
      <c r="E624" s="40"/>
      <c r="F624" s="41"/>
      <c r="G624" s="41"/>
      <c r="H624" s="41"/>
      <c r="I624" s="41"/>
      <c r="J624" s="41"/>
      <c r="K624" s="41"/>
      <c r="L624" s="41"/>
      <c r="M624" s="41"/>
      <c r="N624" s="41"/>
      <c r="O624" s="41"/>
      <c r="P624" s="41"/>
      <c r="Q624" s="41"/>
      <c r="R624" s="41"/>
      <c r="S624" s="41"/>
      <c r="T624" s="41"/>
      <c r="U624" s="41"/>
      <c r="V624" s="41"/>
      <c r="W624" s="41"/>
      <c r="X624" s="41"/>
      <c r="Y624" s="41"/>
      <c r="Z624" s="41"/>
    </row>
    <row r="625" customFormat="false" ht="14.25" hidden="false" customHeight="true" outlineLevel="0" collapsed="false">
      <c r="A625" s="38"/>
      <c r="B625" s="38"/>
      <c r="C625" s="39"/>
      <c r="D625" s="40"/>
      <c r="E625" s="40"/>
      <c r="F625" s="41"/>
      <c r="G625" s="41"/>
      <c r="H625" s="41"/>
      <c r="I625" s="41"/>
      <c r="J625" s="41"/>
      <c r="K625" s="41"/>
      <c r="L625" s="41"/>
      <c r="M625" s="41"/>
      <c r="N625" s="41"/>
      <c r="O625" s="41"/>
      <c r="P625" s="41"/>
      <c r="Q625" s="41"/>
      <c r="R625" s="41"/>
      <c r="S625" s="41"/>
      <c r="T625" s="41"/>
      <c r="U625" s="41"/>
      <c r="V625" s="41"/>
      <c r="W625" s="41"/>
      <c r="X625" s="41"/>
      <c r="Y625" s="41"/>
      <c r="Z625" s="41"/>
    </row>
    <row r="626" customFormat="false" ht="14.25" hidden="false" customHeight="true" outlineLevel="0" collapsed="false">
      <c r="A626" s="38"/>
      <c r="B626" s="38"/>
      <c r="C626" s="39"/>
      <c r="D626" s="40"/>
      <c r="E626" s="40"/>
      <c r="F626" s="41"/>
      <c r="G626" s="41"/>
      <c r="H626" s="41"/>
      <c r="I626" s="41"/>
      <c r="J626" s="41"/>
      <c r="K626" s="41"/>
      <c r="L626" s="41"/>
      <c r="M626" s="41"/>
      <c r="N626" s="41"/>
      <c r="O626" s="41"/>
      <c r="P626" s="41"/>
      <c r="Q626" s="41"/>
      <c r="R626" s="41"/>
      <c r="S626" s="41"/>
      <c r="T626" s="41"/>
      <c r="U626" s="41"/>
      <c r="V626" s="41"/>
      <c r="W626" s="41"/>
      <c r="X626" s="41"/>
      <c r="Y626" s="41"/>
      <c r="Z626" s="41"/>
    </row>
    <row r="627" customFormat="false" ht="14.25" hidden="false" customHeight="true" outlineLevel="0" collapsed="false">
      <c r="A627" s="38"/>
      <c r="B627" s="38"/>
      <c r="C627" s="39"/>
      <c r="D627" s="40"/>
      <c r="E627" s="40"/>
      <c r="F627" s="41"/>
      <c r="G627" s="41"/>
      <c r="H627" s="41"/>
      <c r="I627" s="41"/>
      <c r="J627" s="41"/>
      <c r="K627" s="41"/>
      <c r="L627" s="41"/>
      <c r="M627" s="41"/>
      <c r="N627" s="41"/>
      <c r="O627" s="41"/>
      <c r="P627" s="41"/>
      <c r="Q627" s="41"/>
      <c r="R627" s="41"/>
      <c r="S627" s="41"/>
      <c r="T627" s="41"/>
      <c r="U627" s="41"/>
      <c r="V627" s="41"/>
      <c r="W627" s="41"/>
      <c r="X627" s="41"/>
      <c r="Y627" s="41"/>
      <c r="Z627" s="41"/>
    </row>
    <row r="628" customFormat="false" ht="14.25" hidden="false" customHeight="true" outlineLevel="0" collapsed="false">
      <c r="A628" s="38"/>
      <c r="B628" s="38"/>
      <c r="C628" s="39"/>
      <c r="D628" s="40"/>
      <c r="E628" s="40"/>
      <c r="F628" s="41"/>
      <c r="G628" s="41"/>
      <c r="H628" s="41"/>
      <c r="I628" s="41"/>
      <c r="J628" s="41"/>
      <c r="K628" s="41"/>
      <c r="L628" s="41"/>
      <c r="M628" s="41"/>
      <c r="N628" s="41"/>
      <c r="O628" s="41"/>
      <c r="P628" s="41"/>
      <c r="Q628" s="41"/>
      <c r="R628" s="41"/>
      <c r="S628" s="41"/>
      <c r="T628" s="41"/>
      <c r="U628" s="41"/>
      <c r="V628" s="41"/>
      <c r="W628" s="41"/>
      <c r="X628" s="41"/>
      <c r="Y628" s="41"/>
      <c r="Z628" s="41"/>
    </row>
    <row r="629" customFormat="false" ht="14.25" hidden="false" customHeight="true" outlineLevel="0" collapsed="false">
      <c r="A629" s="38"/>
      <c r="B629" s="38"/>
      <c r="C629" s="39"/>
      <c r="D629" s="40"/>
      <c r="E629" s="40"/>
      <c r="F629" s="41"/>
      <c r="G629" s="41"/>
      <c r="H629" s="41"/>
      <c r="I629" s="41"/>
      <c r="J629" s="41"/>
      <c r="K629" s="41"/>
      <c r="L629" s="41"/>
      <c r="M629" s="41"/>
      <c r="N629" s="41"/>
      <c r="O629" s="41"/>
      <c r="P629" s="41"/>
      <c r="Q629" s="41"/>
      <c r="R629" s="41"/>
      <c r="S629" s="41"/>
      <c r="T629" s="41"/>
      <c r="U629" s="41"/>
      <c r="V629" s="41"/>
      <c r="W629" s="41"/>
      <c r="X629" s="41"/>
      <c r="Y629" s="41"/>
      <c r="Z629" s="41"/>
    </row>
    <row r="630" customFormat="false" ht="14.25" hidden="false" customHeight="true" outlineLevel="0" collapsed="false">
      <c r="A630" s="38"/>
      <c r="B630" s="38"/>
      <c r="C630" s="39"/>
      <c r="D630" s="40"/>
      <c r="E630" s="40"/>
      <c r="F630" s="41"/>
      <c r="G630" s="41"/>
      <c r="H630" s="41"/>
      <c r="I630" s="41"/>
      <c r="J630" s="41"/>
      <c r="K630" s="41"/>
      <c r="L630" s="41"/>
      <c r="M630" s="41"/>
      <c r="N630" s="41"/>
      <c r="O630" s="41"/>
      <c r="P630" s="41"/>
      <c r="Q630" s="41"/>
      <c r="R630" s="41"/>
      <c r="S630" s="41"/>
      <c r="T630" s="41"/>
      <c r="U630" s="41"/>
      <c r="V630" s="41"/>
      <c r="W630" s="41"/>
      <c r="X630" s="41"/>
      <c r="Y630" s="41"/>
      <c r="Z630" s="41"/>
    </row>
    <row r="631" customFormat="false" ht="14.25" hidden="false" customHeight="true" outlineLevel="0" collapsed="false">
      <c r="A631" s="38"/>
      <c r="B631" s="38"/>
      <c r="C631" s="39"/>
      <c r="D631" s="40"/>
      <c r="E631" s="40"/>
      <c r="F631" s="41"/>
      <c r="G631" s="41"/>
      <c r="H631" s="41"/>
      <c r="I631" s="41"/>
      <c r="J631" s="41"/>
      <c r="K631" s="41"/>
      <c r="L631" s="41"/>
      <c r="M631" s="41"/>
      <c r="N631" s="41"/>
      <c r="O631" s="41"/>
      <c r="P631" s="41"/>
      <c r="Q631" s="41"/>
      <c r="R631" s="41"/>
      <c r="S631" s="41"/>
      <c r="T631" s="41"/>
      <c r="U631" s="41"/>
      <c r="V631" s="41"/>
      <c r="W631" s="41"/>
      <c r="X631" s="41"/>
      <c r="Y631" s="41"/>
      <c r="Z631" s="41"/>
    </row>
    <row r="632" customFormat="false" ht="14.25" hidden="false" customHeight="true" outlineLevel="0" collapsed="false">
      <c r="A632" s="38"/>
      <c r="B632" s="38"/>
      <c r="C632" s="39"/>
      <c r="D632" s="40"/>
      <c r="E632" s="40"/>
      <c r="F632" s="41"/>
      <c r="G632" s="41"/>
      <c r="H632" s="41"/>
      <c r="I632" s="41"/>
      <c r="J632" s="41"/>
      <c r="K632" s="41"/>
      <c r="L632" s="41"/>
      <c r="M632" s="41"/>
      <c r="N632" s="41"/>
      <c r="O632" s="41"/>
      <c r="P632" s="41"/>
      <c r="Q632" s="41"/>
      <c r="R632" s="41"/>
      <c r="S632" s="41"/>
      <c r="T632" s="41"/>
      <c r="U632" s="41"/>
      <c r="V632" s="41"/>
      <c r="W632" s="41"/>
      <c r="X632" s="41"/>
      <c r="Y632" s="41"/>
      <c r="Z632" s="41"/>
    </row>
    <row r="633" customFormat="false" ht="14.25" hidden="false" customHeight="true" outlineLevel="0" collapsed="false">
      <c r="A633" s="38"/>
      <c r="B633" s="38"/>
      <c r="C633" s="39"/>
      <c r="D633" s="40"/>
      <c r="E633" s="40"/>
      <c r="F633" s="41"/>
      <c r="G633" s="41"/>
      <c r="H633" s="41"/>
      <c r="I633" s="41"/>
      <c r="J633" s="41"/>
      <c r="K633" s="41"/>
      <c r="L633" s="41"/>
      <c r="M633" s="41"/>
      <c r="N633" s="41"/>
      <c r="O633" s="41"/>
      <c r="P633" s="41"/>
      <c r="Q633" s="41"/>
      <c r="R633" s="41"/>
      <c r="S633" s="41"/>
      <c r="T633" s="41"/>
      <c r="U633" s="41"/>
      <c r="V633" s="41"/>
      <c r="W633" s="41"/>
      <c r="X633" s="41"/>
      <c r="Y633" s="41"/>
      <c r="Z633" s="41"/>
    </row>
    <row r="634" customFormat="false" ht="14.25" hidden="false" customHeight="true" outlineLevel="0" collapsed="false">
      <c r="A634" s="38"/>
      <c r="B634" s="38"/>
      <c r="C634" s="39"/>
      <c r="D634" s="40"/>
      <c r="E634" s="40"/>
      <c r="F634" s="41"/>
      <c r="G634" s="41"/>
      <c r="H634" s="41"/>
      <c r="I634" s="41"/>
      <c r="J634" s="41"/>
      <c r="K634" s="41"/>
      <c r="L634" s="41"/>
      <c r="M634" s="41"/>
      <c r="N634" s="41"/>
      <c r="O634" s="41"/>
      <c r="P634" s="41"/>
      <c r="Q634" s="41"/>
      <c r="R634" s="41"/>
      <c r="S634" s="41"/>
      <c r="T634" s="41"/>
      <c r="U634" s="41"/>
      <c r="V634" s="41"/>
      <c r="W634" s="41"/>
      <c r="X634" s="41"/>
      <c r="Y634" s="41"/>
      <c r="Z634" s="41"/>
    </row>
    <row r="635" customFormat="false" ht="14.25" hidden="false" customHeight="true" outlineLevel="0" collapsed="false">
      <c r="A635" s="38"/>
      <c r="B635" s="38"/>
      <c r="C635" s="39"/>
      <c r="D635" s="40"/>
      <c r="E635" s="40"/>
      <c r="F635" s="41"/>
      <c r="G635" s="41"/>
      <c r="H635" s="41"/>
      <c r="I635" s="41"/>
      <c r="J635" s="41"/>
      <c r="K635" s="41"/>
      <c r="L635" s="41"/>
      <c r="M635" s="41"/>
      <c r="N635" s="41"/>
      <c r="O635" s="41"/>
      <c r="P635" s="41"/>
      <c r="Q635" s="41"/>
      <c r="R635" s="41"/>
      <c r="S635" s="41"/>
      <c r="T635" s="41"/>
      <c r="U635" s="41"/>
      <c r="V635" s="41"/>
      <c r="W635" s="41"/>
      <c r="X635" s="41"/>
      <c r="Y635" s="41"/>
      <c r="Z635" s="41"/>
    </row>
    <row r="636" customFormat="false" ht="14.25" hidden="false" customHeight="true" outlineLevel="0" collapsed="false">
      <c r="A636" s="38"/>
      <c r="B636" s="38"/>
      <c r="C636" s="39"/>
      <c r="D636" s="40"/>
      <c r="E636" s="40"/>
      <c r="F636" s="41"/>
      <c r="G636" s="41"/>
      <c r="H636" s="41"/>
      <c r="I636" s="41"/>
      <c r="J636" s="41"/>
      <c r="K636" s="41"/>
      <c r="L636" s="41"/>
      <c r="M636" s="41"/>
      <c r="N636" s="41"/>
      <c r="O636" s="41"/>
      <c r="P636" s="41"/>
      <c r="Q636" s="41"/>
      <c r="R636" s="41"/>
      <c r="S636" s="41"/>
      <c r="T636" s="41"/>
      <c r="U636" s="41"/>
      <c r="V636" s="41"/>
      <c r="W636" s="41"/>
      <c r="X636" s="41"/>
      <c r="Y636" s="41"/>
      <c r="Z636" s="41"/>
    </row>
    <row r="637" customFormat="false" ht="14.25" hidden="false" customHeight="true" outlineLevel="0" collapsed="false">
      <c r="A637" s="38"/>
      <c r="B637" s="38"/>
      <c r="C637" s="39"/>
      <c r="D637" s="40"/>
      <c r="E637" s="40"/>
      <c r="F637" s="41"/>
      <c r="G637" s="41"/>
      <c r="H637" s="41"/>
      <c r="I637" s="41"/>
      <c r="J637" s="41"/>
      <c r="K637" s="41"/>
      <c r="L637" s="41"/>
      <c r="M637" s="41"/>
      <c r="N637" s="41"/>
      <c r="O637" s="41"/>
      <c r="P637" s="41"/>
      <c r="Q637" s="41"/>
      <c r="R637" s="41"/>
      <c r="S637" s="41"/>
      <c r="T637" s="41"/>
      <c r="U637" s="41"/>
      <c r="V637" s="41"/>
      <c r="W637" s="41"/>
      <c r="X637" s="41"/>
      <c r="Y637" s="41"/>
      <c r="Z637" s="41"/>
    </row>
    <row r="638" customFormat="false" ht="14.25" hidden="false" customHeight="true" outlineLevel="0" collapsed="false">
      <c r="A638" s="38"/>
      <c r="B638" s="38"/>
      <c r="C638" s="39"/>
      <c r="D638" s="40"/>
      <c r="E638" s="40"/>
      <c r="F638" s="41"/>
      <c r="G638" s="41"/>
      <c r="H638" s="41"/>
      <c r="I638" s="41"/>
      <c r="J638" s="41"/>
      <c r="K638" s="41"/>
      <c r="L638" s="41"/>
      <c r="M638" s="41"/>
      <c r="N638" s="41"/>
      <c r="O638" s="41"/>
      <c r="P638" s="41"/>
      <c r="Q638" s="41"/>
      <c r="R638" s="41"/>
      <c r="S638" s="41"/>
      <c r="T638" s="41"/>
      <c r="U638" s="41"/>
      <c r="V638" s="41"/>
      <c r="W638" s="41"/>
      <c r="X638" s="41"/>
      <c r="Y638" s="41"/>
      <c r="Z638" s="41"/>
    </row>
    <row r="639" customFormat="false" ht="14.25" hidden="false" customHeight="true" outlineLevel="0" collapsed="false">
      <c r="A639" s="38"/>
      <c r="B639" s="38"/>
      <c r="C639" s="39"/>
      <c r="D639" s="40"/>
      <c r="E639" s="40"/>
      <c r="F639" s="41"/>
      <c r="G639" s="41"/>
      <c r="H639" s="41"/>
      <c r="I639" s="41"/>
      <c r="J639" s="41"/>
      <c r="K639" s="41"/>
      <c r="L639" s="41"/>
      <c r="M639" s="41"/>
      <c r="N639" s="41"/>
      <c r="O639" s="41"/>
      <c r="P639" s="41"/>
      <c r="Q639" s="41"/>
      <c r="R639" s="41"/>
      <c r="S639" s="41"/>
      <c r="T639" s="41"/>
      <c r="U639" s="41"/>
      <c r="V639" s="41"/>
      <c r="W639" s="41"/>
      <c r="X639" s="41"/>
      <c r="Y639" s="41"/>
      <c r="Z639" s="41"/>
    </row>
    <row r="640" customFormat="false" ht="14.25" hidden="false" customHeight="true" outlineLevel="0" collapsed="false">
      <c r="A640" s="38"/>
      <c r="B640" s="38"/>
      <c r="C640" s="39"/>
      <c r="D640" s="40"/>
      <c r="E640" s="40"/>
      <c r="F640" s="41"/>
      <c r="G640" s="41"/>
      <c r="H640" s="41"/>
      <c r="I640" s="41"/>
      <c r="J640" s="41"/>
      <c r="K640" s="41"/>
      <c r="L640" s="41"/>
      <c r="M640" s="41"/>
      <c r="N640" s="41"/>
      <c r="O640" s="41"/>
      <c r="P640" s="41"/>
      <c r="Q640" s="41"/>
      <c r="R640" s="41"/>
      <c r="S640" s="41"/>
      <c r="T640" s="41"/>
      <c r="U640" s="41"/>
      <c r="V640" s="41"/>
      <c r="W640" s="41"/>
      <c r="X640" s="41"/>
      <c r="Y640" s="41"/>
      <c r="Z640" s="41"/>
    </row>
    <row r="641" customFormat="false" ht="14.25" hidden="false" customHeight="true" outlineLevel="0" collapsed="false">
      <c r="A641" s="38"/>
      <c r="B641" s="38"/>
      <c r="C641" s="39"/>
      <c r="D641" s="40"/>
      <c r="E641" s="40"/>
      <c r="F641" s="41"/>
      <c r="G641" s="41"/>
      <c r="H641" s="41"/>
      <c r="I641" s="41"/>
      <c r="J641" s="41"/>
      <c r="K641" s="41"/>
      <c r="L641" s="41"/>
      <c r="M641" s="41"/>
      <c r="N641" s="41"/>
      <c r="O641" s="41"/>
      <c r="P641" s="41"/>
      <c r="Q641" s="41"/>
      <c r="R641" s="41"/>
      <c r="S641" s="41"/>
      <c r="T641" s="41"/>
      <c r="U641" s="41"/>
      <c r="V641" s="41"/>
      <c r="W641" s="41"/>
      <c r="X641" s="41"/>
      <c r="Y641" s="41"/>
      <c r="Z641" s="41"/>
    </row>
    <row r="642" customFormat="false" ht="14.25" hidden="false" customHeight="true" outlineLevel="0" collapsed="false">
      <c r="A642" s="38"/>
      <c r="B642" s="38"/>
      <c r="C642" s="39"/>
      <c r="D642" s="40"/>
      <c r="E642" s="40"/>
      <c r="F642" s="41"/>
      <c r="G642" s="41"/>
      <c r="H642" s="41"/>
      <c r="I642" s="41"/>
      <c r="J642" s="41"/>
      <c r="K642" s="41"/>
      <c r="L642" s="41"/>
      <c r="M642" s="41"/>
      <c r="N642" s="41"/>
      <c r="O642" s="41"/>
      <c r="P642" s="41"/>
      <c r="Q642" s="41"/>
      <c r="R642" s="41"/>
      <c r="S642" s="41"/>
      <c r="T642" s="41"/>
      <c r="U642" s="41"/>
      <c r="V642" s="41"/>
      <c r="W642" s="41"/>
      <c r="X642" s="41"/>
      <c r="Y642" s="41"/>
      <c r="Z642" s="41"/>
    </row>
    <row r="643" customFormat="false" ht="14.25" hidden="false" customHeight="true" outlineLevel="0" collapsed="false">
      <c r="A643" s="38"/>
      <c r="B643" s="38"/>
      <c r="C643" s="39"/>
      <c r="D643" s="40"/>
      <c r="E643" s="40"/>
      <c r="F643" s="41"/>
      <c r="G643" s="41"/>
      <c r="H643" s="41"/>
      <c r="I643" s="41"/>
      <c r="J643" s="41"/>
      <c r="K643" s="41"/>
      <c r="L643" s="41"/>
      <c r="M643" s="41"/>
      <c r="N643" s="41"/>
      <c r="O643" s="41"/>
      <c r="P643" s="41"/>
      <c r="Q643" s="41"/>
      <c r="R643" s="41"/>
      <c r="S643" s="41"/>
      <c r="T643" s="41"/>
      <c r="U643" s="41"/>
      <c r="V643" s="41"/>
      <c r="W643" s="41"/>
      <c r="X643" s="41"/>
      <c r="Y643" s="41"/>
      <c r="Z643" s="41"/>
    </row>
    <row r="644" customFormat="false" ht="14.25" hidden="false" customHeight="true" outlineLevel="0" collapsed="false">
      <c r="A644" s="38"/>
      <c r="B644" s="38"/>
      <c r="C644" s="39"/>
      <c r="D644" s="40"/>
      <c r="E644" s="40"/>
      <c r="F644" s="41"/>
      <c r="G644" s="41"/>
      <c r="H644" s="41"/>
      <c r="I644" s="41"/>
      <c r="J644" s="41"/>
      <c r="K644" s="41"/>
      <c r="L644" s="41"/>
      <c r="M644" s="41"/>
      <c r="N644" s="41"/>
      <c r="O644" s="41"/>
      <c r="P644" s="41"/>
      <c r="Q644" s="41"/>
      <c r="R644" s="41"/>
      <c r="S644" s="41"/>
      <c r="T644" s="41"/>
      <c r="U644" s="41"/>
      <c r="V644" s="41"/>
      <c r="W644" s="41"/>
      <c r="X644" s="41"/>
      <c r="Y644" s="41"/>
      <c r="Z644" s="41"/>
    </row>
    <row r="645" customFormat="false" ht="14.25" hidden="false" customHeight="true" outlineLevel="0" collapsed="false">
      <c r="A645" s="38"/>
      <c r="B645" s="38"/>
      <c r="C645" s="39"/>
      <c r="D645" s="40"/>
      <c r="E645" s="40"/>
      <c r="F645" s="41"/>
      <c r="G645" s="41"/>
      <c r="H645" s="41"/>
      <c r="I645" s="41"/>
      <c r="J645" s="41"/>
      <c r="K645" s="41"/>
      <c r="L645" s="41"/>
      <c r="M645" s="41"/>
      <c r="N645" s="41"/>
      <c r="O645" s="41"/>
      <c r="P645" s="41"/>
      <c r="Q645" s="41"/>
      <c r="R645" s="41"/>
      <c r="S645" s="41"/>
      <c r="T645" s="41"/>
      <c r="U645" s="41"/>
      <c r="V645" s="41"/>
      <c r="W645" s="41"/>
      <c r="X645" s="41"/>
      <c r="Y645" s="41"/>
      <c r="Z645" s="41"/>
    </row>
    <row r="646" customFormat="false" ht="14.25" hidden="false" customHeight="true" outlineLevel="0" collapsed="false">
      <c r="A646" s="38"/>
      <c r="B646" s="38"/>
      <c r="C646" s="39"/>
      <c r="D646" s="40"/>
      <c r="E646" s="40"/>
      <c r="F646" s="41"/>
      <c r="G646" s="41"/>
      <c r="H646" s="41"/>
      <c r="I646" s="41"/>
      <c r="J646" s="41"/>
      <c r="K646" s="41"/>
      <c r="L646" s="41"/>
      <c r="M646" s="41"/>
      <c r="N646" s="41"/>
      <c r="O646" s="41"/>
      <c r="P646" s="41"/>
      <c r="Q646" s="41"/>
      <c r="R646" s="41"/>
      <c r="S646" s="41"/>
      <c r="T646" s="41"/>
      <c r="U646" s="41"/>
      <c r="V646" s="41"/>
      <c r="W646" s="41"/>
      <c r="X646" s="41"/>
      <c r="Y646" s="41"/>
      <c r="Z646" s="41"/>
    </row>
    <row r="647" customFormat="false" ht="14.25" hidden="false" customHeight="true" outlineLevel="0" collapsed="false">
      <c r="A647" s="38"/>
      <c r="B647" s="38"/>
      <c r="C647" s="39"/>
      <c r="D647" s="40"/>
      <c r="E647" s="40"/>
      <c r="F647" s="41"/>
      <c r="G647" s="41"/>
      <c r="H647" s="41"/>
      <c r="I647" s="41"/>
      <c r="J647" s="41"/>
      <c r="K647" s="41"/>
      <c r="L647" s="41"/>
      <c r="M647" s="41"/>
      <c r="N647" s="41"/>
      <c r="O647" s="41"/>
      <c r="P647" s="41"/>
      <c r="Q647" s="41"/>
      <c r="R647" s="41"/>
      <c r="S647" s="41"/>
      <c r="T647" s="41"/>
      <c r="U647" s="41"/>
      <c r="V647" s="41"/>
      <c r="W647" s="41"/>
      <c r="X647" s="41"/>
      <c r="Y647" s="41"/>
      <c r="Z647" s="41"/>
    </row>
    <row r="648" customFormat="false" ht="14.25" hidden="false" customHeight="true" outlineLevel="0" collapsed="false">
      <c r="A648" s="38"/>
      <c r="B648" s="38"/>
      <c r="C648" s="39"/>
      <c r="D648" s="40"/>
      <c r="E648" s="40"/>
      <c r="F648" s="41"/>
      <c r="G648" s="41"/>
      <c r="H648" s="41"/>
      <c r="I648" s="41"/>
      <c r="J648" s="41"/>
      <c r="K648" s="41"/>
      <c r="L648" s="41"/>
      <c r="M648" s="41"/>
      <c r="N648" s="41"/>
      <c r="O648" s="41"/>
      <c r="P648" s="41"/>
      <c r="Q648" s="41"/>
      <c r="R648" s="41"/>
      <c r="S648" s="41"/>
      <c r="T648" s="41"/>
      <c r="U648" s="41"/>
      <c r="V648" s="41"/>
      <c r="W648" s="41"/>
      <c r="X648" s="41"/>
      <c r="Y648" s="41"/>
      <c r="Z648" s="41"/>
    </row>
    <row r="649" customFormat="false" ht="14.25" hidden="false" customHeight="true" outlineLevel="0" collapsed="false">
      <c r="A649" s="38"/>
      <c r="B649" s="38"/>
      <c r="C649" s="39"/>
      <c r="D649" s="40"/>
      <c r="E649" s="40"/>
      <c r="F649" s="41"/>
      <c r="G649" s="41"/>
      <c r="H649" s="41"/>
      <c r="I649" s="41"/>
      <c r="J649" s="41"/>
      <c r="K649" s="41"/>
      <c r="L649" s="41"/>
      <c r="M649" s="41"/>
      <c r="N649" s="41"/>
      <c r="O649" s="41"/>
      <c r="P649" s="41"/>
      <c r="Q649" s="41"/>
      <c r="R649" s="41"/>
      <c r="S649" s="41"/>
      <c r="T649" s="41"/>
      <c r="U649" s="41"/>
      <c r="V649" s="41"/>
      <c r="W649" s="41"/>
      <c r="X649" s="41"/>
      <c r="Y649" s="41"/>
      <c r="Z649" s="41"/>
    </row>
    <row r="650" customFormat="false" ht="14.25" hidden="false" customHeight="true" outlineLevel="0" collapsed="false">
      <c r="A650" s="38"/>
      <c r="B650" s="38"/>
      <c r="C650" s="39"/>
      <c r="D650" s="40"/>
      <c r="E650" s="40"/>
      <c r="F650" s="41"/>
      <c r="G650" s="41"/>
      <c r="H650" s="41"/>
      <c r="I650" s="41"/>
      <c r="J650" s="41"/>
      <c r="K650" s="41"/>
      <c r="L650" s="41"/>
      <c r="M650" s="41"/>
      <c r="N650" s="41"/>
      <c r="O650" s="41"/>
      <c r="P650" s="41"/>
      <c r="Q650" s="41"/>
      <c r="R650" s="41"/>
      <c r="S650" s="41"/>
      <c r="T650" s="41"/>
      <c r="U650" s="41"/>
      <c r="V650" s="41"/>
      <c r="W650" s="41"/>
      <c r="X650" s="41"/>
      <c r="Y650" s="41"/>
      <c r="Z650" s="41"/>
    </row>
    <row r="651" customFormat="false" ht="14.25" hidden="false" customHeight="true" outlineLevel="0" collapsed="false">
      <c r="A651" s="38"/>
      <c r="B651" s="38"/>
      <c r="C651" s="39"/>
      <c r="D651" s="40"/>
      <c r="E651" s="40"/>
      <c r="F651" s="41"/>
      <c r="G651" s="41"/>
      <c r="H651" s="41"/>
      <c r="I651" s="41"/>
      <c r="J651" s="41"/>
      <c r="K651" s="41"/>
      <c r="L651" s="41"/>
      <c r="M651" s="41"/>
      <c r="N651" s="41"/>
      <c r="O651" s="41"/>
      <c r="P651" s="41"/>
      <c r="Q651" s="41"/>
      <c r="R651" s="41"/>
      <c r="S651" s="41"/>
      <c r="T651" s="41"/>
      <c r="U651" s="41"/>
      <c r="V651" s="41"/>
      <c r="W651" s="41"/>
      <c r="X651" s="41"/>
      <c r="Y651" s="41"/>
      <c r="Z651" s="41"/>
    </row>
    <row r="652" customFormat="false" ht="14.25" hidden="false" customHeight="true" outlineLevel="0" collapsed="false">
      <c r="A652" s="38"/>
      <c r="B652" s="38"/>
      <c r="C652" s="39"/>
      <c r="D652" s="40"/>
      <c r="E652" s="40"/>
      <c r="F652" s="41"/>
      <c r="G652" s="41"/>
      <c r="H652" s="41"/>
      <c r="I652" s="41"/>
      <c r="J652" s="41"/>
      <c r="K652" s="41"/>
      <c r="L652" s="41"/>
      <c r="M652" s="41"/>
      <c r="N652" s="41"/>
      <c r="O652" s="41"/>
      <c r="P652" s="41"/>
      <c r="Q652" s="41"/>
      <c r="R652" s="41"/>
      <c r="S652" s="41"/>
      <c r="T652" s="41"/>
      <c r="U652" s="41"/>
      <c r="V652" s="41"/>
      <c r="W652" s="41"/>
      <c r="X652" s="41"/>
      <c r="Y652" s="41"/>
      <c r="Z652" s="41"/>
    </row>
    <row r="653" customFormat="false" ht="14.25" hidden="false" customHeight="true" outlineLevel="0" collapsed="false">
      <c r="A653" s="38"/>
      <c r="B653" s="38"/>
      <c r="C653" s="39"/>
      <c r="D653" s="40"/>
      <c r="E653" s="40"/>
      <c r="F653" s="41"/>
      <c r="G653" s="41"/>
      <c r="H653" s="41"/>
      <c r="I653" s="41"/>
      <c r="J653" s="41"/>
      <c r="K653" s="41"/>
      <c r="L653" s="41"/>
      <c r="M653" s="41"/>
      <c r="N653" s="41"/>
      <c r="O653" s="41"/>
      <c r="P653" s="41"/>
      <c r="Q653" s="41"/>
      <c r="R653" s="41"/>
      <c r="S653" s="41"/>
      <c r="T653" s="41"/>
      <c r="U653" s="41"/>
      <c r="V653" s="41"/>
      <c r="W653" s="41"/>
      <c r="X653" s="41"/>
      <c r="Y653" s="41"/>
      <c r="Z653" s="41"/>
    </row>
    <row r="654" customFormat="false" ht="14.25" hidden="false" customHeight="true" outlineLevel="0" collapsed="false">
      <c r="A654" s="38"/>
      <c r="B654" s="38"/>
      <c r="C654" s="39"/>
      <c r="D654" s="40"/>
      <c r="E654" s="40"/>
      <c r="F654" s="41"/>
      <c r="G654" s="41"/>
      <c r="H654" s="41"/>
      <c r="I654" s="41"/>
      <c r="J654" s="41"/>
      <c r="K654" s="41"/>
      <c r="L654" s="41"/>
      <c r="M654" s="41"/>
      <c r="N654" s="41"/>
      <c r="O654" s="41"/>
      <c r="P654" s="41"/>
      <c r="Q654" s="41"/>
      <c r="R654" s="41"/>
      <c r="S654" s="41"/>
      <c r="T654" s="41"/>
      <c r="U654" s="41"/>
      <c r="V654" s="41"/>
      <c r="W654" s="41"/>
      <c r="X654" s="41"/>
      <c r="Y654" s="41"/>
      <c r="Z654" s="41"/>
    </row>
    <row r="655" customFormat="false" ht="14.25" hidden="false" customHeight="true" outlineLevel="0" collapsed="false">
      <c r="A655" s="38"/>
      <c r="B655" s="38"/>
      <c r="C655" s="39"/>
      <c r="D655" s="40"/>
      <c r="E655" s="40"/>
      <c r="F655" s="41"/>
      <c r="G655" s="41"/>
      <c r="H655" s="41"/>
      <c r="I655" s="41"/>
      <c r="J655" s="41"/>
      <c r="K655" s="41"/>
      <c r="L655" s="41"/>
      <c r="M655" s="41"/>
      <c r="N655" s="41"/>
      <c r="O655" s="41"/>
      <c r="P655" s="41"/>
      <c r="Q655" s="41"/>
      <c r="R655" s="41"/>
      <c r="S655" s="41"/>
      <c r="T655" s="41"/>
      <c r="U655" s="41"/>
      <c r="V655" s="41"/>
      <c r="W655" s="41"/>
      <c r="X655" s="41"/>
      <c r="Y655" s="41"/>
      <c r="Z655" s="41"/>
    </row>
    <row r="656" customFormat="false" ht="14.25" hidden="false" customHeight="true" outlineLevel="0" collapsed="false">
      <c r="A656" s="38"/>
      <c r="B656" s="38"/>
      <c r="C656" s="39"/>
      <c r="D656" s="40"/>
      <c r="E656" s="40"/>
      <c r="F656" s="41"/>
      <c r="G656" s="41"/>
      <c r="H656" s="41"/>
      <c r="I656" s="41"/>
      <c r="J656" s="41"/>
      <c r="K656" s="41"/>
      <c r="L656" s="41"/>
      <c r="M656" s="41"/>
      <c r="N656" s="41"/>
      <c r="O656" s="41"/>
      <c r="P656" s="41"/>
      <c r="Q656" s="41"/>
      <c r="R656" s="41"/>
      <c r="S656" s="41"/>
      <c r="T656" s="41"/>
      <c r="U656" s="41"/>
      <c r="V656" s="41"/>
      <c r="W656" s="41"/>
      <c r="X656" s="41"/>
      <c r="Y656" s="41"/>
      <c r="Z656" s="41"/>
    </row>
    <row r="657" customFormat="false" ht="14.25" hidden="false" customHeight="true" outlineLevel="0" collapsed="false">
      <c r="A657" s="38"/>
      <c r="B657" s="38"/>
      <c r="C657" s="39"/>
      <c r="D657" s="40"/>
      <c r="E657" s="40"/>
      <c r="F657" s="41"/>
      <c r="G657" s="41"/>
      <c r="H657" s="41"/>
      <c r="I657" s="41"/>
      <c r="J657" s="41"/>
      <c r="K657" s="41"/>
      <c r="L657" s="41"/>
      <c r="M657" s="41"/>
      <c r="N657" s="41"/>
      <c r="O657" s="41"/>
      <c r="P657" s="41"/>
      <c r="Q657" s="41"/>
      <c r="R657" s="41"/>
      <c r="S657" s="41"/>
      <c r="T657" s="41"/>
      <c r="U657" s="41"/>
      <c r="V657" s="41"/>
      <c r="W657" s="41"/>
      <c r="X657" s="41"/>
      <c r="Y657" s="41"/>
      <c r="Z657" s="41"/>
    </row>
    <row r="658" customFormat="false" ht="14.25" hidden="false" customHeight="true" outlineLevel="0" collapsed="false">
      <c r="A658" s="38"/>
      <c r="B658" s="38"/>
      <c r="C658" s="39"/>
      <c r="D658" s="40"/>
      <c r="E658" s="40"/>
      <c r="F658" s="41"/>
      <c r="G658" s="41"/>
      <c r="H658" s="41"/>
      <c r="I658" s="41"/>
      <c r="J658" s="41"/>
      <c r="K658" s="41"/>
      <c r="L658" s="41"/>
      <c r="M658" s="41"/>
      <c r="N658" s="41"/>
      <c r="O658" s="41"/>
      <c r="P658" s="41"/>
      <c r="Q658" s="41"/>
      <c r="R658" s="41"/>
      <c r="S658" s="41"/>
      <c r="T658" s="41"/>
      <c r="U658" s="41"/>
      <c r="V658" s="41"/>
      <c r="W658" s="41"/>
      <c r="X658" s="41"/>
      <c r="Y658" s="41"/>
      <c r="Z658" s="41"/>
    </row>
    <row r="659" customFormat="false" ht="14.25" hidden="false" customHeight="true" outlineLevel="0" collapsed="false">
      <c r="A659" s="38"/>
      <c r="B659" s="38"/>
      <c r="C659" s="39"/>
      <c r="D659" s="40"/>
      <c r="E659" s="40"/>
      <c r="F659" s="41"/>
      <c r="G659" s="41"/>
      <c r="H659" s="41"/>
      <c r="I659" s="41"/>
      <c r="J659" s="41"/>
      <c r="K659" s="41"/>
      <c r="L659" s="41"/>
      <c r="M659" s="41"/>
      <c r="N659" s="41"/>
      <c r="O659" s="41"/>
      <c r="P659" s="41"/>
      <c r="Q659" s="41"/>
      <c r="R659" s="41"/>
      <c r="S659" s="41"/>
      <c r="T659" s="41"/>
      <c r="U659" s="41"/>
      <c r="V659" s="41"/>
      <c r="W659" s="41"/>
      <c r="X659" s="41"/>
      <c r="Y659" s="41"/>
      <c r="Z659" s="41"/>
    </row>
    <row r="660" customFormat="false" ht="14.25" hidden="false" customHeight="true" outlineLevel="0" collapsed="false">
      <c r="A660" s="38"/>
      <c r="B660" s="38"/>
      <c r="C660" s="39"/>
      <c r="D660" s="40"/>
      <c r="E660" s="40"/>
      <c r="F660" s="41"/>
      <c r="G660" s="41"/>
      <c r="H660" s="41"/>
      <c r="I660" s="41"/>
      <c r="J660" s="41"/>
      <c r="K660" s="41"/>
      <c r="L660" s="41"/>
      <c r="M660" s="41"/>
      <c r="N660" s="41"/>
      <c r="O660" s="41"/>
      <c r="P660" s="41"/>
      <c r="Q660" s="41"/>
      <c r="R660" s="41"/>
      <c r="S660" s="41"/>
      <c r="T660" s="41"/>
      <c r="U660" s="41"/>
      <c r="V660" s="41"/>
      <c r="W660" s="41"/>
      <c r="X660" s="41"/>
      <c r="Y660" s="41"/>
      <c r="Z660" s="41"/>
    </row>
    <row r="661" customFormat="false" ht="14.25" hidden="false" customHeight="true" outlineLevel="0" collapsed="false">
      <c r="A661" s="38"/>
      <c r="B661" s="38"/>
      <c r="C661" s="39"/>
      <c r="D661" s="40"/>
      <c r="E661" s="40"/>
      <c r="F661" s="41"/>
      <c r="G661" s="41"/>
      <c r="H661" s="41"/>
      <c r="I661" s="41"/>
      <c r="J661" s="41"/>
      <c r="K661" s="41"/>
      <c r="L661" s="41"/>
      <c r="M661" s="41"/>
      <c r="N661" s="41"/>
      <c r="O661" s="41"/>
      <c r="P661" s="41"/>
      <c r="Q661" s="41"/>
      <c r="R661" s="41"/>
      <c r="S661" s="41"/>
      <c r="T661" s="41"/>
      <c r="U661" s="41"/>
      <c r="V661" s="41"/>
      <c r="W661" s="41"/>
      <c r="X661" s="41"/>
      <c r="Y661" s="41"/>
      <c r="Z661" s="41"/>
    </row>
    <row r="662" customFormat="false" ht="14.25" hidden="false" customHeight="true" outlineLevel="0" collapsed="false">
      <c r="A662" s="38"/>
      <c r="B662" s="38"/>
      <c r="C662" s="39"/>
      <c r="D662" s="40"/>
      <c r="E662" s="40"/>
      <c r="F662" s="41"/>
      <c r="G662" s="41"/>
      <c r="H662" s="41"/>
      <c r="I662" s="41"/>
      <c r="J662" s="41"/>
      <c r="K662" s="41"/>
      <c r="L662" s="41"/>
      <c r="M662" s="41"/>
      <c r="N662" s="41"/>
      <c r="O662" s="41"/>
      <c r="P662" s="41"/>
      <c r="Q662" s="41"/>
      <c r="R662" s="41"/>
      <c r="S662" s="41"/>
      <c r="T662" s="41"/>
      <c r="U662" s="41"/>
      <c r="V662" s="41"/>
      <c r="W662" s="41"/>
      <c r="X662" s="41"/>
      <c r="Y662" s="41"/>
      <c r="Z662" s="41"/>
    </row>
    <row r="663" customFormat="false" ht="14.25" hidden="false" customHeight="true" outlineLevel="0" collapsed="false">
      <c r="A663" s="38"/>
      <c r="B663" s="38"/>
      <c r="C663" s="39"/>
      <c r="D663" s="40"/>
      <c r="E663" s="40"/>
      <c r="F663" s="41"/>
      <c r="G663" s="41"/>
      <c r="H663" s="41"/>
      <c r="I663" s="41"/>
      <c r="J663" s="41"/>
      <c r="K663" s="41"/>
      <c r="L663" s="41"/>
      <c r="M663" s="41"/>
      <c r="N663" s="41"/>
      <c r="O663" s="41"/>
      <c r="P663" s="41"/>
      <c r="Q663" s="41"/>
      <c r="R663" s="41"/>
      <c r="S663" s="41"/>
      <c r="T663" s="41"/>
      <c r="U663" s="41"/>
      <c r="V663" s="41"/>
      <c r="W663" s="41"/>
      <c r="X663" s="41"/>
      <c r="Y663" s="41"/>
      <c r="Z663" s="41"/>
    </row>
    <row r="664" customFormat="false" ht="14.25" hidden="false" customHeight="true" outlineLevel="0" collapsed="false">
      <c r="A664" s="38"/>
      <c r="B664" s="38"/>
      <c r="C664" s="39"/>
      <c r="D664" s="40"/>
      <c r="E664" s="40"/>
      <c r="F664" s="41"/>
      <c r="G664" s="41"/>
      <c r="H664" s="41"/>
      <c r="I664" s="41"/>
      <c r="J664" s="41"/>
      <c r="K664" s="41"/>
      <c r="L664" s="41"/>
      <c r="M664" s="41"/>
      <c r="N664" s="41"/>
      <c r="O664" s="41"/>
      <c r="P664" s="41"/>
      <c r="Q664" s="41"/>
      <c r="R664" s="41"/>
      <c r="S664" s="41"/>
      <c r="T664" s="41"/>
      <c r="U664" s="41"/>
      <c r="V664" s="41"/>
      <c r="W664" s="41"/>
      <c r="X664" s="41"/>
      <c r="Y664" s="41"/>
      <c r="Z664" s="41"/>
    </row>
    <row r="665" customFormat="false" ht="14.25" hidden="false" customHeight="true" outlineLevel="0" collapsed="false">
      <c r="A665" s="38"/>
      <c r="B665" s="38"/>
      <c r="C665" s="39"/>
      <c r="D665" s="40"/>
      <c r="E665" s="40"/>
      <c r="F665" s="41"/>
      <c r="G665" s="41"/>
      <c r="H665" s="41"/>
      <c r="I665" s="41"/>
      <c r="J665" s="41"/>
      <c r="K665" s="41"/>
      <c r="L665" s="41"/>
      <c r="M665" s="41"/>
      <c r="N665" s="41"/>
      <c r="O665" s="41"/>
      <c r="P665" s="41"/>
      <c r="Q665" s="41"/>
      <c r="R665" s="41"/>
      <c r="S665" s="41"/>
      <c r="T665" s="41"/>
      <c r="U665" s="41"/>
      <c r="V665" s="41"/>
      <c r="W665" s="41"/>
      <c r="X665" s="41"/>
      <c r="Y665" s="41"/>
      <c r="Z665" s="41"/>
    </row>
    <row r="666" customFormat="false" ht="14.25" hidden="false" customHeight="true" outlineLevel="0" collapsed="false">
      <c r="A666" s="38"/>
      <c r="B666" s="38"/>
      <c r="C666" s="39"/>
      <c r="D666" s="40"/>
      <c r="E666" s="40"/>
      <c r="F666" s="41"/>
      <c r="G666" s="41"/>
      <c r="H666" s="41"/>
      <c r="I666" s="41"/>
      <c r="J666" s="41"/>
      <c r="K666" s="41"/>
      <c r="L666" s="41"/>
      <c r="M666" s="41"/>
      <c r="N666" s="41"/>
      <c r="O666" s="41"/>
      <c r="P666" s="41"/>
      <c r="Q666" s="41"/>
      <c r="R666" s="41"/>
      <c r="S666" s="41"/>
      <c r="T666" s="41"/>
      <c r="U666" s="41"/>
      <c r="V666" s="41"/>
      <c r="W666" s="41"/>
      <c r="X666" s="41"/>
      <c r="Y666" s="41"/>
      <c r="Z666" s="41"/>
    </row>
    <row r="667" customFormat="false" ht="14.25" hidden="false" customHeight="true" outlineLevel="0" collapsed="false">
      <c r="A667" s="38"/>
      <c r="B667" s="38"/>
      <c r="C667" s="39"/>
      <c r="D667" s="40"/>
      <c r="E667" s="40"/>
      <c r="F667" s="41"/>
      <c r="G667" s="41"/>
      <c r="H667" s="41"/>
      <c r="I667" s="41"/>
      <c r="J667" s="41"/>
      <c r="K667" s="41"/>
      <c r="L667" s="41"/>
      <c r="M667" s="41"/>
      <c r="N667" s="41"/>
      <c r="O667" s="41"/>
      <c r="P667" s="41"/>
      <c r="Q667" s="41"/>
      <c r="R667" s="41"/>
      <c r="S667" s="41"/>
      <c r="T667" s="41"/>
      <c r="U667" s="41"/>
      <c r="V667" s="41"/>
      <c r="W667" s="41"/>
      <c r="X667" s="41"/>
      <c r="Y667" s="41"/>
      <c r="Z667" s="41"/>
    </row>
    <row r="668" customFormat="false" ht="14.25" hidden="false" customHeight="true" outlineLevel="0" collapsed="false">
      <c r="A668" s="38"/>
      <c r="B668" s="38"/>
      <c r="C668" s="39"/>
      <c r="D668" s="40"/>
      <c r="E668" s="40"/>
      <c r="F668" s="41"/>
      <c r="G668" s="41"/>
      <c r="H668" s="41"/>
      <c r="I668" s="41"/>
      <c r="J668" s="41"/>
      <c r="K668" s="41"/>
      <c r="L668" s="41"/>
      <c r="M668" s="41"/>
      <c r="N668" s="41"/>
      <c r="O668" s="41"/>
      <c r="P668" s="41"/>
      <c r="Q668" s="41"/>
      <c r="R668" s="41"/>
      <c r="S668" s="41"/>
      <c r="T668" s="41"/>
      <c r="U668" s="41"/>
      <c r="V668" s="41"/>
      <c r="W668" s="41"/>
      <c r="X668" s="41"/>
      <c r="Y668" s="41"/>
      <c r="Z668" s="41"/>
    </row>
    <row r="669" customFormat="false" ht="14.25" hidden="false" customHeight="true" outlineLevel="0" collapsed="false">
      <c r="A669" s="38"/>
      <c r="B669" s="38"/>
      <c r="C669" s="39"/>
      <c r="D669" s="40"/>
      <c r="E669" s="40"/>
      <c r="F669" s="41"/>
      <c r="G669" s="41"/>
      <c r="H669" s="41"/>
      <c r="I669" s="41"/>
      <c r="J669" s="41"/>
      <c r="K669" s="41"/>
      <c r="L669" s="41"/>
      <c r="M669" s="41"/>
      <c r="N669" s="41"/>
      <c r="O669" s="41"/>
      <c r="P669" s="41"/>
      <c r="Q669" s="41"/>
      <c r="R669" s="41"/>
      <c r="S669" s="41"/>
      <c r="T669" s="41"/>
      <c r="U669" s="41"/>
      <c r="V669" s="41"/>
      <c r="W669" s="41"/>
      <c r="X669" s="41"/>
      <c r="Y669" s="41"/>
      <c r="Z669" s="41"/>
    </row>
    <row r="670" customFormat="false" ht="14.25" hidden="false" customHeight="true" outlineLevel="0" collapsed="false">
      <c r="A670" s="38"/>
      <c r="B670" s="38"/>
      <c r="C670" s="39"/>
      <c r="D670" s="40"/>
      <c r="E670" s="40"/>
      <c r="F670" s="41"/>
      <c r="G670" s="41"/>
      <c r="H670" s="41"/>
      <c r="I670" s="41"/>
      <c r="J670" s="41"/>
      <c r="K670" s="41"/>
      <c r="L670" s="41"/>
      <c r="M670" s="41"/>
      <c r="N670" s="41"/>
      <c r="O670" s="41"/>
      <c r="P670" s="41"/>
      <c r="Q670" s="41"/>
      <c r="R670" s="41"/>
      <c r="S670" s="41"/>
      <c r="T670" s="41"/>
      <c r="U670" s="41"/>
      <c r="V670" s="41"/>
      <c r="W670" s="41"/>
      <c r="X670" s="41"/>
      <c r="Y670" s="41"/>
      <c r="Z670" s="41"/>
    </row>
    <row r="671" customFormat="false" ht="14.25" hidden="false" customHeight="true" outlineLevel="0" collapsed="false">
      <c r="A671" s="38"/>
      <c r="B671" s="38"/>
      <c r="C671" s="39"/>
      <c r="D671" s="40"/>
      <c r="E671" s="40"/>
      <c r="F671" s="41"/>
      <c r="G671" s="41"/>
      <c r="H671" s="41"/>
      <c r="I671" s="41"/>
      <c r="J671" s="41"/>
      <c r="K671" s="41"/>
      <c r="L671" s="41"/>
      <c r="M671" s="41"/>
      <c r="N671" s="41"/>
      <c r="O671" s="41"/>
      <c r="P671" s="41"/>
      <c r="Q671" s="41"/>
      <c r="R671" s="41"/>
      <c r="S671" s="41"/>
      <c r="T671" s="41"/>
      <c r="U671" s="41"/>
      <c r="V671" s="41"/>
      <c r="W671" s="41"/>
      <c r="X671" s="41"/>
      <c r="Y671" s="41"/>
      <c r="Z671" s="41"/>
    </row>
    <row r="672" customFormat="false" ht="14.25" hidden="false" customHeight="true" outlineLevel="0" collapsed="false">
      <c r="A672" s="38"/>
      <c r="B672" s="38"/>
      <c r="C672" s="39"/>
      <c r="D672" s="40"/>
      <c r="E672" s="40"/>
      <c r="F672" s="41"/>
      <c r="G672" s="41"/>
      <c r="H672" s="41"/>
      <c r="I672" s="41"/>
      <c r="J672" s="41"/>
      <c r="K672" s="41"/>
      <c r="L672" s="41"/>
      <c r="M672" s="41"/>
      <c r="N672" s="41"/>
      <c r="O672" s="41"/>
      <c r="P672" s="41"/>
      <c r="Q672" s="41"/>
      <c r="R672" s="41"/>
      <c r="S672" s="41"/>
      <c r="T672" s="41"/>
      <c r="U672" s="41"/>
      <c r="V672" s="41"/>
      <c r="W672" s="41"/>
      <c r="X672" s="41"/>
      <c r="Y672" s="41"/>
      <c r="Z672" s="41"/>
    </row>
    <row r="673" customFormat="false" ht="14.25" hidden="false" customHeight="true" outlineLevel="0" collapsed="false">
      <c r="A673" s="38"/>
      <c r="B673" s="38"/>
      <c r="C673" s="39"/>
      <c r="D673" s="40"/>
      <c r="E673" s="40"/>
      <c r="F673" s="41"/>
      <c r="G673" s="41"/>
      <c r="H673" s="41"/>
      <c r="I673" s="41"/>
      <c r="J673" s="41"/>
      <c r="K673" s="41"/>
      <c r="L673" s="41"/>
      <c r="M673" s="41"/>
      <c r="N673" s="41"/>
      <c r="O673" s="41"/>
      <c r="P673" s="41"/>
      <c r="Q673" s="41"/>
      <c r="R673" s="41"/>
      <c r="S673" s="41"/>
      <c r="T673" s="41"/>
      <c r="U673" s="41"/>
      <c r="V673" s="41"/>
      <c r="W673" s="41"/>
      <c r="X673" s="41"/>
      <c r="Y673" s="41"/>
      <c r="Z673" s="41"/>
    </row>
    <row r="674" customFormat="false" ht="14.25" hidden="false" customHeight="true" outlineLevel="0" collapsed="false">
      <c r="A674" s="38"/>
      <c r="B674" s="38"/>
      <c r="C674" s="39"/>
      <c r="D674" s="40"/>
      <c r="E674" s="40"/>
      <c r="F674" s="41"/>
      <c r="G674" s="41"/>
      <c r="H674" s="41"/>
      <c r="I674" s="41"/>
      <c r="J674" s="41"/>
      <c r="K674" s="41"/>
      <c r="L674" s="41"/>
      <c r="M674" s="41"/>
      <c r="N674" s="41"/>
      <c r="O674" s="41"/>
      <c r="P674" s="41"/>
      <c r="Q674" s="41"/>
      <c r="R674" s="41"/>
      <c r="S674" s="41"/>
      <c r="T674" s="41"/>
      <c r="U674" s="41"/>
      <c r="V674" s="41"/>
      <c r="W674" s="41"/>
      <c r="X674" s="41"/>
      <c r="Y674" s="41"/>
      <c r="Z674" s="41"/>
    </row>
    <row r="675" customFormat="false" ht="14.25" hidden="false" customHeight="true" outlineLevel="0" collapsed="false">
      <c r="A675" s="38"/>
      <c r="B675" s="38"/>
      <c r="C675" s="39"/>
      <c r="D675" s="40"/>
      <c r="E675" s="40"/>
      <c r="F675" s="41"/>
      <c r="G675" s="41"/>
      <c r="H675" s="41"/>
      <c r="I675" s="41"/>
      <c r="J675" s="41"/>
      <c r="K675" s="41"/>
      <c r="L675" s="41"/>
      <c r="M675" s="41"/>
      <c r="N675" s="41"/>
      <c r="O675" s="41"/>
      <c r="P675" s="41"/>
      <c r="Q675" s="41"/>
      <c r="R675" s="41"/>
      <c r="S675" s="41"/>
      <c r="T675" s="41"/>
      <c r="U675" s="41"/>
      <c r="V675" s="41"/>
      <c r="W675" s="41"/>
      <c r="X675" s="41"/>
      <c r="Y675" s="41"/>
      <c r="Z675" s="41"/>
    </row>
    <row r="676" customFormat="false" ht="14.25" hidden="false" customHeight="true" outlineLevel="0" collapsed="false">
      <c r="A676" s="38"/>
      <c r="B676" s="38"/>
      <c r="C676" s="39"/>
      <c r="D676" s="40"/>
      <c r="E676" s="40"/>
      <c r="F676" s="41"/>
      <c r="G676" s="41"/>
      <c r="H676" s="41"/>
      <c r="I676" s="41"/>
      <c r="J676" s="41"/>
      <c r="K676" s="41"/>
      <c r="L676" s="41"/>
      <c r="M676" s="41"/>
      <c r="N676" s="41"/>
      <c r="O676" s="41"/>
      <c r="P676" s="41"/>
      <c r="Q676" s="41"/>
      <c r="R676" s="41"/>
      <c r="S676" s="41"/>
      <c r="T676" s="41"/>
      <c r="U676" s="41"/>
      <c r="V676" s="41"/>
      <c r="W676" s="41"/>
      <c r="X676" s="41"/>
      <c r="Y676" s="41"/>
      <c r="Z676" s="41"/>
    </row>
    <row r="677" customFormat="false" ht="14.25" hidden="false" customHeight="true" outlineLevel="0" collapsed="false">
      <c r="A677" s="38"/>
      <c r="B677" s="38"/>
      <c r="C677" s="39"/>
      <c r="D677" s="40"/>
      <c r="E677" s="40"/>
      <c r="F677" s="41"/>
      <c r="G677" s="41"/>
      <c r="H677" s="41"/>
      <c r="I677" s="41"/>
      <c r="J677" s="41"/>
      <c r="K677" s="41"/>
      <c r="L677" s="41"/>
      <c r="M677" s="41"/>
      <c r="N677" s="41"/>
      <c r="O677" s="41"/>
      <c r="P677" s="41"/>
      <c r="Q677" s="41"/>
      <c r="R677" s="41"/>
      <c r="S677" s="41"/>
      <c r="T677" s="41"/>
      <c r="U677" s="41"/>
      <c r="V677" s="41"/>
      <c r="W677" s="41"/>
      <c r="X677" s="41"/>
      <c r="Y677" s="41"/>
      <c r="Z677" s="41"/>
    </row>
    <row r="678" customFormat="false" ht="14.25" hidden="false" customHeight="true" outlineLevel="0" collapsed="false">
      <c r="A678" s="38"/>
      <c r="B678" s="38"/>
      <c r="C678" s="39"/>
      <c r="D678" s="40"/>
      <c r="E678" s="40"/>
      <c r="F678" s="41"/>
      <c r="G678" s="41"/>
      <c r="H678" s="41"/>
      <c r="I678" s="41"/>
      <c r="J678" s="41"/>
      <c r="K678" s="41"/>
      <c r="L678" s="41"/>
      <c r="M678" s="41"/>
      <c r="N678" s="41"/>
      <c r="O678" s="41"/>
      <c r="P678" s="41"/>
      <c r="Q678" s="41"/>
      <c r="R678" s="41"/>
      <c r="S678" s="41"/>
      <c r="T678" s="41"/>
      <c r="U678" s="41"/>
      <c r="V678" s="41"/>
      <c r="W678" s="41"/>
      <c r="X678" s="41"/>
      <c r="Y678" s="41"/>
      <c r="Z678" s="41"/>
    </row>
    <row r="679" customFormat="false" ht="14.25" hidden="false" customHeight="true" outlineLevel="0" collapsed="false">
      <c r="A679" s="38"/>
      <c r="B679" s="38"/>
      <c r="C679" s="39"/>
      <c r="D679" s="40"/>
      <c r="E679" s="40"/>
      <c r="F679" s="41"/>
      <c r="G679" s="41"/>
      <c r="H679" s="41"/>
      <c r="I679" s="41"/>
      <c r="J679" s="41"/>
      <c r="K679" s="41"/>
      <c r="L679" s="41"/>
      <c r="M679" s="41"/>
      <c r="N679" s="41"/>
      <c r="O679" s="41"/>
      <c r="P679" s="41"/>
      <c r="Q679" s="41"/>
      <c r="R679" s="41"/>
      <c r="S679" s="41"/>
      <c r="T679" s="41"/>
      <c r="U679" s="41"/>
      <c r="V679" s="41"/>
      <c r="W679" s="41"/>
      <c r="X679" s="41"/>
      <c r="Y679" s="41"/>
      <c r="Z679" s="41"/>
    </row>
    <row r="680" customFormat="false" ht="14.25" hidden="false" customHeight="true" outlineLevel="0" collapsed="false">
      <c r="A680" s="38"/>
      <c r="B680" s="38"/>
      <c r="C680" s="39"/>
      <c r="D680" s="40"/>
      <c r="E680" s="40"/>
      <c r="F680" s="41"/>
      <c r="G680" s="41"/>
      <c r="H680" s="41"/>
      <c r="I680" s="41"/>
      <c r="J680" s="41"/>
      <c r="K680" s="41"/>
      <c r="L680" s="41"/>
      <c r="M680" s="41"/>
      <c r="N680" s="41"/>
      <c r="O680" s="41"/>
      <c r="P680" s="41"/>
      <c r="Q680" s="41"/>
      <c r="R680" s="41"/>
      <c r="S680" s="41"/>
      <c r="T680" s="41"/>
      <c r="U680" s="41"/>
      <c r="V680" s="41"/>
      <c r="W680" s="41"/>
      <c r="X680" s="41"/>
      <c r="Y680" s="41"/>
      <c r="Z680" s="41"/>
    </row>
    <row r="681" customFormat="false" ht="14.25" hidden="false" customHeight="true" outlineLevel="0" collapsed="false">
      <c r="A681" s="38"/>
      <c r="B681" s="38"/>
      <c r="C681" s="39"/>
      <c r="D681" s="40"/>
      <c r="E681" s="40"/>
      <c r="F681" s="41"/>
      <c r="G681" s="41"/>
      <c r="H681" s="41"/>
      <c r="I681" s="41"/>
      <c r="J681" s="41"/>
      <c r="K681" s="41"/>
      <c r="L681" s="41"/>
      <c r="M681" s="41"/>
      <c r="N681" s="41"/>
      <c r="O681" s="41"/>
      <c r="P681" s="41"/>
      <c r="Q681" s="41"/>
      <c r="R681" s="41"/>
      <c r="S681" s="41"/>
      <c r="T681" s="41"/>
      <c r="U681" s="41"/>
      <c r="V681" s="41"/>
      <c r="W681" s="41"/>
      <c r="X681" s="41"/>
      <c r="Y681" s="41"/>
      <c r="Z681" s="41"/>
    </row>
    <row r="682" customFormat="false" ht="14.25" hidden="false" customHeight="true" outlineLevel="0" collapsed="false">
      <c r="A682" s="38"/>
      <c r="B682" s="38"/>
      <c r="C682" s="39"/>
      <c r="D682" s="40"/>
      <c r="E682" s="40"/>
      <c r="F682" s="41"/>
      <c r="G682" s="41"/>
      <c r="H682" s="41"/>
      <c r="I682" s="41"/>
      <c r="J682" s="41"/>
      <c r="K682" s="41"/>
      <c r="L682" s="41"/>
      <c r="M682" s="41"/>
      <c r="N682" s="41"/>
      <c r="O682" s="41"/>
      <c r="P682" s="41"/>
      <c r="Q682" s="41"/>
      <c r="R682" s="41"/>
      <c r="S682" s="41"/>
      <c r="T682" s="41"/>
      <c r="U682" s="41"/>
      <c r="V682" s="41"/>
      <c r="W682" s="41"/>
      <c r="X682" s="41"/>
      <c r="Y682" s="41"/>
      <c r="Z682" s="41"/>
    </row>
    <row r="683" customFormat="false" ht="14.25" hidden="false" customHeight="true" outlineLevel="0" collapsed="false">
      <c r="A683" s="38"/>
      <c r="B683" s="38"/>
      <c r="C683" s="39"/>
      <c r="D683" s="40"/>
      <c r="E683" s="40"/>
      <c r="F683" s="41"/>
      <c r="G683" s="41"/>
      <c r="H683" s="41"/>
      <c r="I683" s="41"/>
      <c r="J683" s="41"/>
      <c r="K683" s="41"/>
      <c r="L683" s="41"/>
      <c r="M683" s="41"/>
      <c r="N683" s="41"/>
      <c r="O683" s="41"/>
      <c r="P683" s="41"/>
      <c r="Q683" s="41"/>
      <c r="R683" s="41"/>
      <c r="S683" s="41"/>
      <c r="T683" s="41"/>
      <c r="U683" s="41"/>
      <c r="V683" s="41"/>
      <c r="W683" s="41"/>
      <c r="X683" s="41"/>
      <c r="Y683" s="41"/>
      <c r="Z683" s="41"/>
    </row>
    <row r="684" customFormat="false" ht="14.25" hidden="false" customHeight="true" outlineLevel="0" collapsed="false">
      <c r="A684" s="38"/>
      <c r="B684" s="38"/>
      <c r="C684" s="39"/>
      <c r="D684" s="40"/>
      <c r="E684" s="40"/>
      <c r="F684" s="41"/>
      <c r="G684" s="41"/>
      <c r="H684" s="41"/>
      <c r="I684" s="41"/>
      <c r="J684" s="41"/>
      <c r="K684" s="41"/>
      <c r="L684" s="41"/>
      <c r="M684" s="41"/>
      <c r="N684" s="41"/>
      <c r="O684" s="41"/>
      <c r="P684" s="41"/>
      <c r="Q684" s="41"/>
      <c r="R684" s="41"/>
      <c r="S684" s="41"/>
      <c r="T684" s="41"/>
      <c r="U684" s="41"/>
      <c r="V684" s="41"/>
      <c r="W684" s="41"/>
      <c r="X684" s="41"/>
      <c r="Y684" s="41"/>
      <c r="Z684" s="41"/>
    </row>
    <row r="685" customFormat="false" ht="14.25" hidden="false" customHeight="true" outlineLevel="0" collapsed="false">
      <c r="A685" s="38"/>
      <c r="B685" s="38"/>
      <c r="C685" s="39"/>
      <c r="D685" s="40"/>
      <c r="E685" s="40"/>
      <c r="F685" s="41"/>
      <c r="G685" s="41"/>
      <c r="H685" s="41"/>
      <c r="I685" s="41"/>
      <c r="J685" s="41"/>
      <c r="K685" s="41"/>
      <c r="L685" s="41"/>
      <c r="M685" s="41"/>
      <c r="N685" s="41"/>
      <c r="O685" s="41"/>
      <c r="P685" s="41"/>
      <c r="Q685" s="41"/>
      <c r="R685" s="41"/>
      <c r="S685" s="41"/>
      <c r="T685" s="41"/>
      <c r="U685" s="41"/>
      <c r="V685" s="41"/>
      <c r="W685" s="41"/>
      <c r="X685" s="41"/>
      <c r="Y685" s="41"/>
      <c r="Z685" s="41"/>
    </row>
    <row r="686" customFormat="false" ht="14.25" hidden="false" customHeight="true" outlineLevel="0" collapsed="false">
      <c r="A686" s="38"/>
      <c r="B686" s="38"/>
      <c r="C686" s="39"/>
      <c r="D686" s="40"/>
      <c r="E686" s="40"/>
      <c r="F686" s="41"/>
      <c r="G686" s="41"/>
      <c r="H686" s="41"/>
      <c r="I686" s="41"/>
      <c r="J686" s="41"/>
      <c r="K686" s="41"/>
      <c r="L686" s="41"/>
      <c r="M686" s="41"/>
      <c r="N686" s="41"/>
      <c r="O686" s="41"/>
      <c r="P686" s="41"/>
      <c r="Q686" s="41"/>
      <c r="R686" s="41"/>
      <c r="S686" s="41"/>
      <c r="T686" s="41"/>
      <c r="U686" s="41"/>
      <c r="V686" s="41"/>
      <c r="W686" s="41"/>
      <c r="X686" s="41"/>
      <c r="Y686" s="41"/>
      <c r="Z686" s="41"/>
    </row>
    <row r="687" customFormat="false" ht="14.25" hidden="false" customHeight="true" outlineLevel="0" collapsed="false">
      <c r="A687" s="38"/>
      <c r="B687" s="38"/>
      <c r="C687" s="39"/>
      <c r="D687" s="40"/>
      <c r="E687" s="40"/>
      <c r="F687" s="41"/>
      <c r="G687" s="41"/>
      <c r="H687" s="41"/>
      <c r="I687" s="41"/>
      <c r="J687" s="41"/>
      <c r="K687" s="41"/>
      <c r="L687" s="41"/>
      <c r="M687" s="41"/>
      <c r="N687" s="41"/>
      <c r="O687" s="41"/>
      <c r="P687" s="41"/>
      <c r="Q687" s="41"/>
      <c r="R687" s="41"/>
      <c r="S687" s="41"/>
      <c r="T687" s="41"/>
      <c r="U687" s="41"/>
      <c r="V687" s="41"/>
      <c r="W687" s="41"/>
      <c r="X687" s="41"/>
      <c r="Y687" s="41"/>
      <c r="Z687" s="41"/>
    </row>
    <row r="688" customFormat="false" ht="14.25" hidden="false" customHeight="true" outlineLevel="0" collapsed="false">
      <c r="A688" s="38"/>
      <c r="B688" s="38"/>
      <c r="C688" s="39"/>
      <c r="D688" s="40"/>
      <c r="E688" s="40"/>
      <c r="F688" s="41"/>
      <c r="G688" s="41"/>
      <c r="H688" s="41"/>
      <c r="I688" s="41"/>
      <c r="J688" s="41"/>
      <c r="K688" s="41"/>
      <c r="L688" s="41"/>
      <c r="M688" s="41"/>
      <c r="N688" s="41"/>
      <c r="O688" s="41"/>
      <c r="P688" s="41"/>
      <c r="Q688" s="41"/>
      <c r="R688" s="41"/>
      <c r="S688" s="41"/>
      <c r="T688" s="41"/>
      <c r="U688" s="41"/>
      <c r="V688" s="41"/>
      <c r="W688" s="41"/>
      <c r="X688" s="41"/>
      <c r="Y688" s="41"/>
      <c r="Z688" s="41"/>
    </row>
    <row r="689" customFormat="false" ht="14.25" hidden="false" customHeight="true" outlineLevel="0" collapsed="false">
      <c r="A689" s="38"/>
      <c r="B689" s="38"/>
      <c r="C689" s="39"/>
      <c r="D689" s="40"/>
      <c r="E689" s="40"/>
      <c r="F689" s="41"/>
      <c r="G689" s="41"/>
      <c r="H689" s="41"/>
      <c r="I689" s="41"/>
      <c r="J689" s="41"/>
      <c r="K689" s="41"/>
      <c r="L689" s="41"/>
      <c r="M689" s="41"/>
      <c r="N689" s="41"/>
      <c r="O689" s="41"/>
      <c r="P689" s="41"/>
      <c r="Q689" s="41"/>
      <c r="R689" s="41"/>
      <c r="S689" s="41"/>
      <c r="T689" s="41"/>
      <c r="U689" s="41"/>
      <c r="V689" s="41"/>
      <c r="W689" s="41"/>
      <c r="X689" s="41"/>
      <c r="Y689" s="41"/>
      <c r="Z689" s="41"/>
    </row>
    <row r="690" customFormat="false" ht="14.25" hidden="false" customHeight="true" outlineLevel="0" collapsed="false">
      <c r="A690" s="38"/>
      <c r="B690" s="38"/>
      <c r="C690" s="39"/>
      <c r="D690" s="40"/>
      <c r="E690" s="40"/>
      <c r="F690" s="41"/>
      <c r="G690" s="41"/>
      <c r="H690" s="41"/>
      <c r="I690" s="41"/>
      <c r="J690" s="41"/>
      <c r="K690" s="41"/>
      <c r="L690" s="41"/>
      <c r="M690" s="41"/>
      <c r="N690" s="41"/>
      <c r="O690" s="41"/>
      <c r="P690" s="41"/>
      <c r="Q690" s="41"/>
      <c r="R690" s="41"/>
      <c r="S690" s="41"/>
      <c r="T690" s="41"/>
      <c r="U690" s="41"/>
      <c r="V690" s="41"/>
      <c r="W690" s="41"/>
      <c r="X690" s="41"/>
      <c r="Y690" s="41"/>
      <c r="Z690" s="41"/>
    </row>
    <row r="691" customFormat="false" ht="14.25" hidden="false" customHeight="true" outlineLevel="0" collapsed="false">
      <c r="A691" s="38"/>
      <c r="B691" s="38"/>
      <c r="C691" s="39"/>
      <c r="D691" s="40"/>
      <c r="E691" s="40"/>
      <c r="F691" s="41"/>
      <c r="G691" s="41"/>
      <c r="H691" s="41"/>
      <c r="I691" s="41"/>
      <c r="J691" s="41"/>
      <c r="K691" s="41"/>
      <c r="L691" s="41"/>
      <c r="M691" s="41"/>
      <c r="N691" s="41"/>
      <c r="O691" s="41"/>
      <c r="P691" s="41"/>
      <c r="Q691" s="41"/>
      <c r="R691" s="41"/>
      <c r="S691" s="41"/>
      <c r="T691" s="41"/>
      <c r="U691" s="41"/>
      <c r="V691" s="41"/>
      <c r="W691" s="41"/>
      <c r="X691" s="41"/>
      <c r="Y691" s="41"/>
      <c r="Z691" s="41"/>
    </row>
    <row r="692" customFormat="false" ht="14.25" hidden="false" customHeight="true" outlineLevel="0" collapsed="false">
      <c r="A692" s="38"/>
      <c r="B692" s="38"/>
      <c r="C692" s="39"/>
      <c r="D692" s="40"/>
      <c r="E692" s="40"/>
      <c r="F692" s="41"/>
      <c r="G692" s="41"/>
      <c r="H692" s="41"/>
      <c r="I692" s="41"/>
      <c r="J692" s="41"/>
      <c r="K692" s="41"/>
      <c r="L692" s="41"/>
      <c r="M692" s="41"/>
      <c r="N692" s="41"/>
      <c r="O692" s="41"/>
      <c r="P692" s="41"/>
      <c r="Q692" s="41"/>
      <c r="R692" s="41"/>
      <c r="S692" s="41"/>
      <c r="T692" s="41"/>
      <c r="U692" s="41"/>
      <c r="V692" s="41"/>
      <c r="W692" s="41"/>
      <c r="X692" s="41"/>
      <c r="Y692" s="41"/>
      <c r="Z692" s="41"/>
    </row>
    <row r="693" customFormat="false" ht="14.25" hidden="false" customHeight="true" outlineLevel="0" collapsed="false">
      <c r="A693" s="38"/>
      <c r="B693" s="38"/>
      <c r="C693" s="39"/>
      <c r="D693" s="40"/>
      <c r="E693" s="40"/>
      <c r="F693" s="41"/>
      <c r="G693" s="41"/>
      <c r="H693" s="41"/>
      <c r="I693" s="41"/>
      <c r="J693" s="41"/>
      <c r="K693" s="41"/>
      <c r="L693" s="41"/>
      <c r="M693" s="41"/>
      <c r="N693" s="41"/>
      <c r="O693" s="41"/>
      <c r="P693" s="41"/>
      <c r="Q693" s="41"/>
      <c r="R693" s="41"/>
      <c r="S693" s="41"/>
      <c r="T693" s="41"/>
      <c r="U693" s="41"/>
      <c r="V693" s="41"/>
      <c r="W693" s="41"/>
      <c r="X693" s="41"/>
      <c r="Y693" s="41"/>
      <c r="Z693" s="41"/>
    </row>
    <row r="694" customFormat="false" ht="14.25" hidden="false" customHeight="true" outlineLevel="0" collapsed="false">
      <c r="A694" s="38"/>
      <c r="B694" s="38"/>
      <c r="C694" s="39"/>
      <c r="D694" s="40"/>
      <c r="E694" s="40"/>
      <c r="F694" s="41"/>
      <c r="G694" s="41"/>
      <c r="H694" s="41"/>
      <c r="I694" s="41"/>
      <c r="J694" s="41"/>
      <c r="K694" s="41"/>
      <c r="L694" s="41"/>
      <c r="M694" s="41"/>
      <c r="N694" s="41"/>
      <c r="O694" s="41"/>
      <c r="P694" s="41"/>
      <c r="Q694" s="41"/>
      <c r="R694" s="41"/>
      <c r="S694" s="41"/>
      <c r="T694" s="41"/>
      <c r="U694" s="41"/>
      <c r="V694" s="41"/>
      <c r="W694" s="41"/>
      <c r="X694" s="41"/>
      <c r="Y694" s="41"/>
      <c r="Z694" s="41"/>
    </row>
    <row r="695" customFormat="false" ht="14.25" hidden="false" customHeight="true" outlineLevel="0" collapsed="false">
      <c r="A695" s="38"/>
      <c r="B695" s="38"/>
      <c r="C695" s="39"/>
      <c r="D695" s="40"/>
      <c r="E695" s="40"/>
      <c r="F695" s="41"/>
      <c r="G695" s="41"/>
      <c r="H695" s="41"/>
      <c r="I695" s="41"/>
      <c r="J695" s="41"/>
      <c r="K695" s="41"/>
      <c r="L695" s="41"/>
      <c r="M695" s="41"/>
      <c r="N695" s="41"/>
      <c r="O695" s="41"/>
      <c r="P695" s="41"/>
      <c r="Q695" s="41"/>
      <c r="R695" s="41"/>
      <c r="S695" s="41"/>
      <c r="T695" s="41"/>
      <c r="U695" s="41"/>
      <c r="V695" s="41"/>
      <c r="W695" s="41"/>
      <c r="X695" s="41"/>
      <c r="Y695" s="41"/>
      <c r="Z695" s="41"/>
    </row>
    <row r="696" customFormat="false" ht="14.25" hidden="false" customHeight="true" outlineLevel="0" collapsed="false">
      <c r="A696" s="38"/>
      <c r="B696" s="38"/>
      <c r="C696" s="39"/>
      <c r="D696" s="40"/>
      <c r="E696" s="40"/>
      <c r="F696" s="41"/>
      <c r="G696" s="41"/>
      <c r="H696" s="41"/>
      <c r="I696" s="41"/>
      <c r="J696" s="41"/>
      <c r="K696" s="41"/>
      <c r="L696" s="41"/>
      <c r="M696" s="41"/>
      <c r="N696" s="41"/>
      <c r="O696" s="41"/>
      <c r="P696" s="41"/>
      <c r="Q696" s="41"/>
      <c r="R696" s="41"/>
      <c r="S696" s="41"/>
      <c r="T696" s="41"/>
      <c r="U696" s="41"/>
      <c r="V696" s="41"/>
      <c r="W696" s="41"/>
      <c r="X696" s="41"/>
      <c r="Y696" s="41"/>
      <c r="Z696" s="41"/>
    </row>
    <row r="697" customFormat="false" ht="14.25" hidden="false" customHeight="true" outlineLevel="0" collapsed="false">
      <c r="A697" s="38"/>
      <c r="B697" s="38"/>
      <c r="C697" s="39"/>
      <c r="D697" s="40"/>
      <c r="E697" s="40"/>
      <c r="F697" s="41"/>
      <c r="G697" s="41"/>
      <c r="H697" s="41"/>
      <c r="I697" s="41"/>
      <c r="J697" s="41"/>
      <c r="K697" s="41"/>
      <c r="L697" s="41"/>
      <c r="M697" s="41"/>
      <c r="N697" s="41"/>
      <c r="O697" s="41"/>
      <c r="P697" s="41"/>
      <c r="Q697" s="41"/>
      <c r="R697" s="41"/>
      <c r="S697" s="41"/>
      <c r="T697" s="41"/>
      <c r="U697" s="41"/>
      <c r="V697" s="41"/>
      <c r="W697" s="41"/>
      <c r="X697" s="41"/>
      <c r="Y697" s="41"/>
      <c r="Z697" s="41"/>
    </row>
    <row r="698" customFormat="false" ht="14.25" hidden="false" customHeight="true" outlineLevel="0" collapsed="false">
      <c r="A698" s="38"/>
      <c r="B698" s="38"/>
      <c r="C698" s="39"/>
      <c r="D698" s="40"/>
      <c r="E698" s="40"/>
      <c r="F698" s="41"/>
      <c r="G698" s="41"/>
      <c r="H698" s="41"/>
      <c r="I698" s="41"/>
      <c r="J698" s="41"/>
      <c r="K698" s="41"/>
      <c r="L698" s="41"/>
      <c r="M698" s="41"/>
      <c r="N698" s="41"/>
      <c r="O698" s="41"/>
      <c r="P698" s="41"/>
      <c r="Q698" s="41"/>
      <c r="R698" s="41"/>
      <c r="S698" s="41"/>
      <c r="T698" s="41"/>
      <c r="U698" s="41"/>
      <c r="V698" s="41"/>
      <c r="W698" s="41"/>
      <c r="X698" s="41"/>
      <c r="Y698" s="41"/>
      <c r="Z698" s="41"/>
    </row>
    <row r="699" customFormat="false" ht="14.25" hidden="false" customHeight="true" outlineLevel="0" collapsed="false">
      <c r="A699" s="38"/>
      <c r="B699" s="38"/>
      <c r="C699" s="39"/>
      <c r="D699" s="40"/>
      <c r="E699" s="40"/>
      <c r="F699" s="41"/>
      <c r="G699" s="41"/>
      <c r="H699" s="41"/>
      <c r="I699" s="41"/>
      <c r="J699" s="41"/>
      <c r="K699" s="41"/>
      <c r="L699" s="41"/>
      <c r="M699" s="41"/>
      <c r="N699" s="41"/>
      <c r="O699" s="41"/>
      <c r="P699" s="41"/>
      <c r="Q699" s="41"/>
      <c r="R699" s="41"/>
      <c r="S699" s="41"/>
      <c r="T699" s="41"/>
      <c r="U699" s="41"/>
      <c r="V699" s="41"/>
      <c r="W699" s="41"/>
      <c r="X699" s="41"/>
      <c r="Y699" s="41"/>
      <c r="Z699" s="41"/>
    </row>
    <row r="700" customFormat="false" ht="14.25" hidden="false" customHeight="true" outlineLevel="0" collapsed="false">
      <c r="A700" s="38"/>
      <c r="B700" s="38"/>
      <c r="C700" s="39"/>
      <c r="D700" s="40"/>
      <c r="E700" s="40"/>
      <c r="F700" s="41"/>
      <c r="G700" s="41"/>
      <c r="H700" s="41"/>
      <c r="I700" s="41"/>
      <c r="J700" s="41"/>
      <c r="K700" s="41"/>
      <c r="L700" s="41"/>
      <c r="M700" s="41"/>
      <c r="N700" s="41"/>
      <c r="O700" s="41"/>
      <c r="P700" s="41"/>
      <c r="Q700" s="41"/>
      <c r="R700" s="41"/>
      <c r="S700" s="41"/>
      <c r="T700" s="41"/>
      <c r="U700" s="41"/>
      <c r="V700" s="41"/>
      <c r="W700" s="41"/>
      <c r="X700" s="41"/>
      <c r="Y700" s="41"/>
      <c r="Z700" s="41"/>
    </row>
    <row r="701" customFormat="false" ht="14.25" hidden="false" customHeight="true" outlineLevel="0" collapsed="false">
      <c r="A701" s="38"/>
      <c r="B701" s="38"/>
      <c r="C701" s="39"/>
      <c r="D701" s="40"/>
      <c r="E701" s="40"/>
      <c r="F701" s="41"/>
      <c r="G701" s="41"/>
      <c r="H701" s="41"/>
      <c r="I701" s="41"/>
      <c r="J701" s="41"/>
      <c r="K701" s="41"/>
      <c r="L701" s="41"/>
      <c r="M701" s="41"/>
      <c r="N701" s="41"/>
      <c r="O701" s="41"/>
      <c r="P701" s="41"/>
      <c r="Q701" s="41"/>
      <c r="R701" s="41"/>
      <c r="S701" s="41"/>
      <c r="T701" s="41"/>
      <c r="U701" s="41"/>
      <c r="V701" s="41"/>
      <c r="W701" s="41"/>
      <c r="X701" s="41"/>
      <c r="Y701" s="41"/>
      <c r="Z701" s="41"/>
    </row>
    <row r="702" customFormat="false" ht="14.25" hidden="false" customHeight="true" outlineLevel="0" collapsed="false">
      <c r="A702" s="38"/>
      <c r="B702" s="38"/>
      <c r="C702" s="39"/>
      <c r="D702" s="40"/>
      <c r="E702" s="40"/>
      <c r="F702" s="41"/>
      <c r="G702" s="41"/>
      <c r="H702" s="41"/>
      <c r="I702" s="41"/>
      <c r="J702" s="41"/>
      <c r="K702" s="41"/>
      <c r="L702" s="41"/>
      <c r="M702" s="41"/>
      <c r="N702" s="41"/>
      <c r="O702" s="41"/>
      <c r="P702" s="41"/>
      <c r="Q702" s="41"/>
      <c r="R702" s="41"/>
      <c r="S702" s="41"/>
      <c r="T702" s="41"/>
      <c r="U702" s="41"/>
      <c r="V702" s="41"/>
      <c r="W702" s="41"/>
      <c r="X702" s="41"/>
      <c r="Y702" s="41"/>
      <c r="Z702" s="41"/>
    </row>
    <row r="703" customFormat="false" ht="14.25" hidden="false" customHeight="true" outlineLevel="0" collapsed="false">
      <c r="A703" s="38"/>
      <c r="B703" s="38"/>
      <c r="C703" s="39"/>
      <c r="D703" s="40"/>
      <c r="E703" s="40"/>
      <c r="F703" s="41"/>
      <c r="G703" s="41"/>
      <c r="H703" s="41"/>
      <c r="I703" s="41"/>
      <c r="J703" s="41"/>
      <c r="K703" s="41"/>
      <c r="L703" s="41"/>
      <c r="M703" s="41"/>
      <c r="N703" s="41"/>
      <c r="O703" s="41"/>
      <c r="P703" s="41"/>
      <c r="Q703" s="41"/>
      <c r="R703" s="41"/>
      <c r="S703" s="41"/>
      <c r="T703" s="41"/>
      <c r="U703" s="41"/>
      <c r="V703" s="41"/>
      <c r="W703" s="41"/>
      <c r="X703" s="41"/>
      <c r="Y703" s="41"/>
      <c r="Z703" s="41"/>
    </row>
    <row r="704" customFormat="false" ht="14.25" hidden="false" customHeight="true" outlineLevel="0" collapsed="false">
      <c r="A704" s="38"/>
      <c r="B704" s="38"/>
      <c r="C704" s="39"/>
      <c r="D704" s="40"/>
      <c r="E704" s="40"/>
      <c r="F704" s="41"/>
      <c r="G704" s="41"/>
      <c r="H704" s="41"/>
      <c r="I704" s="41"/>
      <c r="J704" s="41"/>
      <c r="K704" s="41"/>
      <c r="L704" s="41"/>
      <c r="M704" s="41"/>
      <c r="N704" s="41"/>
      <c r="O704" s="41"/>
      <c r="P704" s="41"/>
      <c r="Q704" s="41"/>
      <c r="R704" s="41"/>
      <c r="S704" s="41"/>
      <c r="T704" s="41"/>
      <c r="U704" s="41"/>
      <c r="V704" s="41"/>
      <c r="W704" s="41"/>
      <c r="X704" s="41"/>
      <c r="Y704" s="41"/>
      <c r="Z704" s="41"/>
    </row>
    <row r="705" customFormat="false" ht="14.25" hidden="false" customHeight="true" outlineLevel="0" collapsed="false">
      <c r="A705" s="38"/>
      <c r="B705" s="38"/>
      <c r="C705" s="39"/>
      <c r="D705" s="40"/>
      <c r="E705" s="40"/>
      <c r="F705" s="41"/>
      <c r="G705" s="41"/>
      <c r="H705" s="41"/>
      <c r="I705" s="41"/>
      <c r="J705" s="41"/>
      <c r="K705" s="41"/>
      <c r="L705" s="41"/>
      <c r="M705" s="41"/>
      <c r="N705" s="41"/>
      <c r="O705" s="41"/>
      <c r="P705" s="41"/>
      <c r="Q705" s="41"/>
      <c r="R705" s="41"/>
      <c r="S705" s="41"/>
      <c r="T705" s="41"/>
      <c r="U705" s="41"/>
      <c r="V705" s="41"/>
      <c r="W705" s="41"/>
      <c r="X705" s="41"/>
      <c r="Y705" s="41"/>
      <c r="Z705" s="41"/>
    </row>
    <row r="706" customFormat="false" ht="14.25" hidden="false" customHeight="true" outlineLevel="0" collapsed="false">
      <c r="A706" s="38"/>
      <c r="B706" s="38"/>
      <c r="C706" s="39"/>
      <c r="D706" s="40"/>
      <c r="E706" s="40"/>
      <c r="F706" s="41"/>
      <c r="G706" s="41"/>
      <c r="H706" s="41"/>
      <c r="I706" s="41"/>
      <c r="J706" s="41"/>
      <c r="K706" s="41"/>
      <c r="L706" s="41"/>
      <c r="M706" s="41"/>
      <c r="N706" s="41"/>
      <c r="O706" s="41"/>
      <c r="P706" s="41"/>
      <c r="Q706" s="41"/>
      <c r="R706" s="41"/>
      <c r="S706" s="41"/>
      <c r="T706" s="41"/>
      <c r="U706" s="41"/>
      <c r="V706" s="41"/>
      <c r="W706" s="41"/>
      <c r="X706" s="41"/>
      <c r="Y706" s="41"/>
      <c r="Z706" s="41"/>
    </row>
    <row r="707" customFormat="false" ht="14.25" hidden="false" customHeight="true" outlineLevel="0" collapsed="false">
      <c r="A707" s="38"/>
      <c r="B707" s="38"/>
      <c r="C707" s="39"/>
      <c r="D707" s="40"/>
      <c r="E707" s="40"/>
      <c r="F707" s="41"/>
      <c r="G707" s="41"/>
      <c r="H707" s="41"/>
      <c r="I707" s="41"/>
      <c r="J707" s="41"/>
      <c r="K707" s="41"/>
      <c r="L707" s="41"/>
      <c r="M707" s="41"/>
      <c r="N707" s="41"/>
      <c r="O707" s="41"/>
      <c r="P707" s="41"/>
      <c r="Q707" s="41"/>
      <c r="R707" s="41"/>
      <c r="S707" s="41"/>
      <c r="T707" s="41"/>
      <c r="U707" s="41"/>
      <c r="V707" s="41"/>
      <c r="W707" s="41"/>
      <c r="X707" s="41"/>
      <c r="Y707" s="41"/>
      <c r="Z707" s="41"/>
    </row>
    <row r="708" customFormat="false" ht="14.25" hidden="false" customHeight="true" outlineLevel="0" collapsed="false">
      <c r="A708" s="38"/>
      <c r="B708" s="38"/>
      <c r="C708" s="39"/>
      <c r="D708" s="40"/>
      <c r="E708" s="40"/>
      <c r="F708" s="41"/>
      <c r="G708" s="41"/>
      <c r="H708" s="41"/>
      <c r="I708" s="41"/>
      <c r="J708" s="41"/>
      <c r="K708" s="41"/>
      <c r="L708" s="41"/>
      <c r="M708" s="41"/>
      <c r="N708" s="41"/>
      <c r="O708" s="41"/>
      <c r="P708" s="41"/>
      <c r="Q708" s="41"/>
      <c r="R708" s="41"/>
      <c r="S708" s="41"/>
      <c r="T708" s="41"/>
      <c r="U708" s="41"/>
      <c r="V708" s="41"/>
      <c r="W708" s="41"/>
      <c r="X708" s="41"/>
      <c r="Y708" s="41"/>
      <c r="Z708" s="41"/>
    </row>
    <row r="709" customFormat="false" ht="14.25" hidden="false" customHeight="true" outlineLevel="0" collapsed="false">
      <c r="A709" s="38"/>
      <c r="B709" s="38"/>
      <c r="C709" s="39"/>
      <c r="D709" s="40"/>
      <c r="E709" s="40"/>
      <c r="F709" s="41"/>
      <c r="G709" s="41"/>
      <c r="H709" s="41"/>
      <c r="I709" s="41"/>
      <c r="J709" s="41"/>
      <c r="K709" s="41"/>
      <c r="L709" s="41"/>
      <c r="M709" s="41"/>
      <c r="N709" s="41"/>
      <c r="O709" s="41"/>
      <c r="P709" s="41"/>
      <c r="Q709" s="41"/>
      <c r="R709" s="41"/>
      <c r="S709" s="41"/>
      <c r="T709" s="41"/>
      <c r="U709" s="41"/>
      <c r="V709" s="41"/>
      <c r="W709" s="41"/>
      <c r="X709" s="41"/>
      <c r="Y709" s="41"/>
      <c r="Z709" s="41"/>
    </row>
    <row r="710" customFormat="false" ht="14.25" hidden="false" customHeight="true" outlineLevel="0" collapsed="false">
      <c r="A710" s="38"/>
      <c r="B710" s="38"/>
      <c r="C710" s="39"/>
      <c r="D710" s="40"/>
      <c r="E710" s="40"/>
      <c r="F710" s="41"/>
      <c r="G710" s="41"/>
      <c r="H710" s="41"/>
      <c r="I710" s="41"/>
      <c r="J710" s="41"/>
      <c r="K710" s="41"/>
      <c r="L710" s="41"/>
      <c r="M710" s="41"/>
      <c r="N710" s="41"/>
      <c r="O710" s="41"/>
      <c r="P710" s="41"/>
      <c r="Q710" s="41"/>
      <c r="R710" s="41"/>
      <c r="S710" s="41"/>
      <c r="T710" s="41"/>
      <c r="U710" s="41"/>
      <c r="V710" s="41"/>
      <c r="W710" s="41"/>
      <c r="X710" s="41"/>
      <c r="Y710" s="41"/>
      <c r="Z710" s="41"/>
    </row>
    <row r="711" customFormat="false" ht="14.25" hidden="false" customHeight="true" outlineLevel="0" collapsed="false">
      <c r="A711" s="38"/>
      <c r="B711" s="38"/>
      <c r="C711" s="39"/>
      <c r="D711" s="40"/>
      <c r="E711" s="40"/>
      <c r="F711" s="41"/>
      <c r="G711" s="41"/>
      <c r="H711" s="41"/>
      <c r="I711" s="41"/>
      <c r="J711" s="41"/>
      <c r="K711" s="41"/>
      <c r="L711" s="41"/>
      <c r="M711" s="41"/>
      <c r="N711" s="41"/>
      <c r="O711" s="41"/>
      <c r="P711" s="41"/>
      <c r="Q711" s="41"/>
      <c r="R711" s="41"/>
      <c r="S711" s="41"/>
      <c r="T711" s="41"/>
      <c r="U711" s="41"/>
      <c r="V711" s="41"/>
      <c r="W711" s="41"/>
      <c r="X711" s="41"/>
      <c r="Y711" s="41"/>
      <c r="Z711" s="41"/>
    </row>
    <row r="712" customFormat="false" ht="14.25" hidden="false" customHeight="true" outlineLevel="0" collapsed="false">
      <c r="A712" s="38"/>
      <c r="B712" s="38"/>
      <c r="C712" s="39"/>
      <c r="D712" s="40"/>
      <c r="E712" s="40"/>
      <c r="F712" s="41"/>
      <c r="G712" s="41"/>
      <c r="H712" s="41"/>
      <c r="I712" s="41"/>
      <c r="J712" s="41"/>
      <c r="K712" s="41"/>
      <c r="L712" s="41"/>
      <c r="M712" s="41"/>
      <c r="N712" s="41"/>
      <c r="O712" s="41"/>
      <c r="P712" s="41"/>
      <c r="Q712" s="41"/>
      <c r="R712" s="41"/>
      <c r="S712" s="41"/>
      <c r="T712" s="41"/>
      <c r="U712" s="41"/>
      <c r="V712" s="41"/>
      <c r="W712" s="41"/>
      <c r="X712" s="41"/>
      <c r="Y712" s="41"/>
      <c r="Z712" s="41"/>
    </row>
    <row r="713" customFormat="false" ht="14.25" hidden="false" customHeight="true" outlineLevel="0" collapsed="false">
      <c r="A713" s="38"/>
      <c r="B713" s="38"/>
      <c r="C713" s="39"/>
      <c r="D713" s="40"/>
      <c r="E713" s="40"/>
      <c r="F713" s="41"/>
      <c r="G713" s="41"/>
      <c r="H713" s="41"/>
      <c r="I713" s="41"/>
      <c r="J713" s="41"/>
      <c r="K713" s="41"/>
      <c r="L713" s="41"/>
      <c r="M713" s="41"/>
      <c r="N713" s="41"/>
      <c r="O713" s="41"/>
      <c r="P713" s="41"/>
      <c r="Q713" s="41"/>
      <c r="R713" s="41"/>
      <c r="S713" s="41"/>
      <c r="T713" s="41"/>
      <c r="U713" s="41"/>
      <c r="V713" s="41"/>
      <c r="W713" s="41"/>
      <c r="X713" s="41"/>
      <c r="Y713" s="41"/>
      <c r="Z713" s="41"/>
    </row>
    <row r="714" customFormat="false" ht="14.25" hidden="false" customHeight="true" outlineLevel="0" collapsed="false">
      <c r="A714" s="38"/>
      <c r="B714" s="38"/>
      <c r="C714" s="39"/>
      <c r="D714" s="40"/>
      <c r="E714" s="40"/>
      <c r="F714" s="41"/>
      <c r="G714" s="41"/>
      <c r="H714" s="41"/>
      <c r="I714" s="41"/>
      <c r="J714" s="41"/>
      <c r="K714" s="41"/>
      <c r="L714" s="41"/>
      <c r="M714" s="41"/>
      <c r="N714" s="41"/>
      <c r="O714" s="41"/>
      <c r="P714" s="41"/>
      <c r="Q714" s="41"/>
      <c r="R714" s="41"/>
      <c r="S714" s="41"/>
      <c r="T714" s="41"/>
      <c r="U714" s="41"/>
      <c r="V714" s="41"/>
      <c r="W714" s="41"/>
      <c r="X714" s="41"/>
      <c r="Y714" s="41"/>
      <c r="Z714" s="41"/>
    </row>
    <row r="715" customFormat="false" ht="14.25" hidden="false" customHeight="true" outlineLevel="0" collapsed="false">
      <c r="A715" s="38"/>
      <c r="B715" s="38"/>
      <c r="C715" s="39"/>
      <c r="D715" s="40"/>
      <c r="E715" s="40"/>
      <c r="F715" s="41"/>
      <c r="G715" s="41"/>
      <c r="H715" s="41"/>
      <c r="I715" s="41"/>
      <c r="J715" s="41"/>
      <c r="K715" s="41"/>
      <c r="L715" s="41"/>
      <c r="M715" s="41"/>
      <c r="N715" s="41"/>
      <c r="O715" s="41"/>
      <c r="P715" s="41"/>
      <c r="Q715" s="41"/>
      <c r="R715" s="41"/>
      <c r="S715" s="41"/>
      <c r="T715" s="41"/>
      <c r="U715" s="41"/>
      <c r="V715" s="41"/>
      <c r="W715" s="41"/>
      <c r="X715" s="41"/>
      <c r="Y715" s="41"/>
      <c r="Z715" s="41"/>
    </row>
    <row r="716" customFormat="false" ht="14.25" hidden="false" customHeight="true" outlineLevel="0" collapsed="false">
      <c r="A716" s="38"/>
      <c r="B716" s="38"/>
      <c r="C716" s="39"/>
      <c r="D716" s="40"/>
      <c r="E716" s="40"/>
      <c r="F716" s="41"/>
      <c r="G716" s="41"/>
      <c r="H716" s="41"/>
      <c r="I716" s="41"/>
      <c r="J716" s="41"/>
      <c r="K716" s="41"/>
      <c r="L716" s="41"/>
      <c r="M716" s="41"/>
      <c r="N716" s="41"/>
      <c r="O716" s="41"/>
      <c r="P716" s="41"/>
      <c r="Q716" s="41"/>
      <c r="R716" s="41"/>
      <c r="S716" s="41"/>
      <c r="T716" s="41"/>
      <c r="U716" s="41"/>
      <c r="V716" s="41"/>
      <c r="W716" s="41"/>
      <c r="X716" s="41"/>
      <c r="Y716" s="41"/>
      <c r="Z716" s="41"/>
    </row>
    <row r="717" customFormat="false" ht="14.25" hidden="false" customHeight="true" outlineLevel="0" collapsed="false">
      <c r="A717" s="38"/>
      <c r="B717" s="38"/>
      <c r="C717" s="39"/>
      <c r="D717" s="40"/>
      <c r="E717" s="40"/>
      <c r="F717" s="41"/>
      <c r="G717" s="41"/>
      <c r="H717" s="41"/>
      <c r="I717" s="41"/>
      <c r="J717" s="41"/>
      <c r="K717" s="41"/>
      <c r="L717" s="41"/>
      <c r="M717" s="41"/>
      <c r="N717" s="41"/>
      <c r="O717" s="41"/>
      <c r="P717" s="41"/>
      <c r="Q717" s="41"/>
      <c r="R717" s="41"/>
      <c r="S717" s="41"/>
      <c r="T717" s="41"/>
      <c r="U717" s="41"/>
      <c r="V717" s="41"/>
      <c r="W717" s="41"/>
      <c r="X717" s="41"/>
      <c r="Y717" s="41"/>
      <c r="Z717" s="41"/>
    </row>
    <row r="718" customFormat="false" ht="14.25" hidden="false" customHeight="true" outlineLevel="0" collapsed="false">
      <c r="A718" s="38"/>
      <c r="B718" s="38"/>
      <c r="C718" s="39"/>
      <c r="D718" s="40"/>
      <c r="E718" s="40"/>
      <c r="F718" s="41"/>
      <c r="G718" s="41"/>
      <c r="H718" s="41"/>
      <c r="I718" s="41"/>
      <c r="J718" s="41"/>
      <c r="K718" s="41"/>
      <c r="L718" s="41"/>
      <c r="M718" s="41"/>
      <c r="N718" s="41"/>
      <c r="O718" s="41"/>
      <c r="P718" s="41"/>
      <c r="Q718" s="41"/>
      <c r="R718" s="41"/>
      <c r="S718" s="41"/>
      <c r="T718" s="41"/>
      <c r="U718" s="41"/>
      <c r="V718" s="41"/>
      <c r="W718" s="41"/>
      <c r="X718" s="41"/>
      <c r="Y718" s="41"/>
      <c r="Z718" s="41"/>
    </row>
    <row r="719" customFormat="false" ht="14.25" hidden="false" customHeight="true" outlineLevel="0" collapsed="false">
      <c r="A719" s="38"/>
      <c r="B719" s="38"/>
      <c r="C719" s="39"/>
      <c r="D719" s="40"/>
      <c r="E719" s="40"/>
      <c r="F719" s="41"/>
      <c r="G719" s="41"/>
      <c r="H719" s="41"/>
      <c r="I719" s="41"/>
      <c r="J719" s="41"/>
      <c r="K719" s="41"/>
      <c r="L719" s="41"/>
      <c r="M719" s="41"/>
      <c r="N719" s="41"/>
      <c r="O719" s="41"/>
      <c r="P719" s="41"/>
      <c r="Q719" s="41"/>
      <c r="R719" s="41"/>
      <c r="S719" s="41"/>
      <c r="T719" s="41"/>
      <c r="U719" s="41"/>
      <c r="V719" s="41"/>
      <c r="W719" s="41"/>
      <c r="X719" s="41"/>
      <c r="Y719" s="41"/>
      <c r="Z719" s="41"/>
    </row>
    <row r="720" customFormat="false" ht="14.25" hidden="false" customHeight="true" outlineLevel="0" collapsed="false">
      <c r="A720" s="38"/>
      <c r="B720" s="38"/>
      <c r="C720" s="39"/>
      <c r="D720" s="40"/>
      <c r="E720" s="40"/>
      <c r="F720" s="41"/>
      <c r="G720" s="41"/>
      <c r="H720" s="41"/>
      <c r="I720" s="41"/>
      <c r="J720" s="41"/>
      <c r="K720" s="41"/>
      <c r="L720" s="41"/>
      <c r="M720" s="41"/>
      <c r="N720" s="41"/>
      <c r="O720" s="41"/>
      <c r="P720" s="41"/>
      <c r="Q720" s="41"/>
      <c r="R720" s="41"/>
      <c r="S720" s="41"/>
      <c r="T720" s="41"/>
      <c r="U720" s="41"/>
      <c r="V720" s="41"/>
      <c r="W720" s="41"/>
      <c r="X720" s="41"/>
      <c r="Y720" s="41"/>
      <c r="Z720" s="41"/>
    </row>
    <row r="721" customFormat="false" ht="14.25" hidden="false" customHeight="true" outlineLevel="0" collapsed="false">
      <c r="A721" s="38"/>
      <c r="B721" s="38"/>
      <c r="C721" s="39"/>
      <c r="D721" s="40"/>
      <c r="E721" s="40"/>
      <c r="F721" s="41"/>
      <c r="G721" s="41"/>
      <c r="H721" s="41"/>
      <c r="I721" s="41"/>
      <c r="J721" s="41"/>
      <c r="K721" s="41"/>
      <c r="L721" s="41"/>
      <c r="M721" s="41"/>
      <c r="N721" s="41"/>
      <c r="O721" s="41"/>
      <c r="P721" s="41"/>
      <c r="Q721" s="41"/>
      <c r="R721" s="41"/>
      <c r="S721" s="41"/>
      <c r="T721" s="41"/>
      <c r="U721" s="41"/>
      <c r="V721" s="41"/>
      <c r="W721" s="41"/>
      <c r="X721" s="41"/>
      <c r="Y721" s="41"/>
      <c r="Z721" s="41"/>
    </row>
    <row r="722" customFormat="false" ht="14.25" hidden="false" customHeight="true" outlineLevel="0" collapsed="false">
      <c r="A722" s="38"/>
      <c r="B722" s="38"/>
      <c r="C722" s="39"/>
      <c r="D722" s="40"/>
      <c r="E722" s="40"/>
      <c r="F722" s="41"/>
      <c r="G722" s="41"/>
      <c r="H722" s="41"/>
      <c r="I722" s="41"/>
      <c r="J722" s="41"/>
      <c r="K722" s="41"/>
      <c r="L722" s="41"/>
      <c r="M722" s="41"/>
      <c r="N722" s="41"/>
      <c r="O722" s="41"/>
      <c r="P722" s="41"/>
      <c r="Q722" s="41"/>
      <c r="R722" s="41"/>
      <c r="S722" s="41"/>
      <c r="T722" s="41"/>
      <c r="U722" s="41"/>
      <c r="V722" s="41"/>
      <c r="W722" s="41"/>
      <c r="X722" s="41"/>
      <c r="Y722" s="41"/>
      <c r="Z722" s="41"/>
    </row>
    <row r="723" customFormat="false" ht="14.25" hidden="false" customHeight="true" outlineLevel="0" collapsed="false">
      <c r="A723" s="38"/>
      <c r="B723" s="38"/>
      <c r="C723" s="39"/>
      <c r="D723" s="40"/>
      <c r="E723" s="40"/>
      <c r="F723" s="41"/>
      <c r="G723" s="41"/>
      <c r="H723" s="41"/>
      <c r="I723" s="41"/>
      <c r="J723" s="41"/>
      <c r="K723" s="41"/>
      <c r="L723" s="41"/>
      <c r="M723" s="41"/>
      <c r="N723" s="41"/>
      <c r="O723" s="41"/>
      <c r="P723" s="41"/>
      <c r="Q723" s="41"/>
      <c r="R723" s="41"/>
      <c r="S723" s="41"/>
      <c r="T723" s="41"/>
      <c r="U723" s="41"/>
      <c r="V723" s="41"/>
      <c r="W723" s="41"/>
      <c r="X723" s="41"/>
      <c r="Y723" s="41"/>
      <c r="Z723" s="41"/>
    </row>
    <row r="724" customFormat="false" ht="14.25" hidden="false" customHeight="true" outlineLevel="0" collapsed="false">
      <c r="A724" s="38"/>
      <c r="B724" s="38"/>
      <c r="C724" s="39"/>
      <c r="D724" s="40"/>
      <c r="E724" s="40"/>
      <c r="F724" s="41"/>
      <c r="G724" s="41"/>
      <c r="H724" s="41"/>
      <c r="I724" s="41"/>
      <c r="J724" s="41"/>
      <c r="K724" s="41"/>
      <c r="L724" s="41"/>
      <c r="M724" s="41"/>
      <c r="N724" s="41"/>
      <c r="O724" s="41"/>
      <c r="P724" s="41"/>
      <c r="Q724" s="41"/>
      <c r="R724" s="41"/>
      <c r="S724" s="41"/>
      <c r="T724" s="41"/>
      <c r="U724" s="41"/>
      <c r="V724" s="41"/>
      <c r="W724" s="41"/>
      <c r="X724" s="41"/>
      <c r="Y724" s="41"/>
      <c r="Z724" s="41"/>
    </row>
    <row r="725" customFormat="false" ht="14.25" hidden="false" customHeight="true" outlineLevel="0" collapsed="false">
      <c r="A725" s="38"/>
      <c r="B725" s="38"/>
      <c r="C725" s="39"/>
      <c r="D725" s="40"/>
      <c r="E725" s="40"/>
      <c r="F725" s="41"/>
      <c r="G725" s="41"/>
      <c r="H725" s="41"/>
      <c r="I725" s="41"/>
      <c r="J725" s="41"/>
      <c r="K725" s="41"/>
      <c r="L725" s="41"/>
      <c r="M725" s="41"/>
      <c r="N725" s="41"/>
      <c r="O725" s="41"/>
      <c r="P725" s="41"/>
      <c r="Q725" s="41"/>
      <c r="R725" s="41"/>
      <c r="S725" s="41"/>
      <c r="T725" s="41"/>
      <c r="U725" s="41"/>
      <c r="V725" s="41"/>
      <c r="W725" s="41"/>
      <c r="X725" s="41"/>
      <c r="Y725" s="41"/>
      <c r="Z725" s="41"/>
    </row>
    <row r="726" customFormat="false" ht="14.25" hidden="false" customHeight="true" outlineLevel="0" collapsed="false">
      <c r="A726" s="38"/>
      <c r="B726" s="38"/>
      <c r="C726" s="39"/>
      <c r="D726" s="40"/>
      <c r="E726" s="40"/>
      <c r="F726" s="41"/>
      <c r="G726" s="41"/>
      <c r="H726" s="41"/>
      <c r="I726" s="41"/>
      <c r="J726" s="41"/>
      <c r="K726" s="41"/>
      <c r="L726" s="41"/>
      <c r="M726" s="41"/>
      <c r="N726" s="41"/>
      <c r="O726" s="41"/>
      <c r="P726" s="41"/>
      <c r="Q726" s="41"/>
      <c r="R726" s="41"/>
      <c r="S726" s="41"/>
      <c r="T726" s="41"/>
      <c r="U726" s="41"/>
      <c r="V726" s="41"/>
      <c r="W726" s="41"/>
      <c r="X726" s="41"/>
      <c r="Y726" s="41"/>
      <c r="Z726" s="41"/>
    </row>
    <row r="727" customFormat="false" ht="14.25" hidden="false" customHeight="true" outlineLevel="0" collapsed="false">
      <c r="A727" s="38"/>
      <c r="B727" s="38"/>
      <c r="C727" s="39"/>
      <c r="D727" s="40"/>
      <c r="E727" s="40"/>
      <c r="F727" s="41"/>
      <c r="G727" s="41"/>
      <c r="H727" s="41"/>
      <c r="I727" s="41"/>
      <c r="J727" s="41"/>
      <c r="K727" s="41"/>
      <c r="L727" s="41"/>
      <c r="M727" s="41"/>
      <c r="N727" s="41"/>
      <c r="O727" s="41"/>
      <c r="P727" s="41"/>
      <c r="Q727" s="41"/>
      <c r="R727" s="41"/>
      <c r="S727" s="41"/>
      <c r="T727" s="41"/>
      <c r="U727" s="41"/>
      <c r="V727" s="41"/>
      <c r="W727" s="41"/>
      <c r="X727" s="41"/>
      <c r="Y727" s="41"/>
      <c r="Z727" s="41"/>
    </row>
    <row r="728" customFormat="false" ht="14.25" hidden="false" customHeight="true" outlineLevel="0" collapsed="false">
      <c r="A728" s="38"/>
      <c r="B728" s="38"/>
      <c r="C728" s="39"/>
      <c r="D728" s="40"/>
      <c r="E728" s="40"/>
      <c r="F728" s="41"/>
      <c r="G728" s="41"/>
      <c r="H728" s="41"/>
      <c r="I728" s="41"/>
      <c r="J728" s="41"/>
      <c r="K728" s="41"/>
      <c r="L728" s="41"/>
      <c r="M728" s="41"/>
      <c r="N728" s="41"/>
      <c r="O728" s="41"/>
      <c r="P728" s="41"/>
      <c r="Q728" s="41"/>
      <c r="R728" s="41"/>
      <c r="S728" s="41"/>
      <c r="T728" s="41"/>
      <c r="U728" s="41"/>
      <c r="V728" s="41"/>
      <c r="W728" s="41"/>
      <c r="X728" s="41"/>
      <c r="Y728" s="41"/>
      <c r="Z728" s="41"/>
    </row>
    <row r="729" customFormat="false" ht="14.25" hidden="false" customHeight="true" outlineLevel="0" collapsed="false">
      <c r="A729" s="38"/>
      <c r="B729" s="38"/>
      <c r="C729" s="39"/>
      <c r="D729" s="40"/>
      <c r="E729" s="40"/>
      <c r="F729" s="41"/>
      <c r="G729" s="41"/>
      <c r="H729" s="41"/>
      <c r="I729" s="41"/>
      <c r="J729" s="41"/>
      <c r="K729" s="41"/>
      <c r="L729" s="41"/>
      <c r="M729" s="41"/>
      <c r="N729" s="41"/>
      <c r="O729" s="41"/>
      <c r="P729" s="41"/>
      <c r="Q729" s="41"/>
      <c r="R729" s="41"/>
      <c r="S729" s="41"/>
      <c r="T729" s="41"/>
      <c r="U729" s="41"/>
      <c r="V729" s="41"/>
      <c r="W729" s="41"/>
      <c r="X729" s="41"/>
      <c r="Y729" s="41"/>
      <c r="Z729" s="41"/>
    </row>
    <row r="730" customFormat="false" ht="14.25" hidden="false" customHeight="true" outlineLevel="0" collapsed="false">
      <c r="A730" s="38"/>
      <c r="B730" s="38"/>
      <c r="C730" s="39"/>
      <c r="D730" s="40"/>
      <c r="E730" s="40"/>
      <c r="F730" s="41"/>
      <c r="G730" s="41"/>
      <c r="H730" s="41"/>
      <c r="I730" s="41"/>
      <c r="J730" s="41"/>
      <c r="K730" s="41"/>
      <c r="L730" s="41"/>
      <c r="M730" s="41"/>
      <c r="N730" s="41"/>
      <c r="O730" s="41"/>
      <c r="P730" s="41"/>
      <c r="Q730" s="41"/>
      <c r="R730" s="41"/>
      <c r="S730" s="41"/>
      <c r="T730" s="41"/>
      <c r="U730" s="41"/>
      <c r="V730" s="41"/>
      <c r="W730" s="41"/>
      <c r="X730" s="41"/>
      <c r="Y730" s="41"/>
      <c r="Z730" s="41"/>
    </row>
    <row r="731" customFormat="false" ht="14.25" hidden="false" customHeight="true" outlineLevel="0" collapsed="false">
      <c r="A731" s="38"/>
      <c r="B731" s="38"/>
      <c r="C731" s="39"/>
      <c r="D731" s="40"/>
      <c r="E731" s="40"/>
      <c r="F731" s="41"/>
      <c r="G731" s="41"/>
      <c r="H731" s="41"/>
      <c r="I731" s="41"/>
      <c r="J731" s="41"/>
      <c r="K731" s="41"/>
      <c r="L731" s="41"/>
      <c r="M731" s="41"/>
      <c r="N731" s="41"/>
      <c r="O731" s="41"/>
      <c r="P731" s="41"/>
      <c r="Q731" s="41"/>
      <c r="R731" s="41"/>
      <c r="S731" s="41"/>
      <c r="T731" s="41"/>
      <c r="U731" s="41"/>
      <c r="V731" s="41"/>
      <c r="W731" s="41"/>
      <c r="X731" s="41"/>
      <c r="Y731" s="41"/>
      <c r="Z731" s="41"/>
    </row>
    <row r="732" customFormat="false" ht="14.25" hidden="false" customHeight="true" outlineLevel="0" collapsed="false">
      <c r="A732" s="38"/>
      <c r="B732" s="38"/>
      <c r="C732" s="39"/>
      <c r="D732" s="40"/>
      <c r="E732" s="40"/>
      <c r="F732" s="41"/>
      <c r="G732" s="41"/>
      <c r="H732" s="41"/>
      <c r="I732" s="41"/>
      <c r="J732" s="41"/>
      <c r="K732" s="41"/>
      <c r="L732" s="41"/>
      <c r="M732" s="41"/>
      <c r="N732" s="41"/>
      <c r="O732" s="41"/>
      <c r="P732" s="41"/>
      <c r="Q732" s="41"/>
      <c r="R732" s="41"/>
      <c r="S732" s="41"/>
      <c r="T732" s="41"/>
      <c r="U732" s="41"/>
      <c r="V732" s="41"/>
      <c r="W732" s="41"/>
      <c r="X732" s="41"/>
      <c r="Y732" s="41"/>
      <c r="Z732" s="41"/>
    </row>
    <row r="733" customFormat="false" ht="14.25" hidden="false" customHeight="true" outlineLevel="0" collapsed="false">
      <c r="A733" s="38"/>
      <c r="B733" s="38"/>
      <c r="C733" s="39"/>
      <c r="D733" s="40"/>
      <c r="E733" s="40"/>
      <c r="F733" s="41"/>
      <c r="G733" s="41"/>
      <c r="H733" s="41"/>
      <c r="I733" s="41"/>
      <c r="J733" s="41"/>
      <c r="K733" s="41"/>
      <c r="L733" s="41"/>
      <c r="M733" s="41"/>
      <c r="N733" s="41"/>
      <c r="O733" s="41"/>
      <c r="P733" s="41"/>
      <c r="Q733" s="41"/>
      <c r="R733" s="41"/>
      <c r="S733" s="41"/>
      <c r="T733" s="41"/>
      <c r="U733" s="41"/>
      <c r="V733" s="41"/>
      <c r="W733" s="41"/>
      <c r="X733" s="41"/>
      <c r="Y733" s="41"/>
      <c r="Z733" s="41"/>
    </row>
    <row r="734" customFormat="false" ht="14.25" hidden="false" customHeight="true" outlineLevel="0" collapsed="false">
      <c r="A734" s="38"/>
      <c r="B734" s="38"/>
      <c r="C734" s="39"/>
      <c r="D734" s="40"/>
      <c r="E734" s="40"/>
      <c r="F734" s="41"/>
      <c r="G734" s="41"/>
      <c r="H734" s="41"/>
      <c r="I734" s="41"/>
      <c r="J734" s="41"/>
      <c r="K734" s="41"/>
      <c r="L734" s="41"/>
      <c r="M734" s="41"/>
      <c r="N734" s="41"/>
      <c r="O734" s="41"/>
      <c r="P734" s="41"/>
      <c r="Q734" s="41"/>
      <c r="R734" s="41"/>
      <c r="S734" s="41"/>
      <c r="T734" s="41"/>
      <c r="U734" s="41"/>
      <c r="V734" s="41"/>
      <c r="W734" s="41"/>
      <c r="X734" s="41"/>
      <c r="Y734" s="41"/>
      <c r="Z734" s="41"/>
    </row>
    <row r="735" customFormat="false" ht="14.25" hidden="false" customHeight="true" outlineLevel="0" collapsed="false">
      <c r="A735" s="38"/>
      <c r="B735" s="38"/>
      <c r="C735" s="39"/>
      <c r="D735" s="40"/>
      <c r="E735" s="40"/>
      <c r="F735" s="41"/>
      <c r="G735" s="41"/>
      <c r="H735" s="41"/>
      <c r="I735" s="41"/>
      <c r="J735" s="41"/>
      <c r="K735" s="41"/>
      <c r="L735" s="41"/>
      <c r="M735" s="41"/>
      <c r="N735" s="41"/>
      <c r="O735" s="41"/>
      <c r="P735" s="41"/>
      <c r="Q735" s="41"/>
      <c r="R735" s="41"/>
      <c r="S735" s="41"/>
      <c r="T735" s="41"/>
      <c r="U735" s="41"/>
      <c r="V735" s="41"/>
      <c r="W735" s="41"/>
      <c r="X735" s="41"/>
      <c r="Y735" s="41"/>
      <c r="Z735" s="41"/>
    </row>
    <row r="736" customFormat="false" ht="14.25" hidden="false" customHeight="true" outlineLevel="0" collapsed="false">
      <c r="A736" s="38"/>
      <c r="B736" s="38"/>
      <c r="C736" s="39"/>
      <c r="D736" s="40"/>
      <c r="E736" s="40"/>
      <c r="F736" s="41"/>
      <c r="G736" s="41"/>
      <c r="H736" s="41"/>
      <c r="I736" s="41"/>
      <c r="J736" s="41"/>
      <c r="K736" s="41"/>
      <c r="L736" s="41"/>
      <c r="M736" s="41"/>
      <c r="N736" s="41"/>
      <c r="O736" s="41"/>
      <c r="P736" s="41"/>
      <c r="Q736" s="41"/>
      <c r="R736" s="41"/>
      <c r="S736" s="41"/>
      <c r="T736" s="41"/>
      <c r="U736" s="41"/>
      <c r="V736" s="41"/>
      <c r="W736" s="41"/>
      <c r="X736" s="41"/>
      <c r="Y736" s="41"/>
      <c r="Z736" s="41"/>
    </row>
    <row r="737" customFormat="false" ht="14.25" hidden="false" customHeight="true" outlineLevel="0" collapsed="false">
      <c r="A737" s="38"/>
      <c r="B737" s="38"/>
      <c r="C737" s="39"/>
      <c r="D737" s="40"/>
      <c r="E737" s="40"/>
      <c r="F737" s="41"/>
      <c r="G737" s="41"/>
      <c r="H737" s="41"/>
      <c r="I737" s="41"/>
      <c r="J737" s="41"/>
      <c r="K737" s="41"/>
      <c r="L737" s="41"/>
      <c r="M737" s="41"/>
      <c r="N737" s="41"/>
      <c r="O737" s="41"/>
      <c r="P737" s="41"/>
      <c r="Q737" s="41"/>
      <c r="R737" s="41"/>
      <c r="S737" s="41"/>
      <c r="T737" s="41"/>
      <c r="U737" s="41"/>
      <c r="V737" s="41"/>
      <c r="W737" s="41"/>
      <c r="X737" s="41"/>
      <c r="Y737" s="41"/>
      <c r="Z737" s="41"/>
    </row>
    <row r="738" customFormat="false" ht="14.25" hidden="false" customHeight="true" outlineLevel="0" collapsed="false">
      <c r="A738" s="38"/>
      <c r="B738" s="38"/>
      <c r="C738" s="39"/>
      <c r="D738" s="40"/>
      <c r="E738" s="40"/>
      <c r="F738" s="41"/>
      <c r="G738" s="41"/>
      <c r="H738" s="41"/>
      <c r="I738" s="41"/>
      <c r="J738" s="41"/>
      <c r="K738" s="41"/>
      <c r="L738" s="41"/>
      <c r="M738" s="41"/>
      <c r="N738" s="41"/>
      <c r="O738" s="41"/>
      <c r="P738" s="41"/>
      <c r="Q738" s="41"/>
      <c r="R738" s="41"/>
      <c r="S738" s="41"/>
      <c r="T738" s="41"/>
      <c r="U738" s="41"/>
      <c r="V738" s="41"/>
      <c r="W738" s="41"/>
      <c r="X738" s="41"/>
      <c r="Y738" s="41"/>
      <c r="Z738" s="41"/>
    </row>
    <row r="739" customFormat="false" ht="14.25" hidden="false" customHeight="true" outlineLevel="0" collapsed="false">
      <c r="A739" s="38"/>
      <c r="B739" s="38"/>
      <c r="C739" s="39"/>
      <c r="D739" s="40"/>
      <c r="E739" s="40"/>
      <c r="F739" s="41"/>
      <c r="G739" s="41"/>
      <c r="H739" s="41"/>
      <c r="I739" s="41"/>
      <c r="J739" s="41"/>
      <c r="K739" s="41"/>
      <c r="L739" s="41"/>
      <c r="M739" s="41"/>
      <c r="N739" s="41"/>
      <c r="O739" s="41"/>
      <c r="P739" s="41"/>
      <c r="Q739" s="41"/>
      <c r="R739" s="41"/>
      <c r="S739" s="41"/>
      <c r="T739" s="41"/>
      <c r="U739" s="41"/>
      <c r="V739" s="41"/>
      <c r="W739" s="41"/>
      <c r="X739" s="41"/>
      <c r="Y739" s="41"/>
      <c r="Z739" s="41"/>
    </row>
    <row r="740" customFormat="false" ht="14.25" hidden="false" customHeight="true" outlineLevel="0" collapsed="false">
      <c r="A740" s="38"/>
      <c r="B740" s="38"/>
      <c r="C740" s="39"/>
      <c r="D740" s="40"/>
      <c r="E740" s="40"/>
      <c r="F740" s="41"/>
      <c r="G740" s="41"/>
      <c r="H740" s="41"/>
      <c r="I740" s="41"/>
      <c r="J740" s="41"/>
      <c r="K740" s="41"/>
      <c r="L740" s="41"/>
      <c r="M740" s="41"/>
      <c r="N740" s="41"/>
      <c r="O740" s="41"/>
      <c r="P740" s="41"/>
      <c r="Q740" s="41"/>
      <c r="R740" s="41"/>
      <c r="S740" s="41"/>
      <c r="T740" s="41"/>
      <c r="U740" s="41"/>
      <c r="V740" s="41"/>
      <c r="W740" s="41"/>
      <c r="X740" s="41"/>
      <c r="Y740" s="41"/>
      <c r="Z740" s="41"/>
    </row>
    <row r="741" customFormat="false" ht="14.25" hidden="false" customHeight="true" outlineLevel="0" collapsed="false">
      <c r="A741" s="38"/>
      <c r="B741" s="38"/>
      <c r="C741" s="39"/>
      <c r="D741" s="40"/>
      <c r="E741" s="40"/>
      <c r="F741" s="41"/>
      <c r="G741" s="41"/>
      <c r="H741" s="41"/>
      <c r="I741" s="41"/>
      <c r="J741" s="41"/>
      <c r="K741" s="41"/>
      <c r="L741" s="41"/>
      <c r="M741" s="41"/>
      <c r="N741" s="41"/>
      <c r="O741" s="41"/>
      <c r="P741" s="41"/>
      <c r="Q741" s="41"/>
      <c r="R741" s="41"/>
      <c r="S741" s="41"/>
      <c r="T741" s="41"/>
      <c r="U741" s="41"/>
      <c r="V741" s="41"/>
      <c r="W741" s="41"/>
      <c r="X741" s="41"/>
      <c r="Y741" s="41"/>
      <c r="Z741" s="41"/>
    </row>
    <row r="742" customFormat="false" ht="14.25" hidden="false" customHeight="true" outlineLevel="0" collapsed="false">
      <c r="A742" s="38"/>
      <c r="B742" s="38"/>
      <c r="C742" s="39"/>
      <c r="D742" s="40"/>
      <c r="E742" s="40"/>
      <c r="F742" s="41"/>
      <c r="G742" s="41"/>
      <c r="H742" s="41"/>
      <c r="I742" s="41"/>
      <c r="J742" s="41"/>
      <c r="K742" s="41"/>
      <c r="L742" s="41"/>
      <c r="M742" s="41"/>
      <c r="N742" s="41"/>
      <c r="O742" s="41"/>
      <c r="P742" s="41"/>
      <c r="Q742" s="41"/>
      <c r="R742" s="41"/>
      <c r="S742" s="41"/>
      <c r="T742" s="41"/>
      <c r="U742" s="41"/>
      <c r="V742" s="41"/>
      <c r="W742" s="41"/>
      <c r="X742" s="41"/>
      <c r="Y742" s="41"/>
      <c r="Z742" s="41"/>
    </row>
    <row r="743" customFormat="false" ht="14.25" hidden="false" customHeight="true" outlineLevel="0" collapsed="false">
      <c r="A743" s="38"/>
      <c r="B743" s="38"/>
      <c r="C743" s="39"/>
      <c r="D743" s="40"/>
      <c r="E743" s="40"/>
      <c r="F743" s="41"/>
      <c r="G743" s="41"/>
      <c r="H743" s="41"/>
      <c r="I743" s="41"/>
      <c r="J743" s="41"/>
      <c r="K743" s="41"/>
      <c r="L743" s="41"/>
      <c r="M743" s="41"/>
      <c r="N743" s="41"/>
      <c r="O743" s="41"/>
      <c r="P743" s="41"/>
      <c r="Q743" s="41"/>
      <c r="R743" s="41"/>
      <c r="S743" s="41"/>
      <c r="T743" s="41"/>
      <c r="U743" s="41"/>
      <c r="V743" s="41"/>
      <c r="W743" s="41"/>
      <c r="X743" s="41"/>
      <c r="Y743" s="41"/>
      <c r="Z743" s="41"/>
    </row>
    <row r="744" customFormat="false" ht="14.25" hidden="false" customHeight="true" outlineLevel="0" collapsed="false">
      <c r="A744" s="38"/>
      <c r="B744" s="38"/>
      <c r="C744" s="39"/>
      <c r="D744" s="40"/>
      <c r="E744" s="40"/>
      <c r="F744" s="41"/>
      <c r="G744" s="41"/>
      <c r="H744" s="41"/>
      <c r="I744" s="41"/>
      <c r="J744" s="41"/>
      <c r="K744" s="41"/>
      <c r="L744" s="41"/>
      <c r="M744" s="41"/>
      <c r="N744" s="41"/>
      <c r="O744" s="41"/>
      <c r="P744" s="41"/>
      <c r="Q744" s="41"/>
      <c r="R744" s="41"/>
      <c r="S744" s="41"/>
      <c r="T744" s="41"/>
      <c r="U744" s="41"/>
      <c r="V744" s="41"/>
      <c r="W744" s="41"/>
      <c r="X744" s="41"/>
      <c r="Y744" s="41"/>
      <c r="Z744" s="41"/>
    </row>
    <row r="745" customFormat="false" ht="14.25" hidden="false" customHeight="true" outlineLevel="0" collapsed="false">
      <c r="A745" s="38"/>
      <c r="B745" s="38"/>
      <c r="C745" s="39"/>
      <c r="D745" s="40"/>
      <c r="E745" s="40"/>
      <c r="F745" s="41"/>
      <c r="G745" s="41"/>
      <c r="H745" s="41"/>
      <c r="I745" s="41"/>
      <c r="J745" s="41"/>
      <c r="K745" s="41"/>
      <c r="L745" s="41"/>
      <c r="M745" s="41"/>
      <c r="N745" s="41"/>
      <c r="O745" s="41"/>
      <c r="P745" s="41"/>
      <c r="Q745" s="41"/>
      <c r="R745" s="41"/>
      <c r="S745" s="41"/>
      <c r="T745" s="41"/>
      <c r="U745" s="41"/>
      <c r="V745" s="41"/>
      <c r="W745" s="41"/>
      <c r="X745" s="41"/>
      <c r="Y745" s="41"/>
      <c r="Z745" s="41"/>
    </row>
    <row r="746" customFormat="false" ht="14.25" hidden="false" customHeight="true" outlineLevel="0" collapsed="false">
      <c r="A746" s="38"/>
      <c r="B746" s="38"/>
      <c r="C746" s="39"/>
      <c r="D746" s="40"/>
      <c r="E746" s="40"/>
      <c r="F746" s="41"/>
      <c r="G746" s="41"/>
      <c r="H746" s="41"/>
      <c r="I746" s="41"/>
      <c r="J746" s="41"/>
      <c r="K746" s="41"/>
      <c r="L746" s="41"/>
      <c r="M746" s="41"/>
      <c r="N746" s="41"/>
      <c r="O746" s="41"/>
      <c r="P746" s="41"/>
      <c r="Q746" s="41"/>
      <c r="R746" s="41"/>
      <c r="S746" s="41"/>
      <c r="T746" s="41"/>
      <c r="U746" s="41"/>
      <c r="V746" s="41"/>
      <c r="W746" s="41"/>
      <c r="X746" s="41"/>
      <c r="Y746" s="41"/>
      <c r="Z746" s="41"/>
    </row>
    <row r="747" customFormat="false" ht="14.25" hidden="false" customHeight="true" outlineLevel="0" collapsed="false">
      <c r="A747" s="38"/>
      <c r="B747" s="38"/>
      <c r="C747" s="39"/>
      <c r="D747" s="40"/>
      <c r="E747" s="40"/>
      <c r="F747" s="41"/>
      <c r="G747" s="41"/>
      <c r="H747" s="41"/>
      <c r="I747" s="41"/>
      <c r="J747" s="41"/>
      <c r="K747" s="41"/>
      <c r="L747" s="41"/>
      <c r="M747" s="41"/>
      <c r="N747" s="41"/>
      <c r="O747" s="41"/>
      <c r="P747" s="41"/>
      <c r="Q747" s="41"/>
      <c r="R747" s="41"/>
      <c r="S747" s="41"/>
      <c r="T747" s="41"/>
      <c r="U747" s="41"/>
      <c r="V747" s="41"/>
      <c r="W747" s="41"/>
      <c r="X747" s="41"/>
      <c r="Y747" s="41"/>
      <c r="Z747" s="41"/>
    </row>
    <row r="748" customFormat="false" ht="14.25" hidden="false" customHeight="true" outlineLevel="0" collapsed="false">
      <c r="A748" s="38"/>
      <c r="B748" s="38"/>
      <c r="C748" s="39"/>
      <c r="D748" s="40"/>
      <c r="E748" s="40"/>
      <c r="F748" s="41"/>
      <c r="G748" s="41"/>
      <c r="H748" s="41"/>
      <c r="I748" s="41"/>
      <c r="J748" s="41"/>
      <c r="K748" s="41"/>
      <c r="L748" s="41"/>
      <c r="M748" s="41"/>
      <c r="N748" s="41"/>
      <c r="O748" s="41"/>
      <c r="P748" s="41"/>
      <c r="Q748" s="41"/>
      <c r="R748" s="41"/>
      <c r="S748" s="41"/>
      <c r="T748" s="41"/>
      <c r="U748" s="41"/>
      <c r="V748" s="41"/>
      <c r="W748" s="41"/>
      <c r="X748" s="41"/>
      <c r="Y748" s="41"/>
      <c r="Z748" s="41"/>
    </row>
    <row r="749" customFormat="false" ht="14.25" hidden="false" customHeight="true" outlineLevel="0" collapsed="false">
      <c r="A749" s="38"/>
      <c r="B749" s="38"/>
      <c r="C749" s="39"/>
      <c r="D749" s="40"/>
      <c r="E749" s="40"/>
      <c r="F749" s="41"/>
      <c r="G749" s="41"/>
      <c r="H749" s="41"/>
      <c r="I749" s="41"/>
      <c r="J749" s="41"/>
      <c r="K749" s="41"/>
      <c r="L749" s="41"/>
      <c r="M749" s="41"/>
      <c r="N749" s="41"/>
      <c r="O749" s="41"/>
      <c r="P749" s="41"/>
      <c r="Q749" s="41"/>
      <c r="R749" s="41"/>
      <c r="S749" s="41"/>
      <c r="T749" s="41"/>
      <c r="U749" s="41"/>
      <c r="V749" s="41"/>
      <c r="W749" s="41"/>
      <c r="X749" s="41"/>
      <c r="Y749" s="41"/>
      <c r="Z749" s="41"/>
    </row>
    <row r="750" customFormat="false" ht="14.25" hidden="false" customHeight="true" outlineLevel="0" collapsed="false">
      <c r="A750" s="38"/>
      <c r="B750" s="38"/>
      <c r="C750" s="39"/>
      <c r="D750" s="40"/>
      <c r="E750" s="40"/>
      <c r="F750" s="41"/>
      <c r="G750" s="41"/>
      <c r="H750" s="41"/>
      <c r="I750" s="41"/>
      <c r="J750" s="41"/>
      <c r="K750" s="41"/>
      <c r="L750" s="41"/>
      <c r="M750" s="41"/>
      <c r="N750" s="41"/>
      <c r="O750" s="41"/>
      <c r="P750" s="41"/>
      <c r="Q750" s="41"/>
      <c r="R750" s="41"/>
      <c r="S750" s="41"/>
      <c r="T750" s="41"/>
      <c r="U750" s="41"/>
      <c r="V750" s="41"/>
      <c r="W750" s="41"/>
      <c r="X750" s="41"/>
      <c r="Y750" s="41"/>
      <c r="Z750" s="41"/>
    </row>
    <row r="751" customFormat="false" ht="14.25" hidden="false" customHeight="true" outlineLevel="0" collapsed="false">
      <c r="A751" s="38"/>
      <c r="B751" s="38"/>
      <c r="C751" s="39"/>
      <c r="D751" s="40"/>
      <c r="E751" s="40"/>
      <c r="F751" s="41"/>
      <c r="G751" s="41"/>
      <c r="H751" s="41"/>
      <c r="I751" s="41"/>
      <c r="J751" s="41"/>
      <c r="K751" s="41"/>
      <c r="L751" s="41"/>
      <c r="M751" s="41"/>
      <c r="N751" s="41"/>
      <c r="O751" s="41"/>
      <c r="P751" s="41"/>
      <c r="Q751" s="41"/>
      <c r="R751" s="41"/>
      <c r="S751" s="41"/>
      <c r="T751" s="41"/>
      <c r="U751" s="41"/>
      <c r="V751" s="41"/>
      <c r="W751" s="41"/>
      <c r="X751" s="41"/>
      <c r="Y751" s="41"/>
      <c r="Z751" s="41"/>
    </row>
    <row r="752" customFormat="false" ht="14.25" hidden="false" customHeight="true" outlineLevel="0" collapsed="false">
      <c r="A752" s="38"/>
      <c r="B752" s="38"/>
      <c r="C752" s="39"/>
      <c r="D752" s="40"/>
      <c r="E752" s="40"/>
      <c r="F752" s="41"/>
      <c r="G752" s="41"/>
      <c r="H752" s="41"/>
      <c r="I752" s="41"/>
      <c r="J752" s="41"/>
      <c r="K752" s="41"/>
      <c r="L752" s="41"/>
      <c r="M752" s="41"/>
      <c r="N752" s="41"/>
      <c r="O752" s="41"/>
      <c r="P752" s="41"/>
      <c r="Q752" s="41"/>
      <c r="R752" s="41"/>
      <c r="S752" s="41"/>
      <c r="T752" s="41"/>
      <c r="U752" s="41"/>
      <c r="V752" s="41"/>
      <c r="W752" s="41"/>
      <c r="X752" s="41"/>
      <c r="Y752" s="41"/>
      <c r="Z752" s="41"/>
    </row>
    <row r="753" customFormat="false" ht="14.25" hidden="false" customHeight="true" outlineLevel="0" collapsed="false">
      <c r="A753" s="38"/>
      <c r="B753" s="38"/>
      <c r="C753" s="39"/>
      <c r="D753" s="40"/>
      <c r="E753" s="40"/>
      <c r="F753" s="41"/>
      <c r="G753" s="41"/>
      <c r="H753" s="41"/>
      <c r="I753" s="41"/>
      <c r="J753" s="41"/>
      <c r="K753" s="41"/>
      <c r="L753" s="41"/>
      <c r="M753" s="41"/>
      <c r="N753" s="41"/>
      <c r="O753" s="41"/>
      <c r="P753" s="41"/>
      <c r="Q753" s="41"/>
      <c r="R753" s="41"/>
      <c r="S753" s="41"/>
      <c r="T753" s="41"/>
      <c r="U753" s="41"/>
      <c r="V753" s="41"/>
      <c r="W753" s="41"/>
      <c r="X753" s="41"/>
      <c r="Y753" s="41"/>
      <c r="Z753" s="41"/>
    </row>
    <row r="754" customFormat="false" ht="14.25" hidden="false" customHeight="true" outlineLevel="0" collapsed="false">
      <c r="A754" s="38"/>
      <c r="B754" s="38"/>
      <c r="C754" s="39"/>
      <c r="D754" s="40"/>
      <c r="E754" s="40"/>
      <c r="F754" s="41"/>
      <c r="G754" s="41"/>
      <c r="H754" s="41"/>
      <c r="I754" s="41"/>
      <c r="J754" s="41"/>
      <c r="K754" s="41"/>
      <c r="L754" s="41"/>
      <c r="M754" s="41"/>
      <c r="N754" s="41"/>
      <c r="O754" s="41"/>
      <c r="P754" s="41"/>
      <c r="Q754" s="41"/>
      <c r="R754" s="41"/>
      <c r="S754" s="41"/>
      <c r="T754" s="41"/>
      <c r="U754" s="41"/>
      <c r="V754" s="41"/>
      <c r="W754" s="41"/>
      <c r="X754" s="41"/>
      <c r="Y754" s="41"/>
      <c r="Z754" s="41"/>
    </row>
    <row r="755" customFormat="false" ht="14.25" hidden="false" customHeight="true" outlineLevel="0" collapsed="false">
      <c r="A755" s="38"/>
      <c r="B755" s="38"/>
      <c r="C755" s="39"/>
      <c r="D755" s="40"/>
      <c r="E755" s="40"/>
      <c r="F755" s="41"/>
      <c r="G755" s="41"/>
      <c r="H755" s="41"/>
      <c r="I755" s="41"/>
      <c r="J755" s="41"/>
      <c r="K755" s="41"/>
      <c r="L755" s="41"/>
      <c r="M755" s="41"/>
      <c r="N755" s="41"/>
      <c r="O755" s="41"/>
      <c r="P755" s="41"/>
      <c r="Q755" s="41"/>
      <c r="R755" s="41"/>
      <c r="S755" s="41"/>
      <c r="T755" s="41"/>
      <c r="U755" s="41"/>
      <c r="V755" s="41"/>
      <c r="W755" s="41"/>
      <c r="X755" s="41"/>
      <c r="Y755" s="41"/>
      <c r="Z755" s="41"/>
    </row>
    <row r="756" customFormat="false" ht="14.25" hidden="false" customHeight="true" outlineLevel="0" collapsed="false">
      <c r="A756" s="38"/>
      <c r="B756" s="38"/>
      <c r="C756" s="39"/>
      <c r="D756" s="40"/>
      <c r="E756" s="40"/>
      <c r="F756" s="41"/>
      <c r="G756" s="41"/>
      <c r="H756" s="41"/>
      <c r="I756" s="41"/>
      <c r="J756" s="41"/>
      <c r="K756" s="41"/>
      <c r="L756" s="41"/>
      <c r="M756" s="41"/>
      <c r="N756" s="41"/>
      <c r="O756" s="41"/>
      <c r="P756" s="41"/>
      <c r="Q756" s="41"/>
      <c r="R756" s="41"/>
      <c r="S756" s="41"/>
      <c r="T756" s="41"/>
      <c r="U756" s="41"/>
      <c r="V756" s="41"/>
      <c r="W756" s="41"/>
      <c r="X756" s="41"/>
      <c r="Y756" s="41"/>
      <c r="Z756" s="41"/>
    </row>
    <row r="757" customFormat="false" ht="14.25" hidden="false" customHeight="true" outlineLevel="0" collapsed="false">
      <c r="A757" s="38"/>
      <c r="B757" s="38"/>
      <c r="C757" s="39"/>
      <c r="D757" s="40"/>
      <c r="E757" s="40"/>
      <c r="F757" s="41"/>
      <c r="G757" s="41"/>
      <c r="H757" s="41"/>
      <c r="I757" s="41"/>
      <c r="J757" s="41"/>
      <c r="K757" s="41"/>
      <c r="L757" s="41"/>
      <c r="M757" s="41"/>
      <c r="N757" s="41"/>
      <c r="O757" s="41"/>
      <c r="P757" s="41"/>
      <c r="Q757" s="41"/>
      <c r="R757" s="41"/>
      <c r="S757" s="41"/>
      <c r="T757" s="41"/>
      <c r="U757" s="41"/>
      <c r="V757" s="41"/>
      <c r="W757" s="41"/>
      <c r="X757" s="41"/>
      <c r="Y757" s="41"/>
      <c r="Z757" s="41"/>
    </row>
    <row r="758" customFormat="false" ht="14.25" hidden="false" customHeight="true" outlineLevel="0" collapsed="false">
      <c r="A758" s="38"/>
      <c r="B758" s="38"/>
      <c r="C758" s="39"/>
      <c r="D758" s="40"/>
      <c r="E758" s="40"/>
      <c r="F758" s="41"/>
      <c r="G758" s="41"/>
      <c r="H758" s="41"/>
      <c r="I758" s="41"/>
      <c r="J758" s="41"/>
      <c r="K758" s="41"/>
      <c r="L758" s="41"/>
      <c r="M758" s="41"/>
      <c r="N758" s="41"/>
      <c r="O758" s="41"/>
      <c r="P758" s="41"/>
      <c r="Q758" s="41"/>
      <c r="R758" s="41"/>
      <c r="S758" s="41"/>
      <c r="T758" s="41"/>
      <c r="U758" s="41"/>
      <c r="V758" s="41"/>
      <c r="W758" s="41"/>
      <c r="X758" s="41"/>
      <c r="Y758" s="41"/>
      <c r="Z758" s="41"/>
    </row>
    <row r="759" customFormat="false" ht="14.25" hidden="false" customHeight="true" outlineLevel="0" collapsed="false">
      <c r="A759" s="38"/>
      <c r="B759" s="38"/>
      <c r="C759" s="39"/>
      <c r="D759" s="40"/>
      <c r="E759" s="40"/>
      <c r="F759" s="41"/>
      <c r="G759" s="41"/>
      <c r="H759" s="41"/>
      <c r="I759" s="41"/>
      <c r="J759" s="41"/>
      <c r="K759" s="41"/>
      <c r="L759" s="41"/>
      <c r="M759" s="41"/>
      <c r="N759" s="41"/>
      <c r="O759" s="41"/>
      <c r="P759" s="41"/>
      <c r="Q759" s="41"/>
      <c r="R759" s="41"/>
      <c r="S759" s="41"/>
      <c r="T759" s="41"/>
      <c r="U759" s="41"/>
      <c r="V759" s="41"/>
      <c r="W759" s="41"/>
      <c r="X759" s="41"/>
      <c r="Y759" s="41"/>
      <c r="Z759" s="41"/>
    </row>
    <row r="760" customFormat="false" ht="14.25" hidden="false" customHeight="true" outlineLevel="0" collapsed="false">
      <c r="A760" s="38"/>
      <c r="B760" s="38"/>
      <c r="C760" s="39"/>
      <c r="D760" s="40"/>
      <c r="E760" s="40"/>
      <c r="F760" s="41"/>
      <c r="G760" s="41"/>
      <c r="H760" s="41"/>
      <c r="I760" s="41"/>
      <c r="J760" s="41"/>
      <c r="K760" s="41"/>
      <c r="L760" s="41"/>
      <c r="M760" s="41"/>
      <c r="N760" s="41"/>
      <c r="O760" s="41"/>
      <c r="P760" s="41"/>
      <c r="Q760" s="41"/>
      <c r="R760" s="41"/>
      <c r="S760" s="41"/>
      <c r="T760" s="41"/>
      <c r="U760" s="41"/>
      <c r="V760" s="41"/>
      <c r="W760" s="41"/>
      <c r="X760" s="41"/>
      <c r="Y760" s="41"/>
      <c r="Z760" s="41"/>
    </row>
    <row r="761" customFormat="false" ht="14.25" hidden="false" customHeight="true" outlineLevel="0" collapsed="false">
      <c r="A761" s="38"/>
      <c r="B761" s="38"/>
      <c r="C761" s="39"/>
      <c r="D761" s="40"/>
      <c r="E761" s="40"/>
      <c r="F761" s="41"/>
      <c r="G761" s="41"/>
      <c r="H761" s="41"/>
      <c r="I761" s="41"/>
      <c r="J761" s="41"/>
      <c r="K761" s="41"/>
      <c r="L761" s="41"/>
      <c r="M761" s="41"/>
      <c r="N761" s="41"/>
      <c r="O761" s="41"/>
      <c r="P761" s="41"/>
      <c r="Q761" s="41"/>
      <c r="R761" s="41"/>
      <c r="S761" s="41"/>
      <c r="T761" s="41"/>
      <c r="U761" s="41"/>
      <c r="V761" s="41"/>
      <c r="W761" s="41"/>
      <c r="X761" s="41"/>
      <c r="Y761" s="41"/>
      <c r="Z761" s="41"/>
    </row>
    <row r="762" customFormat="false" ht="14.25" hidden="false" customHeight="true" outlineLevel="0" collapsed="false">
      <c r="A762" s="38"/>
      <c r="B762" s="38"/>
      <c r="C762" s="39"/>
      <c r="D762" s="40"/>
      <c r="E762" s="40"/>
      <c r="F762" s="41"/>
      <c r="G762" s="41"/>
      <c r="H762" s="41"/>
      <c r="I762" s="41"/>
      <c r="J762" s="41"/>
      <c r="K762" s="41"/>
      <c r="L762" s="41"/>
      <c r="M762" s="41"/>
      <c r="N762" s="41"/>
      <c r="O762" s="41"/>
      <c r="P762" s="41"/>
      <c r="Q762" s="41"/>
      <c r="R762" s="41"/>
      <c r="S762" s="41"/>
      <c r="T762" s="41"/>
      <c r="U762" s="41"/>
      <c r="V762" s="41"/>
      <c r="W762" s="41"/>
      <c r="X762" s="41"/>
      <c r="Y762" s="41"/>
      <c r="Z762" s="41"/>
    </row>
    <row r="763" customFormat="false" ht="14.25" hidden="false" customHeight="true" outlineLevel="0" collapsed="false">
      <c r="A763" s="38"/>
      <c r="B763" s="38"/>
      <c r="C763" s="39"/>
      <c r="D763" s="40"/>
      <c r="E763" s="40"/>
      <c r="F763" s="41"/>
      <c r="G763" s="41"/>
      <c r="H763" s="41"/>
      <c r="I763" s="41"/>
      <c r="J763" s="41"/>
      <c r="K763" s="41"/>
      <c r="L763" s="41"/>
      <c r="M763" s="41"/>
      <c r="N763" s="41"/>
      <c r="O763" s="41"/>
      <c r="P763" s="41"/>
      <c r="Q763" s="41"/>
      <c r="R763" s="41"/>
      <c r="S763" s="41"/>
      <c r="T763" s="41"/>
      <c r="U763" s="41"/>
      <c r="V763" s="41"/>
      <c r="W763" s="41"/>
      <c r="X763" s="41"/>
      <c r="Y763" s="41"/>
      <c r="Z763" s="41"/>
    </row>
    <row r="764" customFormat="false" ht="14.25" hidden="false" customHeight="true" outlineLevel="0" collapsed="false">
      <c r="A764" s="38"/>
      <c r="B764" s="38"/>
      <c r="C764" s="39"/>
      <c r="D764" s="40"/>
      <c r="E764" s="40"/>
      <c r="F764" s="41"/>
      <c r="G764" s="41"/>
      <c r="H764" s="41"/>
      <c r="I764" s="41"/>
      <c r="J764" s="41"/>
      <c r="K764" s="41"/>
      <c r="L764" s="41"/>
      <c r="M764" s="41"/>
      <c r="N764" s="41"/>
      <c r="O764" s="41"/>
      <c r="P764" s="41"/>
      <c r="Q764" s="41"/>
      <c r="R764" s="41"/>
      <c r="S764" s="41"/>
      <c r="T764" s="41"/>
      <c r="U764" s="41"/>
      <c r="V764" s="41"/>
      <c r="W764" s="41"/>
      <c r="X764" s="41"/>
      <c r="Y764" s="41"/>
      <c r="Z764" s="41"/>
    </row>
    <row r="765" customFormat="false" ht="14.25" hidden="false" customHeight="true" outlineLevel="0" collapsed="false">
      <c r="A765" s="38"/>
      <c r="B765" s="38"/>
      <c r="C765" s="39"/>
      <c r="D765" s="40"/>
      <c r="E765" s="40"/>
      <c r="F765" s="41"/>
      <c r="G765" s="41"/>
      <c r="H765" s="41"/>
      <c r="I765" s="41"/>
      <c r="J765" s="41"/>
      <c r="K765" s="41"/>
      <c r="L765" s="41"/>
      <c r="M765" s="41"/>
      <c r="N765" s="41"/>
      <c r="O765" s="41"/>
      <c r="P765" s="41"/>
      <c r="Q765" s="41"/>
      <c r="R765" s="41"/>
      <c r="S765" s="41"/>
      <c r="T765" s="41"/>
      <c r="U765" s="41"/>
      <c r="V765" s="41"/>
      <c r="W765" s="41"/>
      <c r="X765" s="41"/>
      <c r="Y765" s="41"/>
      <c r="Z765" s="41"/>
    </row>
    <row r="766" customFormat="false" ht="14.25" hidden="false" customHeight="true" outlineLevel="0" collapsed="false">
      <c r="A766" s="38"/>
      <c r="B766" s="38"/>
      <c r="C766" s="39"/>
      <c r="D766" s="40"/>
      <c r="E766" s="40"/>
      <c r="F766" s="41"/>
      <c r="G766" s="41"/>
      <c r="H766" s="41"/>
      <c r="I766" s="41"/>
      <c r="J766" s="41"/>
      <c r="K766" s="41"/>
      <c r="L766" s="41"/>
      <c r="M766" s="41"/>
      <c r="N766" s="41"/>
      <c r="O766" s="41"/>
      <c r="P766" s="41"/>
      <c r="Q766" s="41"/>
      <c r="R766" s="41"/>
      <c r="S766" s="41"/>
      <c r="T766" s="41"/>
      <c r="U766" s="41"/>
      <c r="V766" s="41"/>
      <c r="W766" s="41"/>
      <c r="X766" s="41"/>
      <c r="Y766" s="41"/>
      <c r="Z766" s="41"/>
    </row>
    <row r="767" customFormat="false" ht="14.25" hidden="false" customHeight="true" outlineLevel="0" collapsed="false">
      <c r="A767" s="38"/>
      <c r="B767" s="38"/>
      <c r="C767" s="39"/>
      <c r="D767" s="40"/>
      <c r="E767" s="40"/>
      <c r="F767" s="41"/>
      <c r="G767" s="41"/>
      <c r="H767" s="41"/>
      <c r="I767" s="41"/>
      <c r="J767" s="41"/>
      <c r="K767" s="41"/>
      <c r="L767" s="41"/>
      <c r="M767" s="41"/>
      <c r="N767" s="41"/>
      <c r="O767" s="41"/>
      <c r="P767" s="41"/>
      <c r="Q767" s="41"/>
      <c r="R767" s="41"/>
      <c r="S767" s="41"/>
      <c r="T767" s="41"/>
      <c r="U767" s="41"/>
      <c r="V767" s="41"/>
      <c r="W767" s="41"/>
      <c r="X767" s="41"/>
      <c r="Y767" s="41"/>
      <c r="Z767" s="41"/>
    </row>
    <row r="768" customFormat="false" ht="14.25" hidden="false" customHeight="true" outlineLevel="0" collapsed="false">
      <c r="A768" s="38"/>
      <c r="B768" s="38"/>
      <c r="C768" s="39"/>
      <c r="D768" s="40"/>
      <c r="E768" s="40"/>
      <c r="F768" s="41"/>
      <c r="G768" s="41"/>
      <c r="H768" s="41"/>
      <c r="I768" s="41"/>
      <c r="J768" s="41"/>
      <c r="K768" s="41"/>
      <c r="L768" s="41"/>
      <c r="M768" s="41"/>
      <c r="N768" s="41"/>
      <c r="O768" s="41"/>
      <c r="P768" s="41"/>
      <c r="Q768" s="41"/>
      <c r="R768" s="41"/>
      <c r="S768" s="41"/>
      <c r="T768" s="41"/>
      <c r="U768" s="41"/>
      <c r="V768" s="41"/>
      <c r="W768" s="41"/>
      <c r="X768" s="41"/>
      <c r="Y768" s="41"/>
      <c r="Z768" s="41"/>
    </row>
    <row r="769" customFormat="false" ht="14.25" hidden="false" customHeight="true" outlineLevel="0" collapsed="false">
      <c r="A769" s="38"/>
      <c r="B769" s="38"/>
      <c r="C769" s="39"/>
      <c r="D769" s="40"/>
      <c r="E769" s="40"/>
      <c r="F769" s="41"/>
      <c r="G769" s="41"/>
      <c r="H769" s="41"/>
      <c r="I769" s="41"/>
      <c r="J769" s="41"/>
      <c r="K769" s="41"/>
      <c r="L769" s="41"/>
      <c r="M769" s="41"/>
      <c r="N769" s="41"/>
      <c r="O769" s="41"/>
      <c r="P769" s="41"/>
      <c r="Q769" s="41"/>
      <c r="R769" s="41"/>
      <c r="S769" s="41"/>
      <c r="T769" s="41"/>
      <c r="U769" s="41"/>
      <c r="V769" s="41"/>
      <c r="W769" s="41"/>
      <c r="X769" s="41"/>
      <c r="Y769" s="41"/>
      <c r="Z769" s="41"/>
    </row>
    <row r="770" customFormat="false" ht="14.25" hidden="false" customHeight="true" outlineLevel="0" collapsed="false">
      <c r="A770" s="38"/>
      <c r="B770" s="38"/>
      <c r="C770" s="39"/>
      <c r="D770" s="40"/>
      <c r="E770" s="40"/>
      <c r="F770" s="41"/>
      <c r="G770" s="41"/>
      <c r="H770" s="41"/>
      <c r="I770" s="41"/>
      <c r="J770" s="41"/>
      <c r="K770" s="41"/>
      <c r="L770" s="41"/>
      <c r="M770" s="41"/>
      <c r="N770" s="41"/>
      <c r="O770" s="41"/>
      <c r="P770" s="41"/>
      <c r="Q770" s="41"/>
      <c r="R770" s="41"/>
      <c r="S770" s="41"/>
      <c r="T770" s="41"/>
      <c r="U770" s="41"/>
      <c r="V770" s="41"/>
      <c r="W770" s="41"/>
      <c r="X770" s="41"/>
      <c r="Y770" s="41"/>
      <c r="Z770" s="41"/>
    </row>
    <row r="771" customFormat="false" ht="14.25" hidden="false" customHeight="true" outlineLevel="0" collapsed="false">
      <c r="A771" s="38"/>
      <c r="B771" s="38"/>
      <c r="C771" s="39"/>
      <c r="D771" s="40"/>
      <c r="E771" s="40"/>
      <c r="F771" s="41"/>
      <c r="G771" s="41"/>
      <c r="H771" s="41"/>
      <c r="I771" s="41"/>
      <c r="J771" s="41"/>
      <c r="K771" s="41"/>
      <c r="L771" s="41"/>
      <c r="M771" s="41"/>
      <c r="N771" s="41"/>
      <c r="O771" s="41"/>
      <c r="P771" s="41"/>
      <c r="Q771" s="41"/>
      <c r="R771" s="41"/>
      <c r="S771" s="41"/>
      <c r="T771" s="41"/>
      <c r="U771" s="41"/>
      <c r="V771" s="41"/>
      <c r="W771" s="41"/>
      <c r="X771" s="41"/>
      <c r="Y771" s="41"/>
      <c r="Z771" s="41"/>
    </row>
    <row r="772" customFormat="false" ht="14.25" hidden="false" customHeight="true" outlineLevel="0" collapsed="false">
      <c r="A772" s="38"/>
      <c r="B772" s="38"/>
      <c r="C772" s="39"/>
      <c r="D772" s="40"/>
      <c r="E772" s="40"/>
      <c r="F772" s="41"/>
      <c r="G772" s="41"/>
      <c r="H772" s="41"/>
      <c r="I772" s="41"/>
      <c r="J772" s="41"/>
      <c r="K772" s="41"/>
      <c r="L772" s="41"/>
      <c r="M772" s="41"/>
      <c r="N772" s="41"/>
      <c r="O772" s="41"/>
      <c r="P772" s="41"/>
      <c r="Q772" s="41"/>
      <c r="R772" s="41"/>
      <c r="S772" s="41"/>
      <c r="T772" s="41"/>
      <c r="U772" s="41"/>
      <c r="V772" s="41"/>
      <c r="W772" s="41"/>
      <c r="X772" s="41"/>
      <c r="Y772" s="41"/>
      <c r="Z772" s="41"/>
    </row>
    <row r="773" customFormat="false" ht="14.25" hidden="false" customHeight="true" outlineLevel="0" collapsed="false">
      <c r="A773" s="38"/>
      <c r="B773" s="38"/>
      <c r="C773" s="39"/>
      <c r="D773" s="40"/>
      <c r="E773" s="40"/>
      <c r="F773" s="41"/>
      <c r="G773" s="41"/>
      <c r="H773" s="41"/>
      <c r="I773" s="41"/>
      <c r="J773" s="41"/>
      <c r="K773" s="41"/>
      <c r="L773" s="41"/>
      <c r="M773" s="41"/>
      <c r="N773" s="41"/>
      <c r="O773" s="41"/>
      <c r="P773" s="41"/>
      <c r="Q773" s="41"/>
      <c r="R773" s="41"/>
      <c r="S773" s="41"/>
      <c r="T773" s="41"/>
      <c r="U773" s="41"/>
      <c r="V773" s="41"/>
      <c r="W773" s="41"/>
      <c r="X773" s="41"/>
      <c r="Y773" s="41"/>
      <c r="Z773" s="41"/>
    </row>
    <row r="774" customFormat="false" ht="14.25" hidden="false" customHeight="true" outlineLevel="0" collapsed="false">
      <c r="A774" s="38"/>
      <c r="B774" s="38"/>
      <c r="C774" s="39"/>
      <c r="D774" s="40"/>
      <c r="E774" s="40"/>
      <c r="F774" s="41"/>
      <c r="G774" s="41"/>
      <c r="H774" s="41"/>
      <c r="I774" s="41"/>
      <c r="J774" s="41"/>
      <c r="K774" s="41"/>
      <c r="L774" s="41"/>
      <c r="M774" s="41"/>
      <c r="N774" s="41"/>
      <c r="O774" s="41"/>
      <c r="P774" s="41"/>
      <c r="Q774" s="41"/>
      <c r="R774" s="41"/>
      <c r="S774" s="41"/>
      <c r="T774" s="41"/>
      <c r="U774" s="41"/>
      <c r="V774" s="41"/>
      <c r="W774" s="41"/>
      <c r="X774" s="41"/>
      <c r="Y774" s="41"/>
      <c r="Z774" s="41"/>
    </row>
    <row r="775" customFormat="false" ht="14.25" hidden="false" customHeight="true" outlineLevel="0" collapsed="false">
      <c r="A775" s="38"/>
      <c r="B775" s="38"/>
      <c r="C775" s="39"/>
      <c r="D775" s="40"/>
      <c r="E775" s="40"/>
      <c r="F775" s="41"/>
      <c r="G775" s="41"/>
      <c r="H775" s="41"/>
      <c r="I775" s="41"/>
      <c r="J775" s="41"/>
      <c r="K775" s="41"/>
      <c r="L775" s="41"/>
      <c r="M775" s="41"/>
      <c r="N775" s="41"/>
      <c r="O775" s="41"/>
      <c r="P775" s="41"/>
      <c r="Q775" s="41"/>
      <c r="R775" s="41"/>
      <c r="S775" s="41"/>
      <c r="T775" s="41"/>
      <c r="U775" s="41"/>
      <c r="V775" s="41"/>
      <c r="W775" s="41"/>
      <c r="X775" s="41"/>
      <c r="Y775" s="41"/>
      <c r="Z775" s="41"/>
    </row>
    <row r="776" customFormat="false" ht="14.25" hidden="false" customHeight="true" outlineLevel="0" collapsed="false">
      <c r="A776" s="38"/>
      <c r="B776" s="38"/>
      <c r="C776" s="39"/>
      <c r="D776" s="40"/>
      <c r="E776" s="40"/>
      <c r="F776" s="41"/>
      <c r="G776" s="41"/>
      <c r="H776" s="41"/>
      <c r="I776" s="41"/>
      <c r="J776" s="41"/>
      <c r="K776" s="41"/>
      <c r="L776" s="41"/>
      <c r="M776" s="41"/>
      <c r="N776" s="41"/>
      <c r="O776" s="41"/>
      <c r="P776" s="41"/>
      <c r="Q776" s="41"/>
      <c r="R776" s="41"/>
      <c r="S776" s="41"/>
      <c r="T776" s="41"/>
      <c r="U776" s="41"/>
      <c r="V776" s="41"/>
      <c r="W776" s="41"/>
      <c r="X776" s="41"/>
      <c r="Y776" s="41"/>
      <c r="Z776" s="41"/>
    </row>
    <row r="777" customFormat="false" ht="14.25" hidden="false" customHeight="true" outlineLevel="0" collapsed="false">
      <c r="A777" s="38"/>
      <c r="B777" s="38"/>
      <c r="C777" s="39"/>
      <c r="D777" s="40"/>
      <c r="E777" s="40"/>
      <c r="F777" s="41"/>
      <c r="G777" s="41"/>
      <c r="H777" s="41"/>
      <c r="I777" s="41"/>
      <c r="J777" s="41"/>
      <c r="K777" s="41"/>
      <c r="L777" s="41"/>
      <c r="M777" s="41"/>
      <c r="N777" s="41"/>
      <c r="O777" s="41"/>
      <c r="P777" s="41"/>
      <c r="Q777" s="41"/>
      <c r="R777" s="41"/>
      <c r="S777" s="41"/>
      <c r="T777" s="41"/>
      <c r="U777" s="41"/>
      <c r="V777" s="41"/>
      <c r="W777" s="41"/>
      <c r="X777" s="41"/>
      <c r="Y777" s="41"/>
      <c r="Z777" s="41"/>
    </row>
    <row r="778" customFormat="false" ht="14.25" hidden="false" customHeight="true" outlineLevel="0" collapsed="false">
      <c r="A778" s="38"/>
      <c r="B778" s="38"/>
      <c r="C778" s="39"/>
      <c r="D778" s="40"/>
      <c r="E778" s="40"/>
      <c r="F778" s="41"/>
      <c r="G778" s="41"/>
      <c r="H778" s="41"/>
      <c r="I778" s="41"/>
      <c r="J778" s="41"/>
      <c r="K778" s="41"/>
      <c r="L778" s="41"/>
      <c r="M778" s="41"/>
      <c r="N778" s="41"/>
      <c r="O778" s="41"/>
      <c r="P778" s="41"/>
      <c r="Q778" s="41"/>
      <c r="R778" s="41"/>
      <c r="S778" s="41"/>
      <c r="T778" s="41"/>
      <c r="U778" s="41"/>
      <c r="V778" s="41"/>
      <c r="W778" s="41"/>
      <c r="X778" s="41"/>
      <c r="Y778" s="41"/>
      <c r="Z778" s="41"/>
    </row>
    <row r="779" customFormat="false" ht="14.25" hidden="false" customHeight="true" outlineLevel="0" collapsed="false">
      <c r="A779" s="38"/>
      <c r="B779" s="38"/>
      <c r="C779" s="39"/>
      <c r="D779" s="40"/>
      <c r="E779" s="40"/>
      <c r="F779" s="41"/>
      <c r="G779" s="41"/>
      <c r="H779" s="41"/>
      <c r="I779" s="41"/>
      <c r="J779" s="41"/>
      <c r="K779" s="41"/>
      <c r="L779" s="41"/>
      <c r="M779" s="41"/>
      <c r="N779" s="41"/>
      <c r="O779" s="41"/>
      <c r="P779" s="41"/>
      <c r="Q779" s="41"/>
      <c r="R779" s="41"/>
      <c r="S779" s="41"/>
      <c r="T779" s="41"/>
      <c r="U779" s="41"/>
      <c r="V779" s="41"/>
      <c r="W779" s="41"/>
      <c r="X779" s="41"/>
      <c r="Y779" s="41"/>
      <c r="Z779" s="41"/>
    </row>
    <row r="780" customFormat="false" ht="14.25" hidden="false" customHeight="true" outlineLevel="0" collapsed="false">
      <c r="A780" s="38"/>
      <c r="B780" s="38"/>
      <c r="C780" s="39"/>
      <c r="D780" s="40"/>
      <c r="E780" s="40"/>
      <c r="F780" s="41"/>
      <c r="G780" s="41"/>
      <c r="H780" s="41"/>
      <c r="I780" s="41"/>
      <c r="J780" s="41"/>
      <c r="K780" s="41"/>
      <c r="L780" s="41"/>
      <c r="M780" s="41"/>
      <c r="N780" s="41"/>
      <c r="O780" s="41"/>
      <c r="P780" s="41"/>
      <c r="Q780" s="41"/>
      <c r="R780" s="41"/>
      <c r="S780" s="41"/>
      <c r="T780" s="41"/>
      <c r="U780" s="41"/>
      <c r="V780" s="41"/>
      <c r="W780" s="41"/>
      <c r="X780" s="41"/>
      <c r="Y780" s="41"/>
      <c r="Z780" s="41"/>
    </row>
    <row r="781" customFormat="false" ht="14.25" hidden="false" customHeight="true" outlineLevel="0" collapsed="false">
      <c r="A781" s="38"/>
      <c r="B781" s="38"/>
      <c r="C781" s="39"/>
      <c r="D781" s="40"/>
      <c r="E781" s="40"/>
      <c r="F781" s="41"/>
      <c r="G781" s="41"/>
      <c r="H781" s="41"/>
      <c r="I781" s="41"/>
      <c r="J781" s="41"/>
      <c r="K781" s="41"/>
      <c r="L781" s="41"/>
      <c r="M781" s="41"/>
      <c r="N781" s="41"/>
      <c r="O781" s="41"/>
      <c r="P781" s="41"/>
      <c r="Q781" s="41"/>
      <c r="R781" s="41"/>
      <c r="S781" s="41"/>
      <c r="T781" s="41"/>
      <c r="U781" s="41"/>
      <c r="V781" s="41"/>
      <c r="W781" s="41"/>
      <c r="X781" s="41"/>
      <c r="Y781" s="41"/>
      <c r="Z781" s="41"/>
    </row>
    <row r="782" customFormat="false" ht="14.25" hidden="false" customHeight="true" outlineLevel="0" collapsed="false">
      <c r="A782" s="38"/>
      <c r="B782" s="38"/>
      <c r="C782" s="39"/>
      <c r="D782" s="40"/>
      <c r="E782" s="40"/>
      <c r="F782" s="41"/>
      <c r="G782" s="41"/>
      <c r="H782" s="41"/>
      <c r="I782" s="41"/>
      <c r="J782" s="41"/>
      <c r="K782" s="41"/>
      <c r="L782" s="41"/>
      <c r="M782" s="41"/>
      <c r="N782" s="41"/>
      <c r="O782" s="41"/>
      <c r="P782" s="41"/>
      <c r="Q782" s="41"/>
      <c r="R782" s="41"/>
      <c r="S782" s="41"/>
      <c r="T782" s="41"/>
      <c r="U782" s="41"/>
      <c r="V782" s="41"/>
      <c r="W782" s="41"/>
      <c r="X782" s="41"/>
      <c r="Y782" s="41"/>
      <c r="Z782" s="41"/>
    </row>
    <row r="783" customFormat="false" ht="14.25" hidden="false" customHeight="true" outlineLevel="0" collapsed="false">
      <c r="A783" s="38"/>
      <c r="B783" s="38"/>
      <c r="C783" s="39"/>
      <c r="D783" s="40"/>
      <c r="E783" s="40"/>
      <c r="F783" s="41"/>
      <c r="G783" s="41"/>
      <c r="H783" s="41"/>
      <c r="I783" s="41"/>
      <c r="J783" s="41"/>
      <c r="K783" s="41"/>
      <c r="L783" s="41"/>
      <c r="M783" s="41"/>
      <c r="N783" s="41"/>
      <c r="O783" s="41"/>
      <c r="P783" s="41"/>
      <c r="Q783" s="41"/>
      <c r="R783" s="41"/>
      <c r="S783" s="41"/>
      <c r="T783" s="41"/>
      <c r="U783" s="41"/>
      <c r="V783" s="41"/>
      <c r="W783" s="41"/>
      <c r="X783" s="41"/>
      <c r="Y783" s="41"/>
      <c r="Z783" s="41"/>
    </row>
    <row r="784" customFormat="false" ht="14.25" hidden="false" customHeight="true" outlineLevel="0" collapsed="false">
      <c r="A784" s="38"/>
      <c r="B784" s="38"/>
      <c r="C784" s="39"/>
      <c r="D784" s="40"/>
      <c r="E784" s="40"/>
      <c r="F784" s="41"/>
      <c r="G784" s="41"/>
      <c r="H784" s="41"/>
      <c r="I784" s="41"/>
      <c r="J784" s="41"/>
      <c r="K784" s="41"/>
      <c r="L784" s="41"/>
      <c r="M784" s="41"/>
      <c r="N784" s="41"/>
      <c r="O784" s="41"/>
      <c r="P784" s="41"/>
      <c r="Q784" s="41"/>
      <c r="R784" s="41"/>
      <c r="S784" s="41"/>
      <c r="T784" s="41"/>
      <c r="U784" s="41"/>
      <c r="V784" s="41"/>
      <c r="W784" s="41"/>
      <c r="X784" s="41"/>
      <c r="Y784" s="41"/>
      <c r="Z784" s="41"/>
    </row>
    <row r="785" customFormat="false" ht="14.25" hidden="false" customHeight="true" outlineLevel="0" collapsed="false">
      <c r="A785" s="38"/>
      <c r="B785" s="38"/>
      <c r="C785" s="39"/>
      <c r="D785" s="40"/>
      <c r="E785" s="40"/>
      <c r="F785" s="41"/>
      <c r="G785" s="41"/>
      <c r="H785" s="41"/>
      <c r="I785" s="41"/>
      <c r="J785" s="41"/>
      <c r="K785" s="41"/>
      <c r="L785" s="41"/>
      <c r="M785" s="41"/>
      <c r="N785" s="41"/>
      <c r="O785" s="41"/>
      <c r="P785" s="41"/>
      <c r="Q785" s="41"/>
      <c r="R785" s="41"/>
      <c r="S785" s="41"/>
      <c r="T785" s="41"/>
      <c r="U785" s="41"/>
      <c r="V785" s="41"/>
      <c r="W785" s="41"/>
      <c r="X785" s="41"/>
      <c r="Y785" s="41"/>
      <c r="Z785" s="41"/>
    </row>
    <row r="786" customFormat="false" ht="14.25" hidden="false" customHeight="true" outlineLevel="0" collapsed="false">
      <c r="A786" s="38"/>
      <c r="B786" s="38"/>
      <c r="C786" s="39"/>
      <c r="D786" s="40"/>
      <c r="E786" s="40"/>
      <c r="F786" s="41"/>
      <c r="G786" s="41"/>
      <c r="H786" s="41"/>
      <c r="I786" s="41"/>
      <c r="J786" s="41"/>
      <c r="K786" s="41"/>
      <c r="L786" s="41"/>
      <c r="M786" s="41"/>
      <c r="N786" s="41"/>
      <c r="O786" s="41"/>
      <c r="P786" s="41"/>
      <c r="Q786" s="41"/>
      <c r="R786" s="41"/>
      <c r="S786" s="41"/>
      <c r="T786" s="41"/>
      <c r="U786" s="41"/>
      <c r="V786" s="41"/>
      <c r="W786" s="41"/>
      <c r="X786" s="41"/>
      <c r="Y786" s="41"/>
      <c r="Z786" s="41"/>
    </row>
    <row r="787" customFormat="false" ht="14.25" hidden="false" customHeight="true" outlineLevel="0" collapsed="false">
      <c r="A787" s="38"/>
      <c r="B787" s="38"/>
      <c r="C787" s="39"/>
      <c r="D787" s="40"/>
      <c r="E787" s="40"/>
      <c r="F787" s="41"/>
      <c r="G787" s="41"/>
      <c r="H787" s="41"/>
      <c r="I787" s="41"/>
      <c r="J787" s="41"/>
      <c r="K787" s="41"/>
      <c r="L787" s="41"/>
      <c r="M787" s="41"/>
      <c r="N787" s="41"/>
      <c r="O787" s="41"/>
      <c r="P787" s="41"/>
      <c r="Q787" s="41"/>
      <c r="R787" s="41"/>
      <c r="S787" s="41"/>
      <c r="T787" s="41"/>
      <c r="U787" s="41"/>
      <c r="V787" s="41"/>
      <c r="W787" s="41"/>
      <c r="X787" s="41"/>
      <c r="Y787" s="41"/>
      <c r="Z787" s="41"/>
    </row>
    <row r="788" customFormat="false" ht="14.25" hidden="false" customHeight="true" outlineLevel="0" collapsed="false">
      <c r="A788" s="38"/>
      <c r="B788" s="38"/>
      <c r="C788" s="39"/>
      <c r="D788" s="40"/>
      <c r="E788" s="40"/>
      <c r="F788" s="41"/>
      <c r="G788" s="41"/>
      <c r="H788" s="41"/>
      <c r="I788" s="41"/>
      <c r="J788" s="41"/>
      <c r="K788" s="41"/>
      <c r="L788" s="41"/>
      <c r="M788" s="41"/>
      <c r="N788" s="41"/>
      <c r="O788" s="41"/>
      <c r="P788" s="41"/>
      <c r="Q788" s="41"/>
      <c r="R788" s="41"/>
      <c r="S788" s="41"/>
      <c r="T788" s="41"/>
      <c r="U788" s="41"/>
      <c r="V788" s="41"/>
      <c r="W788" s="41"/>
      <c r="X788" s="41"/>
      <c r="Y788" s="41"/>
      <c r="Z788" s="41"/>
    </row>
    <row r="789" customFormat="false" ht="14.25" hidden="false" customHeight="true" outlineLevel="0" collapsed="false">
      <c r="A789" s="38"/>
      <c r="B789" s="38"/>
      <c r="C789" s="39"/>
      <c r="D789" s="40"/>
      <c r="E789" s="40"/>
      <c r="F789" s="41"/>
      <c r="G789" s="41"/>
      <c r="H789" s="41"/>
      <c r="I789" s="41"/>
      <c r="J789" s="41"/>
      <c r="K789" s="41"/>
      <c r="L789" s="41"/>
      <c r="M789" s="41"/>
      <c r="N789" s="41"/>
      <c r="O789" s="41"/>
      <c r="P789" s="41"/>
      <c r="Q789" s="41"/>
      <c r="R789" s="41"/>
      <c r="S789" s="41"/>
      <c r="T789" s="41"/>
      <c r="U789" s="41"/>
      <c r="V789" s="41"/>
      <c r="W789" s="41"/>
      <c r="X789" s="41"/>
      <c r="Y789" s="41"/>
      <c r="Z789" s="41"/>
    </row>
    <row r="790" customFormat="false" ht="14.25" hidden="false" customHeight="true" outlineLevel="0" collapsed="false">
      <c r="A790" s="38"/>
      <c r="B790" s="38"/>
      <c r="C790" s="39"/>
      <c r="D790" s="40"/>
      <c r="E790" s="40"/>
      <c r="F790" s="41"/>
      <c r="G790" s="41"/>
      <c r="H790" s="41"/>
      <c r="I790" s="41"/>
      <c r="J790" s="41"/>
      <c r="K790" s="41"/>
      <c r="L790" s="41"/>
      <c r="M790" s="41"/>
      <c r="N790" s="41"/>
      <c r="O790" s="41"/>
      <c r="P790" s="41"/>
      <c r="Q790" s="41"/>
      <c r="R790" s="41"/>
      <c r="S790" s="41"/>
      <c r="T790" s="41"/>
      <c r="U790" s="41"/>
      <c r="V790" s="41"/>
      <c r="W790" s="41"/>
      <c r="X790" s="41"/>
      <c r="Y790" s="41"/>
      <c r="Z790" s="41"/>
    </row>
    <row r="791" customFormat="false" ht="14.25" hidden="false" customHeight="true" outlineLevel="0" collapsed="false">
      <c r="A791" s="38"/>
      <c r="B791" s="38"/>
      <c r="C791" s="39"/>
      <c r="D791" s="40"/>
      <c r="E791" s="40"/>
      <c r="F791" s="41"/>
      <c r="G791" s="41"/>
      <c r="H791" s="41"/>
      <c r="I791" s="41"/>
      <c r="J791" s="41"/>
      <c r="K791" s="41"/>
      <c r="L791" s="41"/>
      <c r="M791" s="41"/>
      <c r="N791" s="41"/>
      <c r="O791" s="41"/>
      <c r="P791" s="41"/>
      <c r="Q791" s="41"/>
      <c r="R791" s="41"/>
      <c r="S791" s="41"/>
      <c r="T791" s="41"/>
      <c r="U791" s="41"/>
      <c r="V791" s="41"/>
      <c r="W791" s="41"/>
      <c r="X791" s="41"/>
      <c r="Y791" s="41"/>
      <c r="Z791" s="41"/>
    </row>
    <row r="792" customFormat="false" ht="14.25" hidden="false" customHeight="true" outlineLevel="0" collapsed="false">
      <c r="A792" s="38"/>
      <c r="B792" s="38"/>
      <c r="C792" s="39"/>
      <c r="D792" s="40"/>
      <c r="E792" s="40"/>
      <c r="F792" s="41"/>
      <c r="G792" s="41"/>
      <c r="H792" s="41"/>
      <c r="I792" s="41"/>
      <c r="J792" s="41"/>
      <c r="K792" s="41"/>
      <c r="L792" s="41"/>
      <c r="M792" s="41"/>
      <c r="N792" s="41"/>
      <c r="O792" s="41"/>
      <c r="P792" s="41"/>
      <c r="Q792" s="41"/>
      <c r="R792" s="41"/>
      <c r="S792" s="41"/>
      <c r="T792" s="41"/>
      <c r="U792" s="41"/>
      <c r="V792" s="41"/>
      <c r="W792" s="41"/>
      <c r="X792" s="41"/>
      <c r="Y792" s="41"/>
      <c r="Z792" s="41"/>
    </row>
    <row r="793" customFormat="false" ht="14.25" hidden="false" customHeight="true" outlineLevel="0" collapsed="false">
      <c r="A793" s="38"/>
      <c r="B793" s="38"/>
      <c r="C793" s="39"/>
      <c r="D793" s="40"/>
      <c r="E793" s="40"/>
      <c r="F793" s="41"/>
      <c r="G793" s="41"/>
      <c r="H793" s="41"/>
      <c r="I793" s="41"/>
      <c r="J793" s="41"/>
      <c r="K793" s="41"/>
      <c r="L793" s="41"/>
      <c r="M793" s="41"/>
      <c r="N793" s="41"/>
      <c r="O793" s="41"/>
      <c r="P793" s="41"/>
      <c r="Q793" s="41"/>
      <c r="R793" s="41"/>
      <c r="S793" s="41"/>
      <c r="T793" s="41"/>
      <c r="U793" s="41"/>
      <c r="V793" s="41"/>
      <c r="W793" s="41"/>
      <c r="X793" s="41"/>
      <c r="Y793" s="41"/>
      <c r="Z793" s="41"/>
    </row>
    <row r="794" customFormat="false" ht="14.25" hidden="false" customHeight="true" outlineLevel="0" collapsed="false">
      <c r="A794" s="38"/>
      <c r="B794" s="38"/>
      <c r="C794" s="39"/>
      <c r="D794" s="40"/>
      <c r="E794" s="40"/>
      <c r="F794" s="41"/>
      <c r="G794" s="41"/>
      <c r="H794" s="41"/>
      <c r="I794" s="41"/>
      <c r="J794" s="41"/>
      <c r="K794" s="41"/>
      <c r="L794" s="41"/>
      <c r="M794" s="41"/>
      <c r="N794" s="41"/>
      <c r="O794" s="41"/>
      <c r="P794" s="41"/>
      <c r="Q794" s="41"/>
      <c r="R794" s="41"/>
      <c r="S794" s="41"/>
      <c r="T794" s="41"/>
      <c r="U794" s="41"/>
      <c r="V794" s="41"/>
      <c r="W794" s="41"/>
      <c r="X794" s="41"/>
      <c r="Y794" s="41"/>
      <c r="Z794" s="41"/>
    </row>
    <row r="795" customFormat="false" ht="14.25" hidden="false" customHeight="true" outlineLevel="0" collapsed="false">
      <c r="A795" s="38"/>
      <c r="B795" s="38"/>
      <c r="C795" s="39"/>
      <c r="D795" s="40"/>
      <c r="E795" s="40"/>
      <c r="F795" s="41"/>
      <c r="G795" s="41"/>
      <c r="H795" s="41"/>
      <c r="I795" s="41"/>
      <c r="J795" s="41"/>
      <c r="K795" s="41"/>
      <c r="L795" s="41"/>
      <c r="M795" s="41"/>
      <c r="N795" s="41"/>
      <c r="O795" s="41"/>
      <c r="P795" s="41"/>
      <c r="Q795" s="41"/>
      <c r="R795" s="41"/>
      <c r="S795" s="41"/>
      <c r="T795" s="41"/>
      <c r="U795" s="41"/>
      <c r="V795" s="41"/>
      <c r="W795" s="41"/>
      <c r="X795" s="41"/>
      <c r="Y795" s="41"/>
      <c r="Z795" s="41"/>
    </row>
    <row r="796" customFormat="false" ht="14.25" hidden="false" customHeight="true" outlineLevel="0" collapsed="false">
      <c r="A796" s="38"/>
      <c r="B796" s="38"/>
      <c r="C796" s="39"/>
      <c r="D796" s="40"/>
      <c r="E796" s="40"/>
      <c r="F796" s="41"/>
      <c r="G796" s="41"/>
      <c r="H796" s="41"/>
      <c r="I796" s="41"/>
      <c r="J796" s="41"/>
      <c r="K796" s="41"/>
      <c r="L796" s="41"/>
      <c r="M796" s="41"/>
      <c r="N796" s="41"/>
      <c r="O796" s="41"/>
      <c r="P796" s="41"/>
      <c r="Q796" s="41"/>
      <c r="R796" s="41"/>
      <c r="S796" s="41"/>
      <c r="T796" s="41"/>
      <c r="U796" s="41"/>
      <c r="V796" s="41"/>
      <c r="W796" s="41"/>
      <c r="X796" s="41"/>
      <c r="Y796" s="41"/>
      <c r="Z796" s="41"/>
    </row>
    <row r="797" customFormat="false" ht="14.25" hidden="false" customHeight="true" outlineLevel="0" collapsed="false">
      <c r="A797" s="38"/>
      <c r="B797" s="38"/>
      <c r="C797" s="39"/>
      <c r="D797" s="40"/>
      <c r="E797" s="40"/>
      <c r="F797" s="41"/>
      <c r="G797" s="41"/>
      <c r="H797" s="41"/>
      <c r="I797" s="41"/>
      <c r="J797" s="41"/>
      <c r="K797" s="41"/>
      <c r="L797" s="41"/>
      <c r="M797" s="41"/>
      <c r="N797" s="41"/>
      <c r="O797" s="41"/>
      <c r="P797" s="41"/>
      <c r="Q797" s="41"/>
      <c r="R797" s="41"/>
      <c r="S797" s="41"/>
      <c r="T797" s="41"/>
      <c r="U797" s="41"/>
      <c r="V797" s="41"/>
      <c r="W797" s="41"/>
      <c r="X797" s="41"/>
      <c r="Y797" s="41"/>
      <c r="Z797" s="41"/>
    </row>
    <row r="798" customFormat="false" ht="14.25" hidden="false" customHeight="true" outlineLevel="0" collapsed="false">
      <c r="A798" s="38"/>
      <c r="B798" s="38"/>
      <c r="C798" s="39"/>
      <c r="D798" s="40"/>
      <c r="E798" s="40"/>
      <c r="F798" s="41"/>
      <c r="G798" s="41"/>
      <c r="H798" s="41"/>
      <c r="I798" s="41"/>
      <c r="J798" s="41"/>
      <c r="K798" s="41"/>
      <c r="L798" s="41"/>
      <c r="M798" s="41"/>
      <c r="N798" s="41"/>
      <c r="O798" s="41"/>
      <c r="P798" s="41"/>
      <c r="Q798" s="41"/>
      <c r="R798" s="41"/>
      <c r="S798" s="41"/>
      <c r="T798" s="41"/>
      <c r="U798" s="41"/>
      <c r="V798" s="41"/>
      <c r="W798" s="41"/>
      <c r="X798" s="41"/>
      <c r="Y798" s="41"/>
      <c r="Z798" s="41"/>
    </row>
    <row r="799" customFormat="false" ht="14.25" hidden="false" customHeight="true" outlineLevel="0" collapsed="false">
      <c r="A799" s="38"/>
      <c r="B799" s="38"/>
      <c r="C799" s="39"/>
      <c r="D799" s="40"/>
      <c r="E799" s="40"/>
      <c r="F799" s="41"/>
      <c r="G799" s="41"/>
      <c r="H799" s="41"/>
      <c r="I799" s="41"/>
      <c r="J799" s="41"/>
      <c r="K799" s="41"/>
      <c r="L799" s="41"/>
      <c r="M799" s="41"/>
      <c r="N799" s="41"/>
      <c r="O799" s="41"/>
      <c r="P799" s="41"/>
      <c r="Q799" s="41"/>
      <c r="R799" s="41"/>
      <c r="S799" s="41"/>
      <c r="T799" s="41"/>
      <c r="U799" s="41"/>
      <c r="V799" s="41"/>
      <c r="W799" s="41"/>
      <c r="X799" s="41"/>
      <c r="Y799" s="41"/>
      <c r="Z799" s="41"/>
    </row>
    <row r="800" customFormat="false" ht="14.25" hidden="false" customHeight="true" outlineLevel="0" collapsed="false">
      <c r="A800" s="38"/>
      <c r="B800" s="38"/>
      <c r="C800" s="39"/>
      <c r="D800" s="40"/>
      <c r="E800" s="40"/>
      <c r="F800" s="41"/>
      <c r="G800" s="41"/>
      <c r="H800" s="41"/>
      <c r="I800" s="41"/>
      <c r="J800" s="41"/>
      <c r="K800" s="41"/>
      <c r="L800" s="41"/>
      <c r="M800" s="41"/>
      <c r="N800" s="41"/>
      <c r="O800" s="41"/>
      <c r="P800" s="41"/>
      <c r="Q800" s="41"/>
      <c r="R800" s="41"/>
      <c r="S800" s="41"/>
      <c r="T800" s="41"/>
      <c r="U800" s="41"/>
      <c r="V800" s="41"/>
      <c r="W800" s="41"/>
      <c r="X800" s="41"/>
      <c r="Y800" s="41"/>
      <c r="Z800" s="41"/>
    </row>
    <row r="801" customFormat="false" ht="14.25" hidden="false" customHeight="true" outlineLevel="0" collapsed="false">
      <c r="A801" s="38"/>
      <c r="B801" s="38"/>
      <c r="C801" s="39"/>
      <c r="D801" s="40"/>
      <c r="E801" s="40"/>
      <c r="F801" s="41"/>
      <c r="G801" s="41"/>
      <c r="H801" s="41"/>
      <c r="I801" s="41"/>
      <c r="J801" s="41"/>
      <c r="K801" s="41"/>
      <c r="L801" s="41"/>
      <c r="M801" s="41"/>
      <c r="N801" s="41"/>
      <c r="O801" s="41"/>
      <c r="P801" s="41"/>
      <c r="Q801" s="41"/>
      <c r="R801" s="41"/>
      <c r="S801" s="41"/>
      <c r="T801" s="41"/>
      <c r="U801" s="41"/>
      <c r="V801" s="41"/>
      <c r="W801" s="41"/>
      <c r="X801" s="41"/>
      <c r="Y801" s="41"/>
      <c r="Z801" s="41"/>
    </row>
    <row r="802" customFormat="false" ht="14.25" hidden="false" customHeight="true" outlineLevel="0" collapsed="false">
      <c r="A802" s="38"/>
      <c r="B802" s="38"/>
      <c r="C802" s="39"/>
      <c r="D802" s="40"/>
      <c r="E802" s="40"/>
      <c r="F802" s="41"/>
      <c r="G802" s="41"/>
      <c r="H802" s="41"/>
      <c r="I802" s="41"/>
      <c r="J802" s="41"/>
      <c r="K802" s="41"/>
      <c r="L802" s="41"/>
      <c r="M802" s="41"/>
      <c r="N802" s="41"/>
      <c r="O802" s="41"/>
      <c r="P802" s="41"/>
      <c r="Q802" s="41"/>
      <c r="R802" s="41"/>
      <c r="S802" s="41"/>
      <c r="T802" s="41"/>
      <c r="U802" s="41"/>
      <c r="V802" s="41"/>
      <c r="W802" s="41"/>
      <c r="X802" s="41"/>
      <c r="Y802" s="41"/>
      <c r="Z802" s="41"/>
    </row>
    <row r="803" customFormat="false" ht="14.25" hidden="false" customHeight="true" outlineLevel="0" collapsed="false">
      <c r="A803" s="38"/>
      <c r="B803" s="38"/>
      <c r="C803" s="39"/>
      <c r="D803" s="40"/>
      <c r="E803" s="40"/>
      <c r="F803" s="41"/>
      <c r="G803" s="41"/>
      <c r="H803" s="41"/>
      <c r="I803" s="41"/>
      <c r="J803" s="41"/>
      <c r="K803" s="41"/>
      <c r="L803" s="41"/>
      <c r="M803" s="41"/>
      <c r="N803" s="41"/>
      <c r="O803" s="41"/>
      <c r="P803" s="41"/>
      <c r="Q803" s="41"/>
      <c r="R803" s="41"/>
      <c r="S803" s="41"/>
      <c r="T803" s="41"/>
      <c r="U803" s="41"/>
      <c r="V803" s="41"/>
      <c r="W803" s="41"/>
      <c r="X803" s="41"/>
      <c r="Y803" s="41"/>
      <c r="Z803" s="41"/>
    </row>
    <row r="804" customFormat="false" ht="14.25" hidden="false" customHeight="true" outlineLevel="0" collapsed="false">
      <c r="A804" s="38"/>
      <c r="B804" s="38"/>
      <c r="C804" s="39"/>
      <c r="D804" s="40"/>
      <c r="E804" s="40"/>
      <c r="F804" s="41"/>
      <c r="G804" s="41"/>
      <c r="H804" s="41"/>
      <c r="I804" s="41"/>
      <c r="J804" s="41"/>
      <c r="K804" s="41"/>
      <c r="L804" s="41"/>
      <c r="M804" s="41"/>
      <c r="N804" s="41"/>
      <c r="O804" s="41"/>
      <c r="P804" s="41"/>
      <c r="Q804" s="41"/>
      <c r="R804" s="41"/>
      <c r="S804" s="41"/>
      <c r="T804" s="41"/>
      <c r="U804" s="41"/>
      <c r="V804" s="41"/>
      <c r="W804" s="41"/>
      <c r="X804" s="41"/>
      <c r="Y804" s="41"/>
      <c r="Z804" s="41"/>
    </row>
    <row r="805" customFormat="false" ht="14.25" hidden="false" customHeight="true" outlineLevel="0" collapsed="false">
      <c r="A805" s="38"/>
      <c r="B805" s="38"/>
      <c r="C805" s="39"/>
      <c r="D805" s="40"/>
      <c r="E805" s="40"/>
      <c r="F805" s="41"/>
      <c r="G805" s="41"/>
      <c r="H805" s="41"/>
      <c r="I805" s="41"/>
      <c r="J805" s="41"/>
      <c r="K805" s="41"/>
      <c r="L805" s="41"/>
      <c r="M805" s="41"/>
      <c r="N805" s="41"/>
      <c r="O805" s="41"/>
      <c r="P805" s="41"/>
      <c r="Q805" s="41"/>
      <c r="R805" s="41"/>
      <c r="S805" s="41"/>
      <c r="T805" s="41"/>
      <c r="U805" s="41"/>
      <c r="V805" s="41"/>
      <c r="W805" s="41"/>
      <c r="X805" s="41"/>
      <c r="Y805" s="41"/>
      <c r="Z805" s="41"/>
    </row>
    <row r="806" customFormat="false" ht="14.25" hidden="false" customHeight="true" outlineLevel="0" collapsed="false">
      <c r="A806" s="38"/>
      <c r="B806" s="38"/>
      <c r="C806" s="39"/>
      <c r="D806" s="40"/>
      <c r="E806" s="40"/>
      <c r="F806" s="41"/>
      <c r="G806" s="41"/>
      <c r="H806" s="41"/>
      <c r="I806" s="41"/>
      <c r="J806" s="41"/>
      <c r="K806" s="41"/>
      <c r="L806" s="41"/>
      <c r="M806" s="41"/>
      <c r="N806" s="41"/>
      <c r="O806" s="41"/>
      <c r="P806" s="41"/>
      <c r="Q806" s="41"/>
      <c r="R806" s="41"/>
      <c r="S806" s="41"/>
      <c r="T806" s="41"/>
      <c r="U806" s="41"/>
      <c r="V806" s="41"/>
      <c r="W806" s="41"/>
      <c r="X806" s="41"/>
      <c r="Y806" s="41"/>
      <c r="Z806" s="41"/>
    </row>
    <row r="807" customFormat="false" ht="14.25" hidden="false" customHeight="true" outlineLevel="0" collapsed="false">
      <c r="A807" s="38"/>
      <c r="B807" s="38"/>
      <c r="C807" s="39"/>
      <c r="D807" s="40"/>
      <c r="E807" s="40"/>
      <c r="F807" s="41"/>
      <c r="G807" s="41"/>
      <c r="H807" s="41"/>
      <c r="I807" s="41"/>
      <c r="J807" s="41"/>
      <c r="K807" s="41"/>
      <c r="L807" s="41"/>
      <c r="M807" s="41"/>
      <c r="N807" s="41"/>
      <c r="O807" s="41"/>
      <c r="P807" s="41"/>
      <c r="Q807" s="41"/>
      <c r="R807" s="41"/>
      <c r="S807" s="41"/>
      <c r="T807" s="41"/>
      <c r="U807" s="41"/>
      <c r="V807" s="41"/>
      <c r="W807" s="41"/>
      <c r="X807" s="41"/>
      <c r="Y807" s="41"/>
      <c r="Z807" s="41"/>
    </row>
    <row r="808" customFormat="false" ht="14.25" hidden="false" customHeight="true" outlineLevel="0" collapsed="false">
      <c r="A808" s="38"/>
      <c r="B808" s="38"/>
      <c r="C808" s="39"/>
      <c r="D808" s="40"/>
      <c r="E808" s="40"/>
      <c r="F808" s="41"/>
      <c r="G808" s="41"/>
      <c r="H808" s="41"/>
      <c r="I808" s="41"/>
      <c r="J808" s="41"/>
      <c r="K808" s="41"/>
      <c r="L808" s="41"/>
      <c r="M808" s="41"/>
      <c r="N808" s="41"/>
      <c r="O808" s="41"/>
      <c r="P808" s="41"/>
      <c r="Q808" s="41"/>
      <c r="R808" s="41"/>
      <c r="S808" s="41"/>
      <c r="T808" s="41"/>
      <c r="U808" s="41"/>
      <c r="V808" s="41"/>
      <c r="W808" s="41"/>
      <c r="X808" s="41"/>
      <c r="Y808" s="41"/>
      <c r="Z808" s="41"/>
    </row>
    <row r="809" customFormat="false" ht="14.25" hidden="false" customHeight="true" outlineLevel="0" collapsed="false">
      <c r="A809" s="38"/>
      <c r="B809" s="38"/>
      <c r="C809" s="39"/>
      <c r="D809" s="40"/>
      <c r="E809" s="40"/>
      <c r="F809" s="41"/>
      <c r="G809" s="41"/>
      <c r="H809" s="41"/>
      <c r="I809" s="41"/>
      <c r="J809" s="41"/>
      <c r="K809" s="41"/>
      <c r="L809" s="41"/>
      <c r="M809" s="41"/>
      <c r="N809" s="41"/>
      <c r="O809" s="41"/>
      <c r="P809" s="41"/>
      <c r="Q809" s="41"/>
      <c r="R809" s="41"/>
      <c r="S809" s="41"/>
      <c r="T809" s="41"/>
      <c r="U809" s="41"/>
      <c r="V809" s="41"/>
      <c r="W809" s="41"/>
      <c r="X809" s="41"/>
      <c r="Y809" s="41"/>
      <c r="Z809" s="41"/>
    </row>
    <row r="810" customFormat="false" ht="14.25" hidden="false" customHeight="true" outlineLevel="0" collapsed="false">
      <c r="A810" s="38"/>
      <c r="B810" s="38"/>
      <c r="C810" s="39"/>
      <c r="D810" s="40"/>
      <c r="E810" s="40"/>
      <c r="F810" s="41"/>
      <c r="G810" s="41"/>
      <c r="H810" s="41"/>
      <c r="I810" s="41"/>
      <c r="J810" s="41"/>
      <c r="K810" s="41"/>
      <c r="L810" s="41"/>
      <c r="M810" s="41"/>
      <c r="N810" s="41"/>
      <c r="O810" s="41"/>
      <c r="P810" s="41"/>
      <c r="Q810" s="41"/>
      <c r="R810" s="41"/>
      <c r="S810" s="41"/>
      <c r="T810" s="41"/>
      <c r="U810" s="41"/>
      <c r="V810" s="41"/>
      <c r="W810" s="41"/>
      <c r="X810" s="41"/>
      <c r="Y810" s="41"/>
      <c r="Z810" s="41"/>
    </row>
    <row r="811" customFormat="false" ht="14.25" hidden="false" customHeight="true" outlineLevel="0" collapsed="false">
      <c r="A811" s="38"/>
      <c r="B811" s="38"/>
      <c r="C811" s="39"/>
      <c r="D811" s="40"/>
      <c r="E811" s="40"/>
      <c r="F811" s="41"/>
      <c r="G811" s="41"/>
      <c r="H811" s="41"/>
      <c r="I811" s="41"/>
      <c r="J811" s="41"/>
      <c r="K811" s="41"/>
      <c r="L811" s="41"/>
      <c r="M811" s="41"/>
      <c r="N811" s="41"/>
      <c r="O811" s="41"/>
      <c r="P811" s="41"/>
      <c r="Q811" s="41"/>
      <c r="R811" s="41"/>
      <c r="S811" s="41"/>
      <c r="T811" s="41"/>
      <c r="U811" s="41"/>
      <c r="V811" s="41"/>
      <c r="W811" s="41"/>
      <c r="X811" s="41"/>
      <c r="Y811" s="41"/>
      <c r="Z811" s="41"/>
    </row>
    <row r="812" customFormat="false" ht="14.25" hidden="false" customHeight="true" outlineLevel="0" collapsed="false">
      <c r="A812" s="38"/>
      <c r="B812" s="38"/>
      <c r="C812" s="39"/>
      <c r="D812" s="40"/>
      <c r="E812" s="40"/>
      <c r="F812" s="41"/>
      <c r="G812" s="41"/>
      <c r="H812" s="41"/>
      <c r="I812" s="41"/>
      <c r="J812" s="41"/>
      <c r="K812" s="41"/>
      <c r="L812" s="41"/>
      <c r="M812" s="41"/>
      <c r="N812" s="41"/>
      <c r="O812" s="41"/>
      <c r="P812" s="41"/>
      <c r="Q812" s="41"/>
      <c r="R812" s="41"/>
      <c r="S812" s="41"/>
      <c r="T812" s="41"/>
      <c r="U812" s="41"/>
      <c r="V812" s="41"/>
      <c r="W812" s="41"/>
      <c r="X812" s="41"/>
      <c r="Y812" s="41"/>
      <c r="Z812" s="41"/>
    </row>
    <row r="813" customFormat="false" ht="14.25" hidden="false" customHeight="true" outlineLevel="0" collapsed="false">
      <c r="A813" s="38"/>
      <c r="B813" s="38"/>
      <c r="C813" s="39"/>
      <c r="D813" s="40"/>
      <c r="E813" s="40"/>
      <c r="F813" s="41"/>
      <c r="G813" s="41"/>
      <c r="H813" s="41"/>
      <c r="I813" s="41"/>
      <c r="J813" s="41"/>
      <c r="K813" s="41"/>
      <c r="L813" s="41"/>
      <c r="M813" s="41"/>
      <c r="N813" s="41"/>
      <c r="O813" s="41"/>
      <c r="P813" s="41"/>
      <c r="Q813" s="41"/>
      <c r="R813" s="41"/>
      <c r="S813" s="41"/>
      <c r="T813" s="41"/>
      <c r="U813" s="41"/>
      <c r="V813" s="41"/>
      <c r="W813" s="41"/>
      <c r="X813" s="41"/>
      <c r="Y813" s="41"/>
      <c r="Z813" s="41"/>
    </row>
    <row r="814" customFormat="false" ht="14.25" hidden="false" customHeight="true" outlineLevel="0" collapsed="false">
      <c r="A814" s="38"/>
      <c r="B814" s="38"/>
      <c r="C814" s="39"/>
      <c r="D814" s="40"/>
      <c r="E814" s="40"/>
      <c r="F814" s="41"/>
      <c r="G814" s="41"/>
      <c r="H814" s="41"/>
      <c r="I814" s="41"/>
      <c r="J814" s="41"/>
      <c r="K814" s="41"/>
      <c r="L814" s="41"/>
      <c r="M814" s="41"/>
      <c r="N814" s="41"/>
      <c r="O814" s="41"/>
      <c r="P814" s="41"/>
      <c r="Q814" s="41"/>
      <c r="R814" s="41"/>
      <c r="S814" s="41"/>
      <c r="T814" s="41"/>
      <c r="U814" s="41"/>
      <c r="V814" s="41"/>
      <c r="W814" s="41"/>
      <c r="X814" s="41"/>
      <c r="Y814" s="41"/>
      <c r="Z814" s="41"/>
    </row>
    <row r="815" customFormat="false" ht="14.25" hidden="false" customHeight="true" outlineLevel="0" collapsed="false">
      <c r="A815" s="38"/>
      <c r="B815" s="38"/>
      <c r="C815" s="39"/>
      <c r="D815" s="40"/>
      <c r="E815" s="40"/>
      <c r="F815" s="41"/>
      <c r="G815" s="41"/>
      <c r="H815" s="41"/>
      <c r="I815" s="41"/>
      <c r="J815" s="41"/>
      <c r="K815" s="41"/>
      <c r="L815" s="41"/>
      <c r="M815" s="41"/>
      <c r="N815" s="41"/>
      <c r="O815" s="41"/>
      <c r="P815" s="41"/>
      <c r="Q815" s="41"/>
      <c r="R815" s="41"/>
      <c r="S815" s="41"/>
      <c r="T815" s="41"/>
      <c r="U815" s="41"/>
      <c r="V815" s="41"/>
      <c r="W815" s="41"/>
      <c r="X815" s="41"/>
      <c r="Y815" s="41"/>
      <c r="Z815" s="41"/>
    </row>
    <row r="816" customFormat="false" ht="14.25" hidden="false" customHeight="true" outlineLevel="0" collapsed="false">
      <c r="A816" s="38"/>
      <c r="B816" s="38"/>
      <c r="C816" s="39"/>
      <c r="D816" s="40"/>
      <c r="E816" s="40"/>
      <c r="F816" s="41"/>
      <c r="G816" s="41"/>
      <c r="H816" s="41"/>
      <c r="I816" s="41"/>
      <c r="J816" s="41"/>
      <c r="K816" s="41"/>
      <c r="L816" s="41"/>
      <c r="M816" s="41"/>
      <c r="N816" s="41"/>
      <c r="O816" s="41"/>
      <c r="P816" s="41"/>
      <c r="Q816" s="41"/>
      <c r="R816" s="41"/>
      <c r="S816" s="41"/>
      <c r="T816" s="41"/>
      <c r="U816" s="41"/>
      <c r="V816" s="41"/>
      <c r="W816" s="41"/>
      <c r="X816" s="41"/>
      <c r="Y816" s="41"/>
      <c r="Z816" s="41"/>
    </row>
    <row r="817" customFormat="false" ht="14.25" hidden="false" customHeight="true" outlineLevel="0" collapsed="false">
      <c r="A817" s="38"/>
      <c r="B817" s="38"/>
      <c r="C817" s="39"/>
      <c r="D817" s="40"/>
      <c r="E817" s="40"/>
      <c r="F817" s="41"/>
      <c r="G817" s="41"/>
      <c r="H817" s="41"/>
      <c r="I817" s="41"/>
      <c r="J817" s="41"/>
      <c r="K817" s="41"/>
      <c r="L817" s="41"/>
      <c r="M817" s="41"/>
      <c r="N817" s="41"/>
      <c r="O817" s="41"/>
      <c r="P817" s="41"/>
      <c r="Q817" s="41"/>
      <c r="R817" s="41"/>
      <c r="S817" s="41"/>
      <c r="T817" s="41"/>
      <c r="U817" s="41"/>
      <c r="V817" s="41"/>
      <c r="W817" s="41"/>
      <c r="X817" s="41"/>
      <c r="Y817" s="41"/>
      <c r="Z817" s="41"/>
    </row>
    <row r="818" customFormat="false" ht="14.25" hidden="false" customHeight="true" outlineLevel="0" collapsed="false">
      <c r="A818" s="38"/>
      <c r="B818" s="38"/>
      <c r="C818" s="39"/>
      <c r="D818" s="40"/>
      <c r="E818" s="40"/>
      <c r="F818" s="41"/>
      <c r="G818" s="41"/>
      <c r="H818" s="41"/>
      <c r="I818" s="41"/>
      <c r="J818" s="41"/>
      <c r="K818" s="41"/>
      <c r="L818" s="41"/>
      <c r="M818" s="41"/>
      <c r="N818" s="41"/>
      <c r="O818" s="41"/>
      <c r="P818" s="41"/>
      <c r="Q818" s="41"/>
      <c r="R818" s="41"/>
      <c r="S818" s="41"/>
      <c r="T818" s="41"/>
      <c r="U818" s="41"/>
      <c r="V818" s="41"/>
      <c r="W818" s="41"/>
      <c r="X818" s="41"/>
      <c r="Y818" s="41"/>
      <c r="Z818" s="41"/>
    </row>
    <row r="819" customFormat="false" ht="14.25" hidden="false" customHeight="true" outlineLevel="0" collapsed="false">
      <c r="A819" s="38"/>
      <c r="B819" s="38"/>
      <c r="C819" s="39"/>
      <c r="D819" s="40"/>
      <c r="E819" s="40"/>
      <c r="F819" s="41"/>
      <c r="G819" s="41"/>
      <c r="H819" s="41"/>
      <c r="I819" s="41"/>
      <c r="J819" s="41"/>
      <c r="K819" s="41"/>
      <c r="L819" s="41"/>
      <c r="M819" s="41"/>
      <c r="N819" s="41"/>
      <c r="O819" s="41"/>
      <c r="P819" s="41"/>
      <c r="Q819" s="41"/>
      <c r="R819" s="41"/>
      <c r="S819" s="41"/>
      <c r="T819" s="41"/>
      <c r="U819" s="41"/>
      <c r="V819" s="41"/>
      <c r="W819" s="41"/>
      <c r="X819" s="41"/>
      <c r="Y819" s="41"/>
      <c r="Z819" s="41"/>
    </row>
    <row r="820" customFormat="false" ht="14.25" hidden="false" customHeight="true" outlineLevel="0" collapsed="false">
      <c r="A820" s="38"/>
      <c r="B820" s="38"/>
      <c r="C820" s="39"/>
      <c r="D820" s="40"/>
      <c r="E820" s="40"/>
      <c r="F820" s="41"/>
      <c r="G820" s="41"/>
      <c r="H820" s="41"/>
      <c r="I820" s="41"/>
      <c r="J820" s="41"/>
      <c r="K820" s="41"/>
      <c r="L820" s="41"/>
      <c r="M820" s="41"/>
      <c r="N820" s="41"/>
      <c r="O820" s="41"/>
      <c r="P820" s="41"/>
      <c r="Q820" s="41"/>
      <c r="R820" s="41"/>
      <c r="S820" s="41"/>
      <c r="T820" s="41"/>
      <c r="U820" s="41"/>
      <c r="V820" s="41"/>
      <c r="W820" s="41"/>
      <c r="X820" s="41"/>
      <c r="Y820" s="41"/>
      <c r="Z820" s="41"/>
    </row>
    <row r="821" customFormat="false" ht="14.25" hidden="false" customHeight="true" outlineLevel="0" collapsed="false">
      <c r="A821" s="38"/>
      <c r="B821" s="38"/>
      <c r="C821" s="39"/>
      <c r="D821" s="40"/>
      <c r="E821" s="40"/>
      <c r="F821" s="41"/>
      <c r="G821" s="41"/>
      <c r="H821" s="41"/>
      <c r="I821" s="41"/>
      <c r="J821" s="41"/>
      <c r="K821" s="41"/>
      <c r="L821" s="41"/>
      <c r="M821" s="41"/>
      <c r="N821" s="41"/>
      <c r="O821" s="41"/>
      <c r="P821" s="41"/>
      <c r="Q821" s="41"/>
      <c r="R821" s="41"/>
      <c r="S821" s="41"/>
      <c r="T821" s="41"/>
      <c r="U821" s="41"/>
      <c r="V821" s="41"/>
      <c r="W821" s="41"/>
      <c r="X821" s="41"/>
      <c r="Y821" s="41"/>
      <c r="Z821" s="41"/>
    </row>
    <row r="822" customFormat="false" ht="14.25" hidden="false" customHeight="true" outlineLevel="0" collapsed="false">
      <c r="A822" s="38"/>
      <c r="B822" s="38"/>
      <c r="C822" s="39"/>
      <c r="D822" s="40"/>
      <c r="E822" s="40"/>
      <c r="F822" s="41"/>
      <c r="G822" s="41"/>
      <c r="H822" s="41"/>
      <c r="I822" s="41"/>
      <c r="J822" s="41"/>
      <c r="K822" s="41"/>
      <c r="L822" s="41"/>
      <c r="M822" s="41"/>
      <c r="N822" s="41"/>
      <c r="O822" s="41"/>
      <c r="P822" s="41"/>
      <c r="Q822" s="41"/>
      <c r="R822" s="41"/>
      <c r="S822" s="41"/>
      <c r="T822" s="41"/>
      <c r="U822" s="41"/>
      <c r="V822" s="41"/>
      <c r="W822" s="41"/>
      <c r="X822" s="41"/>
      <c r="Y822" s="41"/>
      <c r="Z822" s="41"/>
    </row>
    <row r="823" customFormat="false" ht="14.25" hidden="false" customHeight="true" outlineLevel="0" collapsed="false">
      <c r="A823" s="38"/>
      <c r="B823" s="38"/>
      <c r="C823" s="39"/>
      <c r="D823" s="40"/>
      <c r="E823" s="40"/>
      <c r="F823" s="41"/>
      <c r="G823" s="41"/>
      <c r="H823" s="41"/>
      <c r="I823" s="41"/>
      <c r="J823" s="41"/>
      <c r="K823" s="41"/>
      <c r="L823" s="41"/>
      <c r="M823" s="41"/>
      <c r="N823" s="41"/>
      <c r="O823" s="41"/>
      <c r="P823" s="41"/>
      <c r="Q823" s="41"/>
      <c r="R823" s="41"/>
      <c r="S823" s="41"/>
      <c r="T823" s="41"/>
      <c r="U823" s="41"/>
      <c r="V823" s="41"/>
      <c r="W823" s="41"/>
      <c r="X823" s="41"/>
      <c r="Y823" s="41"/>
      <c r="Z823" s="41"/>
    </row>
    <row r="824" customFormat="false" ht="14.25" hidden="false" customHeight="true" outlineLevel="0" collapsed="false">
      <c r="A824" s="38"/>
      <c r="B824" s="38"/>
      <c r="C824" s="39"/>
      <c r="D824" s="40"/>
      <c r="E824" s="40"/>
      <c r="F824" s="41"/>
      <c r="G824" s="41"/>
      <c r="H824" s="41"/>
      <c r="I824" s="41"/>
      <c r="J824" s="41"/>
      <c r="K824" s="41"/>
      <c r="L824" s="41"/>
      <c r="M824" s="41"/>
      <c r="N824" s="41"/>
      <c r="O824" s="41"/>
      <c r="P824" s="41"/>
      <c r="Q824" s="41"/>
      <c r="R824" s="41"/>
      <c r="S824" s="41"/>
      <c r="T824" s="41"/>
      <c r="U824" s="41"/>
      <c r="V824" s="41"/>
      <c r="W824" s="41"/>
      <c r="X824" s="41"/>
      <c r="Y824" s="41"/>
      <c r="Z824" s="41"/>
    </row>
    <row r="825" customFormat="false" ht="14.25" hidden="false" customHeight="true" outlineLevel="0" collapsed="false">
      <c r="A825" s="38"/>
      <c r="B825" s="38"/>
      <c r="C825" s="39"/>
      <c r="D825" s="40"/>
      <c r="E825" s="40"/>
      <c r="F825" s="41"/>
      <c r="G825" s="41"/>
      <c r="H825" s="41"/>
      <c r="I825" s="41"/>
      <c r="J825" s="41"/>
      <c r="K825" s="41"/>
      <c r="L825" s="41"/>
      <c r="M825" s="41"/>
      <c r="N825" s="41"/>
      <c r="O825" s="41"/>
      <c r="P825" s="41"/>
      <c r="Q825" s="41"/>
      <c r="R825" s="41"/>
      <c r="S825" s="41"/>
      <c r="T825" s="41"/>
      <c r="U825" s="41"/>
      <c r="V825" s="41"/>
      <c r="W825" s="41"/>
      <c r="X825" s="41"/>
      <c r="Y825" s="41"/>
      <c r="Z825" s="41"/>
    </row>
    <row r="826" customFormat="false" ht="14.25" hidden="false" customHeight="true" outlineLevel="0" collapsed="false">
      <c r="A826" s="38"/>
      <c r="B826" s="38"/>
      <c r="C826" s="39"/>
      <c r="D826" s="40"/>
      <c r="E826" s="40"/>
      <c r="F826" s="41"/>
      <c r="G826" s="41"/>
      <c r="H826" s="41"/>
      <c r="I826" s="41"/>
      <c r="J826" s="41"/>
      <c r="K826" s="41"/>
      <c r="L826" s="41"/>
      <c r="M826" s="41"/>
      <c r="N826" s="41"/>
      <c r="O826" s="41"/>
      <c r="P826" s="41"/>
      <c r="Q826" s="41"/>
      <c r="R826" s="41"/>
      <c r="S826" s="41"/>
      <c r="T826" s="41"/>
      <c r="U826" s="41"/>
      <c r="V826" s="41"/>
      <c r="W826" s="41"/>
      <c r="X826" s="41"/>
      <c r="Y826" s="41"/>
      <c r="Z826" s="41"/>
    </row>
    <row r="827" customFormat="false" ht="14.25" hidden="false" customHeight="true" outlineLevel="0" collapsed="false">
      <c r="A827" s="38"/>
      <c r="B827" s="38"/>
      <c r="C827" s="39"/>
      <c r="D827" s="40"/>
      <c r="E827" s="40"/>
      <c r="F827" s="41"/>
      <c r="G827" s="41"/>
      <c r="H827" s="41"/>
      <c r="I827" s="41"/>
      <c r="J827" s="41"/>
      <c r="K827" s="41"/>
      <c r="L827" s="41"/>
      <c r="M827" s="41"/>
      <c r="N827" s="41"/>
      <c r="O827" s="41"/>
      <c r="P827" s="41"/>
      <c r="Q827" s="41"/>
      <c r="R827" s="41"/>
      <c r="S827" s="41"/>
      <c r="T827" s="41"/>
      <c r="U827" s="41"/>
      <c r="V827" s="41"/>
      <c r="W827" s="41"/>
      <c r="X827" s="41"/>
      <c r="Y827" s="41"/>
      <c r="Z827" s="41"/>
    </row>
    <row r="828" customFormat="false" ht="14.25" hidden="false" customHeight="true" outlineLevel="0" collapsed="false">
      <c r="A828" s="38"/>
      <c r="B828" s="38"/>
      <c r="C828" s="39"/>
      <c r="D828" s="40"/>
      <c r="E828" s="40"/>
      <c r="F828" s="41"/>
      <c r="G828" s="41"/>
      <c r="H828" s="41"/>
      <c r="I828" s="41"/>
      <c r="J828" s="41"/>
      <c r="K828" s="41"/>
      <c r="L828" s="41"/>
      <c r="M828" s="41"/>
      <c r="N828" s="41"/>
      <c r="O828" s="41"/>
      <c r="P828" s="41"/>
      <c r="Q828" s="41"/>
      <c r="R828" s="41"/>
      <c r="S828" s="41"/>
      <c r="T828" s="41"/>
      <c r="U828" s="41"/>
      <c r="V828" s="41"/>
      <c r="W828" s="41"/>
      <c r="X828" s="41"/>
      <c r="Y828" s="41"/>
      <c r="Z828" s="41"/>
    </row>
    <row r="829" customFormat="false" ht="14.25" hidden="false" customHeight="true" outlineLevel="0" collapsed="false">
      <c r="A829" s="38"/>
      <c r="B829" s="38"/>
      <c r="C829" s="39"/>
      <c r="D829" s="40"/>
      <c r="E829" s="40"/>
      <c r="F829" s="41"/>
      <c r="G829" s="41"/>
      <c r="H829" s="41"/>
      <c r="I829" s="41"/>
      <c r="J829" s="41"/>
      <c r="K829" s="41"/>
      <c r="L829" s="41"/>
      <c r="M829" s="41"/>
      <c r="N829" s="41"/>
      <c r="O829" s="41"/>
      <c r="P829" s="41"/>
      <c r="Q829" s="41"/>
      <c r="R829" s="41"/>
      <c r="S829" s="41"/>
      <c r="T829" s="41"/>
      <c r="U829" s="41"/>
      <c r="V829" s="41"/>
      <c r="W829" s="41"/>
      <c r="X829" s="41"/>
      <c r="Y829" s="41"/>
      <c r="Z829" s="41"/>
    </row>
    <row r="830" customFormat="false" ht="14.25" hidden="false" customHeight="true" outlineLevel="0" collapsed="false">
      <c r="A830" s="38"/>
      <c r="B830" s="38"/>
      <c r="C830" s="39"/>
      <c r="D830" s="40"/>
      <c r="E830" s="40"/>
      <c r="F830" s="41"/>
      <c r="G830" s="41"/>
      <c r="H830" s="41"/>
      <c r="I830" s="41"/>
      <c r="J830" s="41"/>
      <c r="K830" s="41"/>
      <c r="L830" s="41"/>
      <c r="M830" s="41"/>
      <c r="N830" s="41"/>
      <c r="O830" s="41"/>
      <c r="P830" s="41"/>
      <c r="Q830" s="41"/>
      <c r="R830" s="41"/>
      <c r="S830" s="41"/>
      <c r="T830" s="41"/>
      <c r="U830" s="41"/>
      <c r="V830" s="41"/>
      <c r="W830" s="41"/>
      <c r="X830" s="41"/>
      <c r="Y830" s="41"/>
      <c r="Z830" s="41"/>
    </row>
    <row r="831" customFormat="false" ht="14.25" hidden="false" customHeight="true" outlineLevel="0" collapsed="false">
      <c r="A831" s="38"/>
      <c r="B831" s="38"/>
      <c r="C831" s="39"/>
      <c r="D831" s="40"/>
      <c r="E831" s="40"/>
      <c r="F831" s="41"/>
      <c r="G831" s="41"/>
      <c r="H831" s="41"/>
      <c r="I831" s="41"/>
      <c r="J831" s="41"/>
      <c r="K831" s="41"/>
      <c r="L831" s="41"/>
      <c r="M831" s="41"/>
      <c r="N831" s="41"/>
      <c r="O831" s="41"/>
      <c r="P831" s="41"/>
      <c r="Q831" s="41"/>
      <c r="R831" s="41"/>
      <c r="S831" s="41"/>
      <c r="T831" s="41"/>
      <c r="U831" s="41"/>
      <c r="V831" s="41"/>
      <c r="W831" s="41"/>
      <c r="X831" s="41"/>
      <c r="Y831" s="41"/>
      <c r="Z831" s="41"/>
    </row>
    <row r="832" customFormat="false" ht="14.25" hidden="false" customHeight="true" outlineLevel="0" collapsed="false">
      <c r="A832" s="38"/>
      <c r="B832" s="38"/>
      <c r="C832" s="39"/>
      <c r="D832" s="40"/>
      <c r="E832" s="40"/>
      <c r="F832" s="41"/>
      <c r="G832" s="41"/>
      <c r="H832" s="41"/>
      <c r="I832" s="41"/>
      <c r="J832" s="41"/>
      <c r="K832" s="41"/>
      <c r="L832" s="41"/>
      <c r="M832" s="41"/>
      <c r="N832" s="41"/>
      <c r="O832" s="41"/>
      <c r="P832" s="41"/>
      <c r="Q832" s="41"/>
      <c r="R832" s="41"/>
      <c r="S832" s="41"/>
      <c r="T832" s="41"/>
      <c r="U832" s="41"/>
      <c r="V832" s="41"/>
      <c r="W832" s="41"/>
      <c r="X832" s="41"/>
      <c r="Y832" s="41"/>
      <c r="Z832" s="41"/>
    </row>
    <row r="833" customFormat="false" ht="14.25" hidden="false" customHeight="true" outlineLevel="0" collapsed="false">
      <c r="A833" s="38"/>
      <c r="B833" s="38"/>
      <c r="C833" s="39"/>
      <c r="D833" s="40"/>
      <c r="E833" s="40"/>
      <c r="F833" s="41"/>
      <c r="G833" s="41"/>
      <c r="H833" s="41"/>
      <c r="I833" s="41"/>
      <c r="J833" s="41"/>
      <c r="K833" s="41"/>
      <c r="L833" s="41"/>
      <c r="M833" s="41"/>
      <c r="N833" s="41"/>
      <c r="O833" s="41"/>
      <c r="P833" s="41"/>
      <c r="Q833" s="41"/>
      <c r="R833" s="41"/>
      <c r="S833" s="41"/>
      <c r="T833" s="41"/>
      <c r="U833" s="41"/>
      <c r="V833" s="41"/>
      <c r="W833" s="41"/>
      <c r="X833" s="41"/>
      <c r="Y833" s="41"/>
      <c r="Z833" s="41"/>
    </row>
    <row r="834" customFormat="false" ht="14.25" hidden="false" customHeight="true" outlineLevel="0" collapsed="false">
      <c r="A834" s="38"/>
      <c r="B834" s="38"/>
      <c r="C834" s="39"/>
      <c r="D834" s="40"/>
      <c r="E834" s="40"/>
      <c r="F834" s="41"/>
      <c r="G834" s="41"/>
      <c r="H834" s="41"/>
      <c r="I834" s="41"/>
      <c r="J834" s="41"/>
      <c r="K834" s="41"/>
      <c r="L834" s="41"/>
      <c r="M834" s="41"/>
      <c r="N834" s="41"/>
      <c r="O834" s="41"/>
      <c r="P834" s="41"/>
      <c r="Q834" s="41"/>
      <c r="R834" s="41"/>
      <c r="S834" s="41"/>
      <c r="T834" s="41"/>
      <c r="U834" s="41"/>
      <c r="V834" s="41"/>
      <c r="W834" s="41"/>
      <c r="X834" s="41"/>
      <c r="Y834" s="41"/>
      <c r="Z834" s="41"/>
    </row>
    <row r="835" customFormat="false" ht="14.25" hidden="false" customHeight="true" outlineLevel="0" collapsed="false">
      <c r="A835" s="38"/>
      <c r="B835" s="38"/>
      <c r="C835" s="39"/>
      <c r="D835" s="40"/>
      <c r="E835" s="40"/>
      <c r="F835" s="41"/>
      <c r="G835" s="41"/>
      <c r="H835" s="41"/>
      <c r="I835" s="41"/>
      <c r="J835" s="41"/>
      <c r="K835" s="41"/>
      <c r="L835" s="41"/>
      <c r="M835" s="41"/>
      <c r="N835" s="41"/>
      <c r="O835" s="41"/>
      <c r="P835" s="41"/>
      <c r="Q835" s="41"/>
      <c r="R835" s="41"/>
      <c r="S835" s="41"/>
      <c r="T835" s="41"/>
      <c r="U835" s="41"/>
      <c r="V835" s="41"/>
      <c r="W835" s="41"/>
      <c r="X835" s="41"/>
      <c r="Y835" s="41"/>
      <c r="Z835" s="41"/>
    </row>
    <row r="836" customFormat="false" ht="14.25" hidden="false" customHeight="true" outlineLevel="0" collapsed="false">
      <c r="A836" s="38"/>
      <c r="B836" s="38"/>
      <c r="C836" s="39"/>
      <c r="D836" s="40"/>
      <c r="E836" s="40"/>
      <c r="F836" s="41"/>
      <c r="G836" s="41"/>
      <c r="H836" s="41"/>
      <c r="I836" s="41"/>
      <c r="J836" s="41"/>
      <c r="K836" s="41"/>
      <c r="L836" s="41"/>
      <c r="M836" s="41"/>
      <c r="N836" s="41"/>
      <c r="O836" s="41"/>
      <c r="P836" s="41"/>
      <c r="Q836" s="41"/>
      <c r="R836" s="41"/>
      <c r="S836" s="41"/>
      <c r="T836" s="41"/>
      <c r="U836" s="41"/>
      <c r="V836" s="41"/>
      <c r="W836" s="41"/>
      <c r="X836" s="41"/>
      <c r="Y836" s="41"/>
      <c r="Z836" s="41"/>
    </row>
    <row r="837" customFormat="false" ht="14.25" hidden="false" customHeight="true" outlineLevel="0" collapsed="false">
      <c r="A837" s="38"/>
      <c r="B837" s="38"/>
      <c r="C837" s="39"/>
      <c r="D837" s="40"/>
      <c r="E837" s="40"/>
      <c r="F837" s="41"/>
      <c r="G837" s="41"/>
      <c r="H837" s="41"/>
      <c r="I837" s="41"/>
      <c r="J837" s="41"/>
      <c r="K837" s="41"/>
      <c r="L837" s="41"/>
      <c r="M837" s="41"/>
      <c r="N837" s="41"/>
      <c r="O837" s="41"/>
      <c r="P837" s="41"/>
      <c r="Q837" s="41"/>
      <c r="R837" s="41"/>
      <c r="S837" s="41"/>
      <c r="T837" s="41"/>
      <c r="U837" s="41"/>
      <c r="V837" s="41"/>
      <c r="W837" s="41"/>
      <c r="X837" s="41"/>
      <c r="Y837" s="41"/>
      <c r="Z837" s="41"/>
    </row>
    <row r="838" customFormat="false" ht="14.25" hidden="false" customHeight="true" outlineLevel="0" collapsed="false">
      <c r="A838" s="38"/>
      <c r="B838" s="38"/>
      <c r="C838" s="39"/>
      <c r="D838" s="40"/>
      <c r="E838" s="40"/>
      <c r="F838" s="41"/>
      <c r="G838" s="41"/>
      <c r="H838" s="41"/>
      <c r="I838" s="41"/>
      <c r="J838" s="41"/>
      <c r="K838" s="41"/>
      <c r="L838" s="41"/>
      <c r="M838" s="41"/>
      <c r="N838" s="41"/>
      <c r="O838" s="41"/>
      <c r="P838" s="41"/>
      <c r="Q838" s="41"/>
      <c r="R838" s="41"/>
      <c r="S838" s="41"/>
      <c r="T838" s="41"/>
      <c r="U838" s="41"/>
      <c r="V838" s="41"/>
      <c r="W838" s="41"/>
      <c r="X838" s="41"/>
      <c r="Y838" s="41"/>
      <c r="Z838" s="41"/>
    </row>
    <row r="839" customFormat="false" ht="14.25" hidden="false" customHeight="true" outlineLevel="0" collapsed="false">
      <c r="A839" s="38"/>
      <c r="B839" s="38"/>
      <c r="C839" s="39"/>
      <c r="D839" s="40"/>
      <c r="E839" s="40"/>
      <c r="F839" s="41"/>
      <c r="G839" s="41"/>
      <c r="H839" s="41"/>
      <c r="I839" s="41"/>
      <c r="J839" s="41"/>
      <c r="K839" s="41"/>
      <c r="L839" s="41"/>
      <c r="M839" s="41"/>
      <c r="N839" s="41"/>
      <c r="O839" s="41"/>
      <c r="P839" s="41"/>
      <c r="Q839" s="41"/>
      <c r="R839" s="41"/>
      <c r="S839" s="41"/>
      <c r="T839" s="41"/>
      <c r="U839" s="41"/>
      <c r="V839" s="41"/>
      <c r="W839" s="41"/>
      <c r="X839" s="41"/>
      <c r="Y839" s="41"/>
      <c r="Z839" s="41"/>
    </row>
    <row r="840" customFormat="false" ht="14.25" hidden="false" customHeight="true" outlineLevel="0" collapsed="false">
      <c r="A840" s="38"/>
      <c r="B840" s="38"/>
      <c r="C840" s="39"/>
      <c r="D840" s="40"/>
      <c r="E840" s="40"/>
      <c r="F840" s="41"/>
      <c r="G840" s="41"/>
      <c r="H840" s="41"/>
      <c r="I840" s="41"/>
      <c r="J840" s="41"/>
      <c r="K840" s="41"/>
      <c r="L840" s="41"/>
      <c r="M840" s="41"/>
      <c r="N840" s="41"/>
      <c r="O840" s="41"/>
      <c r="P840" s="41"/>
      <c r="Q840" s="41"/>
      <c r="R840" s="41"/>
      <c r="S840" s="41"/>
      <c r="T840" s="41"/>
      <c r="U840" s="41"/>
      <c r="V840" s="41"/>
      <c r="W840" s="41"/>
      <c r="X840" s="41"/>
      <c r="Y840" s="41"/>
      <c r="Z840" s="41"/>
    </row>
    <row r="841" customFormat="false" ht="14.25" hidden="false" customHeight="true" outlineLevel="0" collapsed="false">
      <c r="A841" s="38"/>
      <c r="B841" s="38"/>
      <c r="C841" s="39"/>
      <c r="D841" s="40"/>
      <c r="E841" s="40"/>
      <c r="F841" s="41"/>
      <c r="G841" s="41"/>
      <c r="H841" s="41"/>
      <c r="I841" s="41"/>
      <c r="J841" s="41"/>
      <c r="K841" s="41"/>
      <c r="L841" s="41"/>
      <c r="M841" s="41"/>
      <c r="N841" s="41"/>
      <c r="O841" s="41"/>
      <c r="P841" s="41"/>
      <c r="Q841" s="41"/>
      <c r="R841" s="41"/>
      <c r="S841" s="41"/>
      <c r="T841" s="41"/>
      <c r="U841" s="41"/>
      <c r="V841" s="41"/>
      <c r="W841" s="41"/>
      <c r="X841" s="41"/>
      <c r="Y841" s="41"/>
      <c r="Z841" s="41"/>
    </row>
    <row r="842" customFormat="false" ht="14.25" hidden="false" customHeight="true" outlineLevel="0" collapsed="false">
      <c r="A842" s="38"/>
      <c r="B842" s="38"/>
      <c r="C842" s="39"/>
      <c r="D842" s="40"/>
      <c r="E842" s="40"/>
      <c r="F842" s="41"/>
      <c r="G842" s="41"/>
      <c r="H842" s="41"/>
      <c r="I842" s="41"/>
      <c r="J842" s="41"/>
      <c r="K842" s="41"/>
      <c r="L842" s="41"/>
      <c r="M842" s="41"/>
      <c r="N842" s="41"/>
      <c r="O842" s="41"/>
      <c r="P842" s="41"/>
      <c r="Q842" s="41"/>
      <c r="R842" s="41"/>
      <c r="S842" s="41"/>
      <c r="T842" s="41"/>
      <c r="U842" s="41"/>
      <c r="V842" s="41"/>
      <c r="W842" s="41"/>
      <c r="X842" s="41"/>
      <c r="Y842" s="41"/>
      <c r="Z842" s="41"/>
    </row>
    <row r="843" customFormat="false" ht="14.25" hidden="false" customHeight="true" outlineLevel="0" collapsed="false">
      <c r="A843" s="38"/>
      <c r="B843" s="38"/>
      <c r="C843" s="39"/>
      <c r="D843" s="40"/>
      <c r="E843" s="40"/>
      <c r="F843" s="41"/>
      <c r="G843" s="41"/>
      <c r="H843" s="41"/>
      <c r="I843" s="41"/>
      <c r="J843" s="41"/>
      <c r="K843" s="41"/>
      <c r="L843" s="41"/>
      <c r="M843" s="41"/>
      <c r="N843" s="41"/>
      <c r="O843" s="41"/>
      <c r="P843" s="41"/>
      <c r="Q843" s="41"/>
      <c r="R843" s="41"/>
      <c r="S843" s="41"/>
      <c r="T843" s="41"/>
      <c r="U843" s="41"/>
      <c r="V843" s="41"/>
      <c r="W843" s="41"/>
      <c r="X843" s="41"/>
      <c r="Y843" s="41"/>
      <c r="Z843" s="41"/>
    </row>
    <row r="844" customFormat="false" ht="14.25" hidden="false" customHeight="true" outlineLevel="0" collapsed="false">
      <c r="A844" s="38"/>
      <c r="B844" s="38"/>
      <c r="C844" s="39"/>
      <c r="D844" s="40"/>
      <c r="E844" s="40"/>
      <c r="F844" s="41"/>
      <c r="G844" s="41"/>
      <c r="H844" s="41"/>
      <c r="I844" s="41"/>
      <c r="J844" s="41"/>
      <c r="K844" s="41"/>
      <c r="L844" s="41"/>
      <c r="M844" s="41"/>
      <c r="N844" s="41"/>
      <c r="O844" s="41"/>
      <c r="P844" s="41"/>
      <c r="Q844" s="41"/>
      <c r="R844" s="41"/>
      <c r="S844" s="41"/>
      <c r="T844" s="41"/>
      <c r="U844" s="41"/>
      <c r="V844" s="41"/>
      <c r="W844" s="41"/>
      <c r="X844" s="41"/>
      <c r="Y844" s="41"/>
      <c r="Z844" s="41"/>
    </row>
    <row r="845" customFormat="false" ht="14.25" hidden="false" customHeight="true" outlineLevel="0" collapsed="false">
      <c r="A845" s="38"/>
      <c r="B845" s="38"/>
      <c r="C845" s="39"/>
      <c r="D845" s="40"/>
      <c r="E845" s="40"/>
      <c r="F845" s="41"/>
      <c r="G845" s="41"/>
      <c r="H845" s="41"/>
      <c r="I845" s="41"/>
      <c r="J845" s="41"/>
      <c r="K845" s="41"/>
      <c r="L845" s="41"/>
      <c r="M845" s="41"/>
      <c r="N845" s="41"/>
      <c r="O845" s="41"/>
      <c r="P845" s="41"/>
      <c r="Q845" s="41"/>
      <c r="R845" s="41"/>
      <c r="S845" s="41"/>
      <c r="T845" s="41"/>
      <c r="U845" s="41"/>
      <c r="V845" s="41"/>
      <c r="W845" s="41"/>
      <c r="X845" s="41"/>
      <c r="Y845" s="41"/>
      <c r="Z845" s="41"/>
    </row>
    <row r="846" customFormat="false" ht="14.25" hidden="false" customHeight="true" outlineLevel="0" collapsed="false">
      <c r="A846" s="38"/>
      <c r="B846" s="38"/>
      <c r="C846" s="39"/>
      <c r="D846" s="40"/>
      <c r="E846" s="40"/>
      <c r="F846" s="41"/>
      <c r="G846" s="41"/>
      <c r="H846" s="41"/>
      <c r="I846" s="41"/>
      <c r="J846" s="41"/>
      <c r="K846" s="41"/>
      <c r="L846" s="41"/>
      <c r="M846" s="41"/>
      <c r="N846" s="41"/>
      <c r="O846" s="41"/>
      <c r="P846" s="41"/>
      <c r="Q846" s="41"/>
      <c r="R846" s="41"/>
      <c r="S846" s="41"/>
      <c r="T846" s="41"/>
      <c r="U846" s="41"/>
      <c r="V846" s="41"/>
      <c r="W846" s="41"/>
      <c r="X846" s="41"/>
      <c r="Y846" s="41"/>
      <c r="Z846" s="41"/>
    </row>
    <row r="847" customFormat="false" ht="14.25" hidden="false" customHeight="true" outlineLevel="0" collapsed="false">
      <c r="A847" s="38"/>
      <c r="B847" s="38"/>
      <c r="C847" s="39"/>
      <c r="D847" s="40"/>
      <c r="E847" s="40"/>
      <c r="F847" s="41"/>
      <c r="G847" s="41"/>
      <c r="H847" s="41"/>
      <c r="I847" s="41"/>
      <c r="J847" s="41"/>
      <c r="K847" s="41"/>
      <c r="L847" s="41"/>
      <c r="M847" s="41"/>
      <c r="N847" s="41"/>
      <c r="O847" s="41"/>
      <c r="P847" s="41"/>
      <c r="Q847" s="41"/>
      <c r="R847" s="41"/>
      <c r="S847" s="41"/>
      <c r="T847" s="41"/>
      <c r="U847" s="41"/>
      <c r="V847" s="41"/>
      <c r="W847" s="41"/>
      <c r="X847" s="41"/>
      <c r="Y847" s="41"/>
      <c r="Z847" s="41"/>
    </row>
    <row r="848" customFormat="false" ht="14.25" hidden="false" customHeight="true" outlineLevel="0" collapsed="false">
      <c r="A848" s="38"/>
      <c r="B848" s="38"/>
      <c r="C848" s="39"/>
      <c r="D848" s="40"/>
      <c r="E848" s="40"/>
      <c r="F848" s="41"/>
      <c r="G848" s="41"/>
      <c r="H848" s="41"/>
      <c r="I848" s="41"/>
      <c r="J848" s="41"/>
      <c r="K848" s="41"/>
      <c r="L848" s="41"/>
      <c r="M848" s="41"/>
      <c r="N848" s="41"/>
      <c r="O848" s="41"/>
      <c r="P848" s="41"/>
      <c r="Q848" s="41"/>
      <c r="R848" s="41"/>
      <c r="S848" s="41"/>
      <c r="T848" s="41"/>
      <c r="U848" s="41"/>
      <c r="V848" s="41"/>
      <c r="W848" s="41"/>
      <c r="X848" s="41"/>
      <c r="Y848" s="41"/>
      <c r="Z848" s="41"/>
    </row>
    <row r="849" customFormat="false" ht="14.25" hidden="false" customHeight="true" outlineLevel="0" collapsed="false">
      <c r="A849" s="38"/>
      <c r="B849" s="38"/>
      <c r="C849" s="39"/>
      <c r="D849" s="40"/>
      <c r="E849" s="40"/>
      <c r="F849" s="41"/>
      <c r="G849" s="41"/>
      <c r="H849" s="41"/>
      <c r="I849" s="41"/>
      <c r="J849" s="41"/>
      <c r="K849" s="41"/>
      <c r="L849" s="41"/>
      <c r="M849" s="41"/>
      <c r="N849" s="41"/>
      <c r="O849" s="41"/>
      <c r="P849" s="41"/>
      <c r="Q849" s="41"/>
      <c r="R849" s="41"/>
      <c r="S849" s="41"/>
      <c r="T849" s="41"/>
      <c r="U849" s="41"/>
      <c r="V849" s="41"/>
      <c r="W849" s="41"/>
      <c r="X849" s="41"/>
      <c r="Y849" s="41"/>
      <c r="Z849" s="41"/>
    </row>
    <row r="850" customFormat="false" ht="14.25" hidden="false" customHeight="true" outlineLevel="0" collapsed="false">
      <c r="A850" s="38"/>
      <c r="B850" s="38"/>
      <c r="C850" s="39"/>
      <c r="D850" s="40"/>
      <c r="E850" s="40"/>
      <c r="F850" s="41"/>
      <c r="G850" s="41"/>
      <c r="H850" s="41"/>
      <c r="I850" s="41"/>
      <c r="J850" s="41"/>
      <c r="K850" s="41"/>
      <c r="L850" s="41"/>
      <c r="M850" s="41"/>
      <c r="N850" s="41"/>
      <c r="O850" s="41"/>
      <c r="P850" s="41"/>
      <c r="Q850" s="41"/>
      <c r="R850" s="41"/>
      <c r="S850" s="41"/>
      <c r="T850" s="41"/>
      <c r="U850" s="41"/>
      <c r="V850" s="41"/>
      <c r="W850" s="41"/>
      <c r="X850" s="41"/>
      <c r="Y850" s="41"/>
      <c r="Z850" s="41"/>
    </row>
    <row r="851" customFormat="false" ht="14.25" hidden="false" customHeight="true" outlineLevel="0" collapsed="false">
      <c r="A851" s="38"/>
      <c r="B851" s="38"/>
      <c r="C851" s="39"/>
      <c r="D851" s="40"/>
      <c r="E851" s="40"/>
      <c r="F851" s="41"/>
      <c r="G851" s="41"/>
      <c r="H851" s="41"/>
      <c r="I851" s="41"/>
      <c r="J851" s="41"/>
      <c r="K851" s="41"/>
      <c r="L851" s="41"/>
      <c r="M851" s="41"/>
      <c r="N851" s="41"/>
      <c r="O851" s="41"/>
      <c r="P851" s="41"/>
      <c r="Q851" s="41"/>
      <c r="R851" s="41"/>
      <c r="S851" s="41"/>
      <c r="T851" s="41"/>
      <c r="U851" s="41"/>
      <c r="V851" s="41"/>
      <c r="W851" s="41"/>
      <c r="X851" s="41"/>
      <c r="Y851" s="41"/>
      <c r="Z851" s="41"/>
    </row>
    <row r="852" customFormat="false" ht="14.25" hidden="false" customHeight="true" outlineLevel="0" collapsed="false">
      <c r="A852" s="38"/>
      <c r="B852" s="38"/>
      <c r="C852" s="39"/>
      <c r="D852" s="40"/>
      <c r="E852" s="40"/>
      <c r="F852" s="41"/>
      <c r="G852" s="41"/>
      <c r="H852" s="41"/>
      <c r="I852" s="41"/>
      <c r="J852" s="41"/>
      <c r="K852" s="41"/>
      <c r="L852" s="41"/>
      <c r="M852" s="41"/>
      <c r="N852" s="41"/>
      <c r="O852" s="41"/>
      <c r="P852" s="41"/>
      <c r="Q852" s="41"/>
      <c r="R852" s="41"/>
      <c r="S852" s="41"/>
      <c r="T852" s="41"/>
      <c r="U852" s="41"/>
      <c r="V852" s="41"/>
      <c r="W852" s="41"/>
      <c r="X852" s="41"/>
      <c r="Y852" s="41"/>
      <c r="Z852" s="41"/>
    </row>
    <row r="853" customFormat="false" ht="14.25" hidden="false" customHeight="true" outlineLevel="0" collapsed="false">
      <c r="A853" s="38"/>
      <c r="B853" s="38"/>
      <c r="C853" s="39"/>
      <c r="D853" s="40"/>
      <c r="E853" s="40"/>
      <c r="F853" s="41"/>
      <c r="G853" s="41"/>
      <c r="H853" s="41"/>
      <c r="I853" s="41"/>
      <c r="J853" s="41"/>
      <c r="K853" s="41"/>
      <c r="L853" s="41"/>
      <c r="M853" s="41"/>
      <c r="N853" s="41"/>
      <c r="O853" s="41"/>
      <c r="P853" s="41"/>
      <c r="Q853" s="41"/>
      <c r="R853" s="41"/>
      <c r="S853" s="41"/>
      <c r="T853" s="41"/>
      <c r="U853" s="41"/>
      <c r="V853" s="41"/>
      <c r="W853" s="41"/>
      <c r="X853" s="41"/>
      <c r="Y853" s="41"/>
      <c r="Z853" s="41"/>
    </row>
    <row r="854" customFormat="false" ht="14.25" hidden="false" customHeight="true" outlineLevel="0" collapsed="false">
      <c r="A854" s="38"/>
      <c r="B854" s="38"/>
      <c r="C854" s="39"/>
      <c r="D854" s="40"/>
      <c r="E854" s="40"/>
      <c r="F854" s="41"/>
      <c r="G854" s="41"/>
      <c r="H854" s="41"/>
      <c r="I854" s="41"/>
      <c r="J854" s="41"/>
      <c r="K854" s="41"/>
      <c r="L854" s="41"/>
      <c r="M854" s="41"/>
      <c r="N854" s="41"/>
      <c r="O854" s="41"/>
      <c r="P854" s="41"/>
      <c r="Q854" s="41"/>
      <c r="R854" s="41"/>
      <c r="S854" s="41"/>
      <c r="T854" s="41"/>
      <c r="U854" s="41"/>
      <c r="V854" s="41"/>
      <c r="W854" s="41"/>
      <c r="X854" s="41"/>
      <c r="Y854" s="41"/>
      <c r="Z854" s="41"/>
    </row>
    <row r="855" customFormat="false" ht="14.25" hidden="false" customHeight="true" outlineLevel="0" collapsed="false">
      <c r="A855" s="38"/>
      <c r="B855" s="38"/>
      <c r="C855" s="39"/>
      <c r="D855" s="40"/>
      <c r="E855" s="40"/>
      <c r="F855" s="41"/>
      <c r="G855" s="41"/>
      <c r="H855" s="41"/>
      <c r="I855" s="41"/>
      <c r="J855" s="41"/>
      <c r="K855" s="41"/>
      <c r="L855" s="41"/>
      <c r="M855" s="41"/>
      <c r="N855" s="41"/>
      <c r="O855" s="41"/>
      <c r="P855" s="41"/>
      <c r="Q855" s="41"/>
      <c r="R855" s="41"/>
      <c r="S855" s="41"/>
      <c r="T855" s="41"/>
      <c r="U855" s="41"/>
      <c r="V855" s="41"/>
      <c r="W855" s="41"/>
      <c r="X855" s="41"/>
      <c r="Y855" s="41"/>
      <c r="Z855" s="41"/>
    </row>
    <row r="856" customFormat="false" ht="14.25" hidden="false" customHeight="true" outlineLevel="0" collapsed="false">
      <c r="A856" s="38"/>
      <c r="B856" s="38"/>
      <c r="C856" s="39"/>
      <c r="D856" s="40"/>
      <c r="E856" s="40"/>
      <c r="F856" s="41"/>
      <c r="G856" s="41"/>
      <c r="H856" s="41"/>
      <c r="I856" s="41"/>
      <c r="J856" s="41"/>
      <c r="K856" s="41"/>
      <c r="L856" s="41"/>
      <c r="M856" s="41"/>
      <c r="N856" s="41"/>
      <c r="O856" s="41"/>
      <c r="P856" s="41"/>
      <c r="Q856" s="41"/>
      <c r="R856" s="41"/>
      <c r="S856" s="41"/>
      <c r="T856" s="41"/>
      <c r="U856" s="41"/>
      <c r="V856" s="41"/>
      <c r="W856" s="41"/>
      <c r="X856" s="41"/>
      <c r="Y856" s="41"/>
      <c r="Z856" s="41"/>
    </row>
    <row r="857" customFormat="false" ht="14.25" hidden="false" customHeight="true" outlineLevel="0" collapsed="false">
      <c r="A857" s="38"/>
      <c r="B857" s="38"/>
      <c r="C857" s="39"/>
      <c r="D857" s="40"/>
      <c r="E857" s="40"/>
      <c r="F857" s="41"/>
      <c r="G857" s="41"/>
      <c r="H857" s="41"/>
      <c r="I857" s="41"/>
      <c r="J857" s="41"/>
      <c r="K857" s="41"/>
      <c r="L857" s="41"/>
      <c r="M857" s="41"/>
      <c r="N857" s="41"/>
      <c r="O857" s="41"/>
      <c r="P857" s="41"/>
      <c r="Q857" s="41"/>
      <c r="R857" s="41"/>
      <c r="S857" s="41"/>
      <c r="T857" s="41"/>
      <c r="U857" s="41"/>
      <c r="V857" s="41"/>
      <c r="W857" s="41"/>
      <c r="X857" s="41"/>
      <c r="Y857" s="41"/>
      <c r="Z857" s="41"/>
    </row>
    <row r="858" customFormat="false" ht="14.25" hidden="false" customHeight="true" outlineLevel="0" collapsed="false">
      <c r="A858" s="38"/>
      <c r="B858" s="38"/>
      <c r="C858" s="39"/>
      <c r="D858" s="40"/>
      <c r="E858" s="40"/>
      <c r="F858" s="41"/>
      <c r="G858" s="41"/>
      <c r="H858" s="41"/>
      <c r="I858" s="41"/>
      <c r="J858" s="41"/>
      <c r="K858" s="41"/>
      <c r="L858" s="41"/>
      <c r="M858" s="41"/>
      <c r="N858" s="41"/>
      <c r="O858" s="41"/>
      <c r="P858" s="41"/>
      <c r="Q858" s="41"/>
      <c r="R858" s="41"/>
      <c r="S858" s="41"/>
      <c r="T858" s="41"/>
      <c r="U858" s="41"/>
      <c r="V858" s="41"/>
      <c r="W858" s="41"/>
      <c r="X858" s="41"/>
      <c r="Y858" s="41"/>
      <c r="Z858" s="41"/>
    </row>
    <row r="859" customFormat="false" ht="14.25" hidden="false" customHeight="true" outlineLevel="0" collapsed="false">
      <c r="A859" s="38"/>
      <c r="B859" s="38"/>
      <c r="C859" s="39"/>
      <c r="D859" s="40"/>
      <c r="E859" s="40"/>
      <c r="F859" s="41"/>
      <c r="G859" s="41"/>
      <c r="H859" s="41"/>
      <c r="I859" s="41"/>
      <c r="J859" s="41"/>
      <c r="K859" s="41"/>
      <c r="L859" s="41"/>
      <c r="M859" s="41"/>
      <c r="N859" s="41"/>
      <c r="O859" s="41"/>
      <c r="P859" s="41"/>
      <c r="Q859" s="41"/>
      <c r="R859" s="41"/>
      <c r="S859" s="41"/>
      <c r="T859" s="41"/>
      <c r="U859" s="41"/>
      <c r="V859" s="41"/>
      <c r="W859" s="41"/>
      <c r="X859" s="41"/>
      <c r="Y859" s="41"/>
      <c r="Z859" s="41"/>
    </row>
    <row r="860" customFormat="false" ht="14.25" hidden="false" customHeight="true" outlineLevel="0" collapsed="false">
      <c r="A860" s="38"/>
      <c r="B860" s="38"/>
      <c r="C860" s="39"/>
      <c r="D860" s="40"/>
      <c r="E860" s="40"/>
      <c r="F860" s="41"/>
      <c r="G860" s="41"/>
      <c r="H860" s="41"/>
      <c r="I860" s="41"/>
      <c r="J860" s="41"/>
      <c r="K860" s="41"/>
      <c r="L860" s="41"/>
      <c r="M860" s="41"/>
      <c r="N860" s="41"/>
      <c r="O860" s="41"/>
      <c r="P860" s="41"/>
      <c r="Q860" s="41"/>
      <c r="R860" s="41"/>
      <c r="S860" s="41"/>
      <c r="T860" s="41"/>
      <c r="U860" s="41"/>
      <c r="V860" s="41"/>
      <c r="W860" s="41"/>
      <c r="X860" s="41"/>
      <c r="Y860" s="41"/>
      <c r="Z860" s="41"/>
    </row>
    <row r="861" customFormat="false" ht="14.25" hidden="false" customHeight="true" outlineLevel="0" collapsed="false">
      <c r="A861" s="38"/>
      <c r="B861" s="38"/>
      <c r="C861" s="39"/>
      <c r="D861" s="40"/>
      <c r="E861" s="40"/>
      <c r="F861" s="41"/>
      <c r="G861" s="41"/>
      <c r="H861" s="41"/>
      <c r="I861" s="41"/>
      <c r="J861" s="41"/>
      <c r="K861" s="41"/>
      <c r="L861" s="41"/>
      <c r="M861" s="41"/>
      <c r="N861" s="41"/>
      <c r="O861" s="41"/>
      <c r="P861" s="41"/>
      <c r="Q861" s="41"/>
      <c r="R861" s="41"/>
      <c r="S861" s="41"/>
      <c r="T861" s="41"/>
      <c r="U861" s="41"/>
      <c r="V861" s="41"/>
      <c r="W861" s="41"/>
      <c r="X861" s="41"/>
      <c r="Y861" s="41"/>
      <c r="Z861" s="41"/>
    </row>
    <row r="862" customFormat="false" ht="14.25" hidden="false" customHeight="true" outlineLevel="0" collapsed="false">
      <c r="A862" s="38"/>
      <c r="B862" s="38"/>
      <c r="C862" s="39"/>
      <c r="D862" s="40"/>
      <c r="E862" s="40"/>
      <c r="F862" s="41"/>
      <c r="G862" s="41"/>
      <c r="H862" s="41"/>
      <c r="I862" s="41"/>
      <c r="J862" s="41"/>
      <c r="K862" s="41"/>
      <c r="L862" s="41"/>
      <c r="M862" s="41"/>
      <c r="N862" s="41"/>
      <c r="O862" s="41"/>
      <c r="P862" s="41"/>
      <c r="Q862" s="41"/>
      <c r="R862" s="41"/>
      <c r="S862" s="41"/>
      <c r="T862" s="41"/>
      <c r="U862" s="41"/>
      <c r="V862" s="41"/>
      <c r="W862" s="41"/>
      <c r="X862" s="41"/>
      <c r="Y862" s="41"/>
      <c r="Z862" s="41"/>
    </row>
    <row r="863" customFormat="false" ht="14.25" hidden="false" customHeight="true" outlineLevel="0" collapsed="false">
      <c r="A863" s="38"/>
      <c r="B863" s="38"/>
      <c r="C863" s="39"/>
      <c r="D863" s="40"/>
      <c r="E863" s="40"/>
      <c r="F863" s="41"/>
      <c r="G863" s="41"/>
      <c r="H863" s="41"/>
      <c r="I863" s="41"/>
      <c r="J863" s="41"/>
      <c r="K863" s="41"/>
      <c r="L863" s="41"/>
      <c r="M863" s="41"/>
      <c r="N863" s="41"/>
      <c r="O863" s="41"/>
      <c r="P863" s="41"/>
      <c r="Q863" s="41"/>
      <c r="R863" s="41"/>
      <c r="S863" s="41"/>
      <c r="T863" s="41"/>
      <c r="U863" s="41"/>
      <c r="V863" s="41"/>
      <c r="W863" s="41"/>
      <c r="X863" s="41"/>
      <c r="Y863" s="41"/>
      <c r="Z863" s="41"/>
    </row>
    <row r="864" customFormat="false" ht="14.25" hidden="false" customHeight="true" outlineLevel="0" collapsed="false">
      <c r="A864" s="38"/>
      <c r="B864" s="38"/>
      <c r="C864" s="39"/>
      <c r="D864" s="40"/>
      <c r="E864" s="40"/>
      <c r="F864" s="41"/>
      <c r="G864" s="41"/>
      <c r="H864" s="41"/>
      <c r="I864" s="41"/>
      <c r="J864" s="41"/>
      <c r="K864" s="41"/>
      <c r="L864" s="41"/>
      <c r="M864" s="41"/>
      <c r="N864" s="41"/>
      <c r="O864" s="41"/>
      <c r="P864" s="41"/>
      <c r="Q864" s="41"/>
      <c r="R864" s="41"/>
      <c r="S864" s="41"/>
      <c r="T864" s="41"/>
      <c r="U864" s="41"/>
      <c r="V864" s="41"/>
      <c r="W864" s="41"/>
      <c r="X864" s="41"/>
      <c r="Y864" s="41"/>
      <c r="Z864" s="41"/>
    </row>
    <row r="865" customFormat="false" ht="14.25" hidden="false" customHeight="true" outlineLevel="0" collapsed="false">
      <c r="A865" s="38"/>
      <c r="B865" s="38"/>
      <c r="C865" s="39"/>
      <c r="D865" s="40"/>
      <c r="E865" s="40"/>
      <c r="F865" s="41"/>
      <c r="G865" s="41"/>
      <c r="H865" s="41"/>
      <c r="I865" s="41"/>
      <c r="J865" s="41"/>
      <c r="K865" s="41"/>
      <c r="L865" s="41"/>
      <c r="M865" s="41"/>
      <c r="N865" s="41"/>
      <c r="O865" s="41"/>
      <c r="P865" s="41"/>
      <c r="Q865" s="41"/>
      <c r="R865" s="41"/>
      <c r="S865" s="41"/>
      <c r="T865" s="41"/>
      <c r="U865" s="41"/>
      <c r="V865" s="41"/>
      <c r="W865" s="41"/>
      <c r="X865" s="41"/>
      <c r="Y865" s="41"/>
      <c r="Z865" s="41"/>
    </row>
    <row r="866" customFormat="false" ht="14.25" hidden="false" customHeight="true" outlineLevel="0" collapsed="false">
      <c r="A866" s="38"/>
      <c r="B866" s="38"/>
      <c r="C866" s="39"/>
      <c r="D866" s="40"/>
      <c r="E866" s="40"/>
      <c r="F866" s="41"/>
      <c r="G866" s="41"/>
      <c r="H866" s="41"/>
      <c r="I866" s="41"/>
      <c r="J866" s="41"/>
      <c r="K866" s="41"/>
      <c r="L866" s="41"/>
      <c r="M866" s="41"/>
      <c r="N866" s="41"/>
      <c r="O866" s="41"/>
      <c r="P866" s="41"/>
      <c r="Q866" s="41"/>
      <c r="R866" s="41"/>
      <c r="S866" s="41"/>
      <c r="T866" s="41"/>
      <c r="U866" s="41"/>
      <c r="V866" s="41"/>
      <c r="W866" s="41"/>
      <c r="X866" s="41"/>
      <c r="Y866" s="41"/>
      <c r="Z866" s="41"/>
    </row>
    <row r="867" customFormat="false" ht="14.25" hidden="false" customHeight="true" outlineLevel="0" collapsed="false">
      <c r="A867" s="38"/>
      <c r="B867" s="38"/>
      <c r="C867" s="39"/>
      <c r="D867" s="40"/>
      <c r="E867" s="40"/>
      <c r="F867" s="41"/>
      <c r="G867" s="41"/>
      <c r="H867" s="41"/>
      <c r="I867" s="41"/>
      <c r="J867" s="41"/>
      <c r="K867" s="41"/>
      <c r="L867" s="41"/>
      <c r="M867" s="41"/>
      <c r="N867" s="41"/>
      <c r="O867" s="41"/>
      <c r="P867" s="41"/>
      <c r="Q867" s="41"/>
      <c r="R867" s="41"/>
      <c r="S867" s="41"/>
      <c r="T867" s="41"/>
      <c r="U867" s="41"/>
      <c r="V867" s="41"/>
      <c r="W867" s="41"/>
      <c r="X867" s="41"/>
      <c r="Y867" s="41"/>
      <c r="Z867" s="41"/>
    </row>
    <row r="868" customFormat="false" ht="14.25" hidden="false" customHeight="true" outlineLevel="0" collapsed="false">
      <c r="A868" s="38"/>
      <c r="B868" s="38"/>
      <c r="C868" s="39"/>
      <c r="D868" s="40"/>
      <c r="E868" s="40"/>
      <c r="F868" s="41"/>
      <c r="G868" s="41"/>
      <c r="H868" s="41"/>
      <c r="I868" s="41"/>
      <c r="J868" s="41"/>
      <c r="K868" s="41"/>
      <c r="L868" s="41"/>
      <c r="M868" s="41"/>
      <c r="N868" s="41"/>
      <c r="O868" s="41"/>
      <c r="P868" s="41"/>
      <c r="Q868" s="41"/>
      <c r="R868" s="41"/>
      <c r="S868" s="41"/>
      <c r="T868" s="41"/>
      <c r="U868" s="41"/>
      <c r="V868" s="41"/>
      <c r="W868" s="41"/>
      <c r="X868" s="41"/>
      <c r="Y868" s="41"/>
      <c r="Z868" s="41"/>
    </row>
    <row r="869" customFormat="false" ht="14.25" hidden="false" customHeight="true" outlineLevel="0" collapsed="false">
      <c r="A869" s="38"/>
      <c r="B869" s="38"/>
      <c r="C869" s="39"/>
      <c r="D869" s="40"/>
      <c r="E869" s="40"/>
      <c r="F869" s="41"/>
      <c r="G869" s="41"/>
      <c r="H869" s="41"/>
      <c r="I869" s="41"/>
      <c r="J869" s="41"/>
      <c r="K869" s="41"/>
      <c r="L869" s="41"/>
      <c r="M869" s="41"/>
      <c r="N869" s="41"/>
      <c r="O869" s="41"/>
      <c r="P869" s="41"/>
      <c r="Q869" s="41"/>
      <c r="R869" s="41"/>
      <c r="S869" s="41"/>
      <c r="T869" s="41"/>
      <c r="U869" s="41"/>
      <c r="V869" s="41"/>
      <c r="W869" s="41"/>
      <c r="X869" s="41"/>
      <c r="Y869" s="41"/>
      <c r="Z869" s="41"/>
    </row>
    <row r="870" customFormat="false" ht="14.25" hidden="false" customHeight="true" outlineLevel="0" collapsed="false">
      <c r="A870" s="38"/>
      <c r="B870" s="38"/>
      <c r="C870" s="39"/>
      <c r="D870" s="40"/>
      <c r="E870" s="40"/>
      <c r="F870" s="41"/>
      <c r="G870" s="41"/>
      <c r="H870" s="41"/>
      <c r="I870" s="41"/>
      <c r="J870" s="41"/>
      <c r="K870" s="41"/>
      <c r="L870" s="41"/>
      <c r="M870" s="41"/>
      <c r="N870" s="41"/>
      <c r="O870" s="41"/>
      <c r="P870" s="41"/>
      <c r="Q870" s="41"/>
      <c r="R870" s="41"/>
      <c r="S870" s="41"/>
      <c r="T870" s="41"/>
      <c r="U870" s="41"/>
      <c r="V870" s="41"/>
      <c r="W870" s="41"/>
      <c r="X870" s="41"/>
      <c r="Y870" s="41"/>
      <c r="Z870" s="41"/>
    </row>
    <row r="871" customFormat="false" ht="14.25" hidden="false" customHeight="true" outlineLevel="0" collapsed="false">
      <c r="A871" s="38"/>
      <c r="B871" s="38"/>
      <c r="C871" s="39"/>
      <c r="D871" s="40"/>
      <c r="E871" s="40"/>
      <c r="F871" s="41"/>
      <c r="G871" s="41"/>
      <c r="H871" s="41"/>
      <c r="I871" s="41"/>
      <c r="J871" s="41"/>
      <c r="K871" s="41"/>
      <c r="L871" s="41"/>
      <c r="M871" s="41"/>
      <c r="N871" s="41"/>
      <c r="O871" s="41"/>
      <c r="P871" s="41"/>
      <c r="Q871" s="41"/>
      <c r="R871" s="41"/>
      <c r="S871" s="41"/>
      <c r="T871" s="41"/>
      <c r="U871" s="41"/>
      <c r="V871" s="41"/>
      <c r="W871" s="41"/>
      <c r="X871" s="41"/>
      <c r="Y871" s="41"/>
      <c r="Z871" s="41"/>
    </row>
    <row r="872" customFormat="false" ht="14.25" hidden="false" customHeight="true" outlineLevel="0" collapsed="false">
      <c r="A872" s="38"/>
      <c r="B872" s="38"/>
      <c r="C872" s="39"/>
      <c r="D872" s="40"/>
      <c r="E872" s="40"/>
      <c r="F872" s="41"/>
      <c r="G872" s="41"/>
      <c r="H872" s="41"/>
      <c r="I872" s="41"/>
      <c r="J872" s="41"/>
      <c r="K872" s="41"/>
      <c r="L872" s="41"/>
      <c r="M872" s="41"/>
      <c r="N872" s="41"/>
      <c r="O872" s="41"/>
      <c r="P872" s="41"/>
      <c r="Q872" s="41"/>
      <c r="R872" s="41"/>
      <c r="S872" s="41"/>
      <c r="T872" s="41"/>
      <c r="U872" s="41"/>
      <c r="V872" s="41"/>
      <c r="W872" s="41"/>
      <c r="X872" s="41"/>
      <c r="Y872" s="41"/>
      <c r="Z872" s="41"/>
    </row>
    <row r="873" customFormat="false" ht="14.25" hidden="false" customHeight="true" outlineLevel="0" collapsed="false">
      <c r="A873" s="38"/>
      <c r="B873" s="38"/>
      <c r="C873" s="39"/>
      <c r="D873" s="40"/>
      <c r="E873" s="40"/>
      <c r="F873" s="41"/>
      <c r="G873" s="41"/>
      <c r="H873" s="41"/>
      <c r="I873" s="41"/>
      <c r="J873" s="41"/>
      <c r="K873" s="41"/>
      <c r="L873" s="41"/>
      <c r="M873" s="41"/>
      <c r="N873" s="41"/>
      <c r="O873" s="41"/>
      <c r="P873" s="41"/>
      <c r="Q873" s="41"/>
      <c r="R873" s="41"/>
      <c r="S873" s="41"/>
      <c r="T873" s="41"/>
      <c r="U873" s="41"/>
      <c r="V873" s="41"/>
      <c r="W873" s="41"/>
      <c r="X873" s="41"/>
      <c r="Y873" s="41"/>
      <c r="Z873" s="41"/>
    </row>
    <row r="874" customFormat="false" ht="14.25" hidden="false" customHeight="true" outlineLevel="0" collapsed="false">
      <c r="A874" s="38"/>
      <c r="B874" s="38"/>
      <c r="C874" s="39"/>
      <c r="D874" s="40"/>
      <c r="E874" s="40"/>
      <c r="F874" s="41"/>
      <c r="G874" s="41"/>
      <c r="H874" s="41"/>
      <c r="I874" s="41"/>
      <c r="J874" s="41"/>
      <c r="K874" s="41"/>
      <c r="L874" s="41"/>
      <c r="M874" s="41"/>
      <c r="N874" s="41"/>
      <c r="O874" s="41"/>
      <c r="P874" s="41"/>
      <c r="Q874" s="41"/>
      <c r="R874" s="41"/>
      <c r="S874" s="41"/>
      <c r="T874" s="41"/>
      <c r="U874" s="41"/>
      <c r="V874" s="41"/>
      <c r="W874" s="41"/>
      <c r="X874" s="41"/>
      <c r="Y874" s="41"/>
      <c r="Z874" s="41"/>
    </row>
    <row r="875" customFormat="false" ht="14.25" hidden="false" customHeight="true" outlineLevel="0" collapsed="false">
      <c r="A875" s="38"/>
      <c r="B875" s="38"/>
      <c r="C875" s="39"/>
      <c r="D875" s="40"/>
      <c r="E875" s="40"/>
      <c r="F875" s="41"/>
      <c r="G875" s="41"/>
      <c r="H875" s="41"/>
      <c r="I875" s="41"/>
      <c r="J875" s="41"/>
      <c r="K875" s="41"/>
      <c r="L875" s="41"/>
      <c r="M875" s="41"/>
      <c r="N875" s="41"/>
      <c r="O875" s="41"/>
      <c r="P875" s="41"/>
      <c r="Q875" s="41"/>
      <c r="R875" s="41"/>
      <c r="S875" s="41"/>
      <c r="T875" s="41"/>
      <c r="U875" s="41"/>
      <c r="V875" s="41"/>
      <c r="W875" s="41"/>
      <c r="X875" s="41"/>
      <c r="Y875" s="41"/>
      <c r="Z875" s="41"/>
    </row>
    <row r="876" customFormat="false" ht="14.25" hidden="false" customHeight="true" outlineLevel="0" collapsed="false">
      <c r="A876" s="38"/>
      <c r="B876" s="38"/>
      <c r="C876" s="39"/>
      <c r="D876" s="40"/>
      <c r="E876" s="40"/>
      <c r="F876" s="41"/>
      <c r="G876" s="41"/>
      <c r="H876" s="41"/>
      <c r="I876" s="41"/>
      <c r="J876" s="41"/>
      <c r="K876" s="41"/>
      <c r="L876" s="41"/>
      <c r="M876" s="41"/>
      <c r="N876" s="41"/>
      <c r="O876" s="41"/>
      <c r="P876" s="41"/>
      <c r="Q876" s="41"/>
      <c r="R876" s="41"/>
      <c r="S876" s="41"/>
      <c r="T876" s="41"/>
      <c r="U876" s="41"/>
      <c r="V876" s="41"/>
      <c r="W876" s="41"/>
      <c r="X876" s="41"/>
      <c r="Y876" s="41"/>
      <c r="Z876" s="41"/>
    </row>
    <row r="877" customFormat="false" ht="14.25" hidden="false" customHeight="true" outlineLevel="0" collapsed="false">
      <c r="A877" s="38"/>
      <c r="B877" s="38"/>
      <c r="C877" s="39"/>
      <c r="D877" s="40"/>
      <c r="E877" s="40"/>
      <c r="F877" s="41"/>
      <c r="G877" s="41"/>
      <c r="H877" s="41"/>
      <c r="I877" s="41"/>
      <c r="J877" s="41"/>
      <c r="K877" s="41"/>
      <c r="L877" s="41"/>
      <c r="M877" s="41"/>
      <c r="N877" s="41"/>
      <c r="O877" s="41"/>
      <c r="P877" s="41"/>
      <c r="Q877" s="41"/>
      <c r="R877" s="41"/>
      <c r="S877" s="41"/>
      <c r="T877" s="41"/>
      <c r="U877" s="41"/>
      <c r="V877" s="41"/>
      <c r="W877" s="41"/>
      <c r="X877" s="41"/>
      <c r="Y877" s="41"/>
      <c r="Z877" s="41"/>
    </row>
    <row r="878" customFormat="false" ht="14.25" hidden="false" customHeight="true" outlineLevel="0" collapsed="false">
      <c r="A878" s="38"/>
      <c r="B878" s="38"/>
      <c r="C878" s="39"/>
      <c r="D878" s="40"/>
      <c r="E878" s="40"/>
      <c r="F878" s="41"/>
      <c r="G878" s="41"/>
      <c r="H878" s="41"/>
      <c r="I878" s="41"/>
      <c r="J878" s="41"/>
      <c r="K878" s="41"/>
      <c r="L878" s="41"/>
      <c r="M878" s="41"/>
      <c r="N878" s="41"/>
      <c r="O878" s="41"/>
      <c r="P878" s="41"/>
      <c r="Q878" s="41"/>
      <c r="R878" s="41"/>
      <c r="S878" s="41"/>
      <c r="T878" s="41"/>
      <c r="U878" s="41"/>
      <c r="V878" s="41"/>
      <c r="W878" s="41"/>
      <c r="X878" s="41"/>
      <c r="Y878" s="41"/>
      <c r="Z878" s="41"/>
    </row>
    <row r="879" customFormat="false" ht="14.25" hidden="false" customHeight="true" outlineLevel="0" collapsed="false">
      <c r="A879" s="38"/>
      <c r="B879" s="38"/>
      <c r="C879" s="39"/>
      <c r="D879" s="40"/>
      <c r="E879" s="40"/>
      <c r="F879" s="41"/>
      <c r="G879" s="41"/>
      <c r="H879" s="41"/>
      <c r="I879" s="41"/>
      <c r="J879" s="41"/>
      <c r="K879" s="41"/>
      <c r="L879" s="41"/>
      <c r="M879" s="41"/>
      <c r="N879" s="41"/>
      <c r="O879" s="41"/>
      <c r="P879" s="41"/>
      <c r="Q879" s="41"/>
      <c r="R879" s="41"/>
      <c r="S879" s="41"/>
      <c r="T879" s="41"/>
      <c r="U879" s="41"/>
      <c r="V879" s="41"/>
      <c r="W879" s="41"/>
      <c r="X879" s="41"/>
      <c r="Y879" s="41"/>
      <c r="Z879" s="41"/>
    </row>
    <row r="880" customFormat="false" ht="14.25" hidden="false" customHeight="true" outlineLevel="0" collapsed="false">
      <c r="A880" s="38"/>
      <c r="B880" s="38"/>
      <c r="C880" s="39"/>
      <c r="D880" s="40"/>
      <c r="E880" s="40"/>
      <c r="F880" s="41"/>
      <c r="G880" s="41"/>
      <c r="H880" s="41"/>
      <c r="I880" s="41"/>
      <c r="J880" s="41"/>
      <c r="K880" s="41"/>
      <c r="L880" s="41"/>
      <c r="M880" s="41"/>
      <c r="N880" s="41"/>
      <c r="O880" s="41"/>
      <c r="P880" s="41"/>
      <c r="Q880" s="41"/>
      <c r="R880" s="41"/>
      <c r="S880" s="41"/>
      <c r="T880" s="41"/>
      <c r="U880" s="41"/>
      <c r="V880" s="41"/>
      <c r="W880" s="41"/>
      <c r="X880" s="41"/>
      <c r="Y880" s="41"/>
      <c r="Z880" s="41"/>
    </row>
    <row r="881" customFormat="false" ht="14.25" hidden="false" customHeight="true" outlineLevel="0" collapsed="false">
      <c r="A881" s="38"/>
      <c r="B881" s="38"/>
      <c r="C881" s="39"/>
      <c r="D881" s="40"/>
      <c r="E881" s="40"/>
      <c r="F881" s="41"/>
      <c r="G881" s="41"/>
      <c r="H881" s="41"/>
      <c r="I881" s="41"/>
      <c r="J881" s="41"/>
      <c r="K881" s="41"/>
      <c r="L881" s="41"/>
      <c r="M881" s="41"/>
      <c r="N881" s="41"/>
      <c r="O881" s="41"/>
      <c r="P881" s="41"/>
      <c r="Q881" s="41"/>
      <c r="R881" s="41"/>
      <c r="S881" s="41"/>
      <c r="T881" s="41"/>
      <c r="U881" s="41"/>
      <c r="V881" s="41"/>
      <c r="W881" s="41"/>
      <c r="X881" s="41"/>
      <c r="Y881" s="41"/>
      <c r="Z881" s="41"/>
    </row>
    <row r="882" customFormat="false" ht="14.25" hidden="false" customHeight="true" outlineLevel="0" collapsed="false">
      <c r="A882" s="38"/>
      <c r="B882" s="38"/>
      <c r="C882" s="39"/>
      <c r="D882" s="40"/>
      <c r="E882" s="40"/>
      <c r="F882" s="41"/>
      <c r="G882" s="41"/>
      <c r="H882" s="41"/>
      <c r="I882" s="41"/>
      <c r="J882" s="41"/>
      <c r="K882" s="41"/>
      <c r="L882" s="41"/>
      <c r="M882" s="41"/>
      <c r="N882" s="41"/>
      <c r="O882" s="41"/>
      <c r="P882" s="41"/>
      <c r="Q882" s="41"/>
      <c r="R882" s="41"/>
      <c r="S882" s="41"/>
      <c r="T882" s="41"/>
      <c r="U882" s="41"/>
      <c r="V882" s="41"/>
      <c r="W882" s="41"/>
      <c r="X882" s="41"/>
      <c r="Y882" s="41"/>
      <c r="Z882" s="41"/>
    </row>
    <row r="883" customFormat="false" ht="14.25" hidden="false" customHeight="true" outlineLevel="0" collapsed="false">
      <c r="A883" s="38"/>
      <c r="B883" s="38"/>
      <c r="C883" s="39"/>
      <c r="D883" s="40"/>
      <c r="E883" s="40"/>
      <c r="F883" s="41"/>
      <c r="G883" s="41"/>
      <c r="H883" s="41"/>
      <c r="I883" s="41"/>
      <c r="J883" s="41"/>
      <c r="K883" s="41"/>
      <c r="L883" s="41"/>
      <c r="M883" s="41"/>
      <c r="N883" s="41"/>
      <c r="O883" s="41"/>
      <c r="P883" s="41"/>
      <c r="Q883" s="41"/>
      <c r="R883" s="41"/>
      <c r="S883" s="41"/>
      <c r="T883" s="41"/>
      <c r="U883" s="41"/>
      <c r="V883" s="41"/>
      <c r="W883" s="41"/>
      <c r="X883" s="41"/>
      <c r="Y883" s="41"/>
      <c r="Z883" s="41"/>
    </row>
    <row r="884" customFormat="false" ht="14.25" hidden="false" customHeight="true" outlineLevel="0" collapsed="false">
      <c r="A884" s="38"/>
      <c r="B884" s="38"/>
      <c r="C884" s="39"/>
      <c r="D884" s="40"/>
      <c r="E884" s="40"/>
      <c r="F884" s="41"/>
      <c r="G884" s="41"/>
      <c r="H884" s="41"/>
      <c r="I884" s="41"/>
      <c r="J884" s="41"/>
      <c r="K884" s="41"/>
      <c r="L884" s="41"/>
      <c r="M884" s="41"/>
      <c r="N884" s="41"/>
      <c r="O884" s="41"/>
      <c r="P884" s="41"/>
      <c r="Q884" s="41"/>
      <c r="R884" s="41"/>
      <c r="S884" s="41"/>
      <c r="T884" s="41"/>
      <c r="U884" s="41"/>
      <c r="V884" s="41"/>
      <c r="W884" s="41"/>
      <c r="X884" s="41"/>
      <c r="Y884" s="41"/>
      <c r="Z884" s="41"/>
    </row>
    <row r="885" customFormat="false" ht="14.25" hidden="false" customHeight="true" outlineLevel="0" collapsed="false">
      <c r="A885" s="38"/>
      <c r="B885" s="38"/>
      <c r="C885" s="39"/>
      <c r="D885" s="40"/>
      <c r="E885" s="40"/>
      <c r="F885" s="41"/>
      <c r="G885" s="41"/>
      <c r="H885" s="41"/>
      <c r="I885" s="41"/>
      <c r="J885" s="41"/>
      <c r="K885" s="41"/>
      <c r="L885" s="41"/>
      <c r="M885" s="41"/>
      <c r="N885" s="41"/>
      <c r="O885" s="41"/>
      <c r="P885" s="41"/>
      <c r="Q885" s="41"/>
      <c r="R885" s="41"/>
      <c r="S885" s="41"/>
      <c r="T885" s="41"/>
      <c r="U885" s="41"/>
      <c r="V885" s="41"/>
      <c r="W885" s="41"/>
      <c r="X885" s="41"/>
      <c r="Y885" s="41"/>
      <c r="Z885" s="41"/>
    </row>
    <row r="886" customFormat="false" ht="14.25" hidden="false" customHeight="true" outlineLevel="0" collapsed="false">
      <c r="A886" s="38"/>
      <c r="B886" s="38"/>
      <c r="C886" s="39"/>
      <c r="D886" s="40"/>
      <c r="E886" s="40"/>
      <c r="F886" s="41"/>
      <c r="G886" s="41"/>
      <c r="H886" s="41"/>
      <c r="I886" s="41"/>
      <c r="J886" s="41"/>
      <c r="K886" s="41"/>
      <c r="L886" s="41"/>
      <c r="M886" s="41"/>
      <c r="N886" s="41"/>
      <c r="O886" s="41"/>
      <c r="P886" s="41"/>
      <c r="Q886" s="41"/>
      <c r="R886" s="41"/>
      <c r="S886" s="41"/>
      <c r="T886" s="41"/>
      <c r="U886" s="41"/>
      <c r="V886" s="41"/>
      <c r="W886" s="41"/>
      <c r="X886" s="41"/>
      <c r="Y886" s="41"/>
      <c r="Z886" s="41"/>
    </row>
    <row r="887" customFormat="false" ht="14.25" hidden="false" customHeight="true" outlineLevel="0" collapsed="false">
      <c r="A887" s="38"/>
      <c r="B887" s="38"/>
      <c r="C887" s="39"/>
      <c r="D887" s="40"/>
      <c r="E887" s="40"/>
      <c r="F887" s="41"/>
      <c r="G887" s="41"/>
      <c r="H887" s="41"/>
      <c r="I887" s="41"/>
      <c r="J887" s="41"/>
      <c r="K887" s="41"/>
      <c r="L887" s="41"/>
      <c r="M887" s="41"/>
      <c r="N887" s="41"/>
      <c r="O887" s="41"/>
      <c r="P887" s="41"/>
      <c r="Q887" s="41"/>
      <c r="R887" s="41"/>
      <c r="S887" s="41"/>
      <c r="T887" s="41"/>
      <c r="U887" s="41"/>
      <c r="V887" s="41"/>
      <c r="W887" s="41"/>
      <c r="X887" s="41"/>
      <c r="Y887" s="41"/>
      <c r="Z887" s="41"/>
    </row>
    <row r="888" customFormat="false" ht="14.25" hidden="false" customHeight="true" outlineLevel="0" collapsed="false">
      <c r="A888" s="38"/>
      <c r="B888" s="38"/>
      <c r="C888" s="39"/>
      <c r="D888" s="40"/>
      <c r="E888" s="40"/>
      <c r="F888" s="41"/>
      <c r="G888" s="41"/>
      <c r="H888" s="41"/>
      <c r="I888" s="41"/>
      <c r="J888" s="41"/>
      <c r="K888" s="41"/>
      <c r="L888" s="41"/>
      <c r="M888" s="41"/>
      <c r="N888" s="41"/>
      <c r="O888" s="41"/>
      <c r="P888" s="41"/>
      <c r="Q888" s="41"/>
      <c r="R888" s="41"/>
      <c r="S888" s="41"/>
      <c r="T888" s="41"/>
      <c r="U888" s="41"/>
      <c r="V888" s="41"/>
      <c r="W888" s="41"/>
      <c r="X888" s="41"/>
      <c r="Y888" s="41"/>
      <c r="Z888" s="41"/>
    </row>
    <row r="889" customFormat="false" ht="14.25" hidden="false" customHeight="true" outlineLevel="0" collapsed="false">
      <c r="A889" s="38"/>
      <c r="B889" s="38"/>
      <c r="C889" s="39"/>
      <c r="D889" s="40"/>
      <c r="E889" s="40"/>
      <c r="F889" s="41"/>
      <c r="G889" s="41"/>
      <c r="H889" s="41"/>
      <c r="I889" s="41"/>
      <c r="J889" s="41"/>
      <c r="K889" s="41"/>
      <c r="L889" s="41"/>
      <c r="M889" s="41"/>
      <c r="N889" s="41"/>
      <c r="O889" s="41"/>
      <c r="P889" s="41"/>
      <c r="Q889" s="41"/>
      <c r="R889" s="41"/>
      <c r="S889" s="41"/>
      <c r="T889" s="41"/>
      <c r="U889" s="41"/>
      <c r="V889" s="41"/>
      <c r="W889" s="41"/>
      <c r="X889" s="41"/>
      <c r="Y889" s="41"/>
      <c r="Z889" s="41"/>
    </row>
    <row r="890" customFormat="false" ht="14.25" hidden="false" customHeight="true" outlineLevel="0" collapsed="false">
      <c r="A890" s="38"/>
      <c r="B890" s="38"/>
      <c r="C890" s="39"/>
      <c r="D890" s="40"/>
      <c r="E890" s="40"/>
      <c r="F890" s="41"/>
      <c r="G890" s="41"/>
      <c r="H890" s="41"/>
      <c r="I890" s="41"/>
      <c r="J890" s="41"/>
      <c r="K890" s="41"/>
      <c r="L890" s="41"/>
      <c r="M890" s="41"/>
      <c r="N890" s="41"/>
      <c r="O890" s="41"/>
      <c r="P890" s="41"/>
      <c r="Q890" s="41"/>
      <c r="R890" s="41"/>
      <c r="S890" s="41"/>
      <c r="T890" s="41"/>
      <c r="U890" s="41"/>
      <c r="V890" s="41"/>
      <c r="W890" s="41"/>
      <c r="X890" s="41"/>
      <c r="Y890" s="41"/>
      <c r="Z890" s="41"/>
    </row>
    <row r="891" customFormat="false" ht="14.25" hidden="false" customHeight="true" outlineLevel="0" collapsed="false">
      <c r="A891" s="38"/>
      <c r="B891" s="38"/>
      <c r="C891" s="39"/>
      <c r="D891" s="40"/>
      <c r="E891" s="40"/>
      <c r="F891" s="41"/>
      <c r="G891" s="41"/>
      <c r="H891" s="41"/>
      <c r="I891" s="41"/>
      <c r="J891" s="41"/>
      <c r="K891" s="41"/>
      <c r="L891" s="41"/>
      <c r="M891" s="41"/>
      <c r="N891" s="41"/>
      <c r="O891" s="41"/>
      <c r="P891" s="41"/>
      <c r="Q891" s="41"/>
      <c r="R891" s="41"/>
      <c r="S891" s="41"/>
      <c r="T891" s="41"/>
      <c r="U891" s="41"/>
      <c r="V891" s="41"/>
      <c r="W891" s="41"/>
      <c r="X891" s="41"/>
      <c r="Y891" s="41"/>
      <c r="Z891" s="41"/>
    </row>
    <row r="892" customFormat="false" ht="14.25" hidden="false" customHeight="true" outlineLevel="0" collapsed="false">
      <c r="A892" s="38"/>
      <c r="B892" s="38"/>
      <c r="C892" s="39"/>
      <c r="D892" s="40"/>
      <c r="E892" s="40"/>
      <c r="F892" s="41"/>
      <c r="G892" s="41"/>
      <c r="H892" s="41"/>
      <c r="I892" s="41"/>
      <c r="J892" s="41"/>
      <c r="K892" s="41"/>
      <c r="L892" s="41"/>
      <c r="M892" s="41"/>
      <c r="N892" s="41"/>
      <c r="O892" s="41"/>
      <c r="P892" s="41"/>
      <c r="Q892" s="41"/>
      <c r="R892" s="41"/>
      <c r="S892" s="41"/>
      <c r="T892" s="41"/>
      <c r="U892" s="41"/>
      <c r="V892" s="41"/>
      <c r="W892" s="41"/>
      <c r="X892" s="41"/>
      <c r="Y892" s="41"/>
      <c r="Z892" s="41"/>
    </row>
    <row r="893" customFormat="false" ht="14.25" hidden="false" customHeight="true" outlineLevel="0" collapsed="false">
      <c r="A893" s="38"/>
      <c r="B893" s="38"/>
      <c r="C893" s="39"/>
      <c r="D893" s="40"/>
      <c r="E893" s="40"/>
      <c r="F893" s="41"/>
      <c r="G893" s="41"/>
      <c r="H893" s="41"/>
      <c r="I893" s="41"/>
      <c r="J893" s="41"/>
      <c r="K893" s="41"/>
      <c r="L893" s="41"/>
      <c r="M893" s="41"/>
      <c r="N893" s="41"/>
      <c r="O893" s="41"/>
      <c r="P893" s="41"/>
      <c r="Q893" s="41"/>
      <c r="R893" s="41"/>
      <c r="S893" s="41"/>
      <c r="T893" s="41"/>
      <c r="U893" s="41"/>
      <c r="V893" s="41"/>
      <c r="W893" s="41"/>
      <c r="X893" s="41"/>
      <c r="Y893" s="41"/>
      <c r="Z893" s="41"/>
    </row>
    <row r="894" customFormat="false" ht="14.25" hidden="false" customHeight="true" outlineLevel="0" collapsed="false">
      <c r="A894" s="38"/>
      <c r="B894" s="38"/>
      <c r="C894" s="39"/>
      <c r="D894" s="40"/>
      <c r="E894" s="40"/>
      <c r="F894" s="41"/>
      <c r="G894" s="41"/>
      <c r="H894" s="41"/>
      <c r="I894" s="41"/>
      <c r="J894" s="41"/>
      <c r="K894" s="41"/>
      <c r="L894" s="41"/>
      <c r="M894" s="41"/>
      <c r="N894" s="41"/>
      <c r="O894" s="41"/>
      <c r="P894" s="41"/>
      <c r="Q894" s="41"/>
      <c r="R894" s="41"/>
      <c r="S894" s="41"/>
      <c r="T894" s="41"/>
      <c r="U894" s="41"/>
      <c r="V894" s="41"/>
      <c r="W894" s="41"/>
      <c r="X894" s="41"/>
      <c r="Y894" s="41"/>
      <c r="Z894" s="41"/>
    </row>
    <row r="895" customFormat="false" ht="14.25" hidden="false" customHeight="true" outlineLevel="0" collapsed="false">
      <c r="A895" s="38"/>
      <c r="B895" s="38"/>
      <c r="C895" s="39"/>
      <c r="D895" s="40"/>
      <c r="E895" s="40"/>
      <c r="F895" s="41"/>
      <c r="G895" s="41"/>
      <c r="H895" s="41"/>
      <c r="I895" s="41"/>
      <c r="J895" s="41"/>
      <c r="K895" s="41"/>
      <c r="L895" s="41"/>
      <c r="M895" s="41"/>
      <c r="N895" s="41"/>
      <c r="O895" s="41"/>
      <c r="P895" s="41"/>
      <c r="Q895" s="41"/>
      <c r="R895" s="41"/>
      <c r="S895" s="41"/>
      <c r="T895" s="41"/>
      <c r="U895" s="41"/>
      <c r="V895" s="41"/>
      <c r="W895" s="41"/>
      <c r="X895" s="41"/>
      <c r="Y895" s="41"/>
      <c r="Z895" s="41"/>
    </row>
    <row r="896" customFormat="false" ht="14.25" hidden="false" customHeight="true" outlineLevel="0" collapsed="false">
      <c r="A896" s="38"/>
      <c r="B896" s="38"/>
      <c r="C896" s="39"/>
      <c r="D896" s="40"/>
      <c r="E896" s="40"/>
      <c r="F896" s="41"/>
      <c r="G896" s="41"/>
      <c r="H896" s="41"/>
      <c r="I896" s="41"/>
      <c r="J896" s="41"/>
      <c r="K896" s="41"/>
      <c r="L896" s="41"/>
      <c r="M896" s="41"/>
      <c r="N896" s="41"/>
      <c r="O896" s="41"/>
      <c r="P896" s="41"/>
      <c r="Q896" s="41"/>
      <c r="R896" s="41"/>
      <c r="S896" s="41"/>
      <c r="T896" s="41"/>
      <c r="U896" s="41"/>
      <c r="V896" s="41"/>
      <c r="W896" s="41"/>
      <c r="X896" s="41"/>
      <c r="Y896" s="41"/>
      <c r="Z896" s="41"/>
    </row>
    <row r="897" customFormat="false" ht="14.25" hidden="false" customHeight="true" outlineLevel="0" collapsed="false">
      <c r="A897" s="38"/>
      <c r="B897" s="38"/>
      <c r="C897" s="39"/>
      <c r="D897" s="40"/>
      <c r="E897" s="40"/>
      <c r="F897" s="41"/>
      <c r="G897" s="41"/>
      <c r="H897" s="41"/>
      <c r="I897" s="41"/>
      <c r="J897" s="41"/>
      <c r="K897" s="41"/>
      <c r="L897" s="41"/>
      <c r="M897" s="41"/>
      <c r="N897" s="41"/>
      <c r="O897" s="41"/>
      <c r="P897" s="41"/>
      <c r="Q897" s="41"/>
      <c r="R897" s="41"/>
      <c r="S897" s="41"/>
      <c r="T897" s="41"/>
      <c r="U897" s="41"/>
      <c r="V897" s="41"/>
      <c r="W897" s="41"/>
      <c r="X897" s="41"/>
      <c r="Y897" s="41"/>
      <c r="Z897" s="41"/>
    </row>
    <row r="898" customFormat="false" ht="14.25" hidden="false" customHeight="true" outlineLevel="0" collapsed="false">
      <c r="A898" s="38"/>
      <c r="B898" s="38"/>
      <c r="C898" s="39"/>
      <c r="D898" s="40"/>
      <c r="E898" s="40"/>
      <c r="F898" s="41"/>
      <c r="G898" s="41"/>
      <c r="H898" s="41"/>
      <c r="I898" s="41"/>
      <c r="J898" s="41"/>
      <c r="K898" s="41"/>
      <c r="L898" s="41"/>
      <c r="M898" s="41"/>
      <c r="N898" s="41"/>
      <c r="O898" s="41"/>
      <c r="P898" s="41"/>
      <c r="Q898" s="41"/>
      <c r="R898" s="41"/>
      <c r="S898" s="41"/>
      <c r="T898" s="41"/>
      <c r="U898" s="41"/>
      <c r="V898" s="41"/>
      <c r="W898" s="41"/>
      <c r="X898" s="41"/>
      <c r="Y898" s="41"/>
      <c r="Z898" s="41"/>
    </row>
    <row r="899" customFormat="false" ht="14.25" hidden="false" customHeight="true" outlineLevel="0" collapsed="false">
      <c r="A899" s="38"/>
      <c r="B899" s="38"/>
      <c r="C899" s="39"/>
      <c r="D899" s="40"/>
      <c r="E899" s="40"/>
      <c r="F899" s="41"/>
      <c r="G899" s="41"/>
      <c r="H899" s="41"/>
      <c r="I899" s="41"/>
      <c r="J899" s="41"/>
      <c r="K899" s="41"/>
      <c r="L899" s="41"/>
      <c r="M899" s="41"/>
      <c r="N899" s="41"/>
      <c r="O899" s="41"/>
      <c r="P899" s="41"/>
      <c r="Q899" s="41"/>
      <c r="R899" s="41"/>
      <c r="S899" s="41"/>
      <c r="T899" s="41"/>
      <c r="U899" s="41"/>
      <c r="V899" s="41"/>
      <c r="W899" s="41"/>
      <c r="X899" s="41"/>
      <c r="Y899" s="41"/>
      <c r="Z899" s="41"/>
    </row>
    <row r="900" customFormat="false" ht="14.25" hidden="false" customHeight="true" outlineLevel="0" collapsed="false">
      <c r="A900" s="38"/>
      <c r="B900" s="38"/>
      <c r="C900" s="39"/>
      <c r="D900" s="40"/>
      <c r="E900" s="40"/>
      <c r="F900" s="41"/>
      <c r="G900" s="41"/>
      <c r="H900" s="41"/>
      <c r="I900" s="41"/>
      <c r="J900" s="41"/>
      <c r="K900" s="41"/>
      <c r="L900" s="41"/>
      <c r="M900" s="41"/>
      <c r="N900" s="41"/>
      <c r="O900" s="41"/>
      <c r="P900" s="41"/>
      <c r="Q900" s="41"/>
      <c r="R900" s="41"/>
      <c r="S900" s="41"/>
      <c r="T900" s="41"/>
      <c r="U900" s="41"/>
      <c r="V900" s="41"/>
      <c r="W900" s="41"/>
      <c r="X900" s="41"/>
      <c r="Y900" s="41"/>
      <c r="Z900" s="41"/>
    </row>
    <row r="901" customFormat="false" ht="14.25" hidden="false" customHeight="true" outlineLevel="0" collapsed="false">
      <c r="A901" s="38"/>
      <c r="B901" s="38"/>
      <c r="C901" s="39"/>
      <c r="D901" s="40"/>
      <c r="E901" s="40"/>
      <c r="F901" s="41"/>
      <c r="G901" s="41"/>
      <c r="H901" s="41"/>
      <c r="I901" s="41"/>
      <c r="J901" s="41"/>
      <c r="K901" s="41"/>
      <c r="L901" s="41"/>
      <c r="M901" s="41"/>
      <c r="N901" s="41"/>
      <c r="O901" s="41"/>
      <c r="P901" s="41"/>
      <c r="Q901" s="41"/>
      <c r="R901" s="41"/>
      <c r="S901" s="41"/>
      <c r="T901" s="41"/>
      <c r="U901" s="41"/>
      <c r="V901" s="41"/>
      <c r="W901" s="41"/>
      <c r="X901" s="41"/>
      <c r="Y901" s="41"/>
      <c r="Z901" s="41"/>
    </row>
    <row r="902" customFormat="false" ht="14.25" hidden="false" customHeight="true" outlineLevel="0" collapsed="false">
      <c r="A902" s="38"/>
      <c r="B902" s="38"/>
      <c r="C902" s="39"/>
      <c r="D902" s="40"/>
      <c r="E902" s="40"/>
      <c r="F902" s="41"/>
      <c r="G902" s="41"/>
      <c r="H902" s="41"/>
      <c r="I902" s="41"/>
      <c r="J902" s="41"/>
      <c r="K902" s="41"/>
      <c r="L902" s="41"/>
      <c r="M902" s="41"/>
      <c r="N902" s="41"/>
      <c r="O902" s="41"/>
      <c r="P902" s="41"/>
      <c r="Q902" s="41"/>
      <c r="R902" s="41"/>
      <c r="S902" s="41"/>
      <c r="T902" s="41"/>
      <c r="U902" s="41"/>
      <c r="V902" s="41"/>
      <c r="W902" s="41"/>
      <c r="X902" s="41"/>
      <c r="Y902" s="41"/>
      <c r="Z902" s="41"/>
    </row>
    <row r="903" customFormat="false" ht="14.25" hidden="false" customHeight="true" outlineLevel="0" collapsed="false">
      <c r="A903" s="38"/>
      <c r="B903" s="38"/>
      <c r="C903" s="39"/>
      <c r="D903" s="40"/>
      <c r="E903" s="40"/>
      <c r="F903" s="41"/>
      <c r="G903" s="41"/>
      <c r="H903" s="41"/>
      <c r="I903" s="41"/>
      <c r="J903" s="41"/>
      <c r="K903" s="41"/>
      <c r="L903" s="41"/>
      <c r="M903" s="41"/>
      <c r="N903" s="41"/>
      <c r="O903" s="41"/>
      <c r="P903" s="41"/>
      <c r="Q903" s="41"/>
      <c r="R903" s="41"/>
      <c r="S903" s="41"/>
      <c r="T903" s="41"/>
      <c r="U903" s="41"/>
      <c r="V903" s="41"/>
      <c r="W903" s="41"/>
      <c r="X903" s="41"/>
      <c r="Y903" s="41"/>
      <c r="Z903" s="41"/>
    </row>
    <row r="904" customFormat="false" ht="14.25" hidden="false" customHeight="true" outlineLevel="0" collapsed="false">
      <c r="A904" s="38"/>
      <c r="B904" s="38"/>
      <c r="C904" s="39"/>
      <c r="D904" s="40"/>
      <c r="E904" s="40"/>
      <c r="F904" s="41"/>
      <c r="G904" s="41"/>
      <c r="H904" s="41"/>
      <c r="I904" s="41"/>
      <c r="J904" s="41"/>
      <c r="K904" s="41"/>
      <c r="L904" s="41"/>
      <c r="M904" s="41"/>
      <c r="N904" s="41"/>
      <c r="O904" s="41"/>
      <c r="P904" s="41"/>
      <c r="Q904" s="41"/>
      <c r="R904" s="41"/>
      <c r="S904" s="41"/>
      <c r="T904" s="41"/>
      <c r="U904" s="41"/>
      <c r="V904" s="41"/>
      <c r="W904" s="41"/>
      <c r="X904" s="41"/>
      <c r="Y904" s="41"/>
      <c r="Z904" s="41"/>
    </row>
    <row r="905" customFormat="false" ht="14.25" hidden="false" customHeight="true" outlineLevel="0" collapsed="false">
      <c r="A905" s="38"/>
      <c r="B905" s="38"/>
      <c r="C905" s="39"/>
      <c r="D905" s="40"/>
      <c r="E905" s="40"/>
      <c r="F905" s="41"/>
      <c r="G905" s="41"/>
      <c r="H905" s="41"/>
      <c r="I905" s="41"/>
      <c r="J905" s="41"/>
      <c r="K905" s="41"/>
      <c r="L905" s="41"/>
      <c r="M905" s="41"/>
      <c r="N905" s="41"/>
      <c r="O905" s="41"/>
      <c r="P905" s="41"/>
      <c r="Q905" s="41"/>
      <c r="R905" s="41"/>
      <c r="S905" s="41"/>
      <c r="T905" s="41"/>
      <c r="U905" s="41"/>
      <c r="V905" s="41"/>
      <c r="W905" s="41"/>
      <c r="X905" s="41"/>
      <c r="Y905" s="41"/>
      <c r="Z905" s="41"/>
    </row>
    <row r="906" customFormat="false" ht="14.25" hidden="false" customHeight="true" outlineLevel="0" collapsed="false">
      <c r="A906" s="38"/>
      <c r="B906" s="38"/>
      <c r="C906" s="39"/>
      <c r="D906" s="40"/>
      <c r="E906" s="40"/>
      <c r="F906" s="41"/>
      <c r="G906" s="41"/>
      <c r="H906" s="41"/>
      <c r="I906" s="41"/>
      <c r="J906" s="41"/>
      <c r="K906" s="41"/>
      <c r="L906" s="41"/>
      <c r="M906" s="41"/>
      <c r="N906" s="41"/>
      <c r="O906" s="41"/>
      <c r="P906" s="41"/>
      <c r="Q906" s="41"/>
      <c r="R906" s="41"/>
      <c r="S906" s="41"/>
      <c r="T906" s="41"/>
      <c r="U906" s="41"/>
      <c r="V906" s="41"/>
      <c r="W906" s="41"/>
      <c r="X906" s="41"/>
      <c r="Y906" s="41"/>
      <c r="Z906" s="41"/>
    </row>
    <row r="907" customFormat="false" ht="14.25" hidden="false" customHeight="true" outlineLevel="0" collapsed="false">
      <c r="A907" s="38"/>
      <c r="B907" s="38"/>
      <c r="C907" s="39"/>
      <c r="D907" s="40"/>
      <c r="E907" s="40"/>
      <c r="F907" s="41"/>
      <c r="G907" s="41"/>
      <c r="H907" s="41"/>
      <c r="I907" s="41"/>
      <c r="J907" s="41"/>
      <c r="K907" s="41"/>
      <c r="L907" s="41"/>
      <c r="M907" s="41"/>
      <c r="N907" s="41"/>
      <c r="O907" s="41"/>
      <c r="P907" s="41"/>
      <c r="Q907" s="41"/>
      <c r="R907" s="41"/>
      <c r="S907" s="41"/>
      <c r="T907" s="41"/>
      <c r="U907" s="41"/>
      <c r="V907" s="41"/>
      <c r="W907" s="41"/>
      <c r="X907" s="41"/>
      <c r="Y907" s="41"/>
      <c r="Z907" s="41"/>
    </row>
    <row r="908" customFormat="false" ht="14.25" hidden="false" customHeight="true" outlineLevel="0" collapsed="false">
      <c r="A908" s="38"/>
      <c r="B908" s="38"/>
      <c r="C908" s="39"/>
      <c r="D908" s="40"/>
      <c r="E908" s="40"/>
      <c r="F908" s="41"/>
      <c r="G908" s="41"/>
      <c r="H908" s="41"/>
      <c r="I908" s="41"/>
      <c r="J908" s="41"/>
      <c r="K908" s="41"/>
      <c r="L908" s="41"/>
      <c r="M908" s="41"/>
      <c r="N908" s="41"/>
      <c r="O908" s="41"/>
      <c r="P908" s="41"/>
      <c r="Q908" s="41"/>
      <c r="R908" s="41"/>
      <c r="S908" s="41"/>
      <c r="T908" s="41"/>
      <c r="U908" s="41"/>
      <c r="V908" s="41"/>
      <c r="W908" s="41"/>
      <c r="X908" s="41"/>
      <c r="Y908" s="41"/>
      <c r="Z908" s="41"/>
    </row>
    <row r="909" customFormat="false" ht="14.25" hidden="false" customHeight="true" outlineLevel="0" collapsed="false">
      <c r="A909" s="38"/>
      <c r="B909" s="38"/>
      <c r="C909" s="39"/>
      <c r="D909" s="40"/>
      <c r="E909" s="40"/>
      <c r="F909" s="41"/>
      <c r="G909" s="41"/>
      <c r="H909" s="41"/>
      <c r="I909" s="41"/>
      <c r="J909" s="41"/>
      <c r="K909" s="41"/>
      <c r="L909" s="41"/>
      <c r="M909" s="41"/>
      <c r="N909" s="41"/>
      <c r="O909" s="41"/>
      <c r="P909" s="41"/>
      <c r="Q909" s="41"/>
      <c r="R909" s="41"/>
      <c r="S909" s="41"/>
      <c r="T909" s="41"/>
      <c r="U909" s="41"/>
      <c r="V909" s="41"/>
      <c r="W909" s="41"/>
      <c r="X909" s="41"/>
      <c r="Y909" s="41"/>
      <c r="Z909" s="41"/>
    </row>
    <row r="910" customFormat="false" ht="14.25" hidden="false" customHeight="true" outlineLevel="0" collapsed="false">
      <c r="A910" s="38"/>
      <c r="B910" s="38"/>
      <c r="C910" s="39"/>
      <c r="D910" s="40"/>
      <c r="E910" s="40"/>
      <c r="F910" s="41"/>
      <c r="G910" s="41"/>
      <c r="H910" s="41"/>
      <c r="I910" s="41"/>
      <c r="J910" s="41"/>
      <c r="K910" s="41"/>
      <c r="L910" s="41"/>
      <c r="M910" s="41"/>
      <c r="N910" s="41"/>
      <c r="O910" s="41"/>
      <c r="P910" s="41"/>
      <c r="Q910" s="41"/>
      <c r="R910" s="41"/>
      <c r="S910" s="41"/>
      <c r="T910" s="41"/>
      <c r="U910" s="41"/>
      <c r="V910" s="41"/>
      <c r="W910" s="41"/>
      <c r="X910" s="41"/>
      <c r="Y910" s="41"/>
      <c r="Z910" s="41"/>
    </row>
    <row r="911" customFormat="false" ht="14.25" hidden="false" customHeight="true" outlineLevel="0" collapsed="false">
      <c r="A911" s="38"/>
      <c r="B911" s="38"/>
      <c r="C911" s="39"/>
      <c r="D911" s="40"/>
      <c r="E911" s="40"/>
      <c r="F911" s="41"/>
      <c r="G911" s="41"/>
      <c r="H911" s="41"/>
      <c r="I911" s="41"/>
      <c r="J911" s="41"/>
      <c r="K911" s="41"/>
      <c r="L911" s="41"/>
      <c r="M911" s="41"/>
      <c r="N911" s="41"/>
      <c r="O911" s="41"/>
      <c r="P911" s="41"/>
      <c r="Q911" s="41"/>
      <c r="R911" s="41"/>
      <c r="S911" s="41"/>
      <c r="T911" s="41"/>
      <c r="U911" s="41"/>
      <c r="V911" s="41"/>
      <c r="W911" s="41"/>
      <c r="X911" s="41"/>
      <c r="Y911" s="41"/>
      <c r="Z911" s="41"/>
    </row>
    <row r="912" customFormat="false" ht="14.25" hidden="false" customHeight="true" outlineLevel="0" collapsed="false">
      <c r="A912" s="38"/>
      <c r="B912" s="38"/>
      <c r="C912" s="39"/>
      <c r="D912" s="40"/>
      <c r="E912" s="40"/>
      <c r="F912" s="41"/>
      <c r="G912" s="41"/>
      <c r="H912" s="41"/>
      <c r="I912" s="41"/>
      <c r="J912" s="41"/>
      <c r="K912" s="41"/>
      <c r="L912" s="41"/>
      <c r="M912" s="41"/>
      <c r="N912" s="41"/>
      <c r="O912" s="41"/>
      <c r="P912" s="41"/>
      <c r="Q912" s="41"/>
      <c r="R912" s="41"/>
      <c r="S912" s="41"/>
      <c r="T912" s="41"/>
      <c r="U912" s="41"/>
      <c r="V912" s="41"/>
      <c r="W912" s="41"/>
      <c r="X912" s="41"/>
      <c r="Y912" s="41"/>
      <c r="Z912" s="41"/>
    </row>
    <row r="913" customFormat="false" ht="14.25" hidden="false" customHeight="true" outlineLevel="0" collapsed="false">
      <c r="A913" s="38"/>
      <c r="B913" s="38"/>
      <c r="C913" s="39"/>
      <c r="D913" s="40"/>
      <c r="E913" s="40"/>
      <c r="F913" s="41"/>
      <c r="G913" s="41"/>
      <c r="H913" s="41"/>
      <c r="I913" s="41"/>
      <c r="J913" s="41"/>
      <c r="K913" s="41"/>
      <c r="L913" s="41"/>
      <c r="M913" s="41"/>
      <c r="N913" s="41"/>
      <c r="O913" s="41"/>
      <c r="P913" s="41"/>
      <c r="Q913" s="41"/>
      <c r="R913" s="41"/>
      <c r="S913" s="41"/>
      <c r="T913" s="41"/>
      <c r="U913" s="41"/>
      <c r="V913" s="41"/>
      <c r="W913" s="41"/>
      <c r="X913" s="41"/>
      <c r="Y913" s="41"/>
      <c r="Z913" s="41"/>
    </row>
    <row r="914" customFormat="false" ht="14.25" hidden="false" customHeight="true" outlineLevel="0" collapsed="false">
      <c r="A914" s="38"/>
      <c r="B914" s="38"/>
      <c r="C914" s="39"/>
      <c r="D914" s="40"/>
      <c r="E914" s="40"/>
      <c r="F914" s="41"/>
      <c r="G914" s="41"/>
      <c r="H914" s="41"/>
      <c r="I914" s="41"/>
      <c r="J914" s="41"/>
      <c r="K914" s="41"/>
      <c r="L914" s="41"/>
      <c r="M914" s="41"/>
      <c r="N914" s="41"/>
      <c r="O914" s="41"/>
      <c r="P914" s="41"/>
      <c r="Q914" s="41"/>
      <c r="R914" s="41"/>
      <c r="S914" s="41"/>
      <c r="T914" s="41"/>
      <c r="U914" s="41"/>
      <c r="V914" s="41"/>
      <c r="W914" s="41"/>
      <c r="X914" s="41"/>
      <c r="Y914" s="41"/>
      <c r="Z914" s="41"/>
    </row>
    <row r="915" customFormat="false" ht="14.25" hidden="false" customHeight="true" outlineLevel="0" collapsed="false">
      <c r="A915" s="38"/>
      <c r="B915" s="38"/>
      <c r="C915" s="39"/>
      <c r="D915" s="40"/>
      <c r="E915" s="40"/>
      <c r="F915" s="41"/>
      <c r="G915" s="41"/>
      <c r="H915" s="41"/>
      <c r="I915" s="41"/>
      <c r="J915" s="41"/>
      <c r="K915" s="41"/>
      <c r="L915" s="41"/>
      <c r="M915" s="41"/>
      <c r="N915" s="41"/>
      <c r="O915" s="41"/>
      <c r="P915" s="41"/>
      <c r="Q915" s="41"/>
      <c r="R915" s="41"/>
      <c r="S915" s="41"/>
      <c r="T915" s="41"/>
      <c r="U915" s="41"/>
      <c r="V915" s="41"/>
      <c r="W915" s="41"/>
      <c r="X915" s="41"/>
      <c r="Y915" s="41"/>
      <c r="Z915" s="41"/>
    </row>
    <row r="916" customFormat="false" ht="14.25" hidden="false" customHeight="true" outlineLevel="0" collapsed="false">
      <c r="A916" s="38"/>
      <c r="B916" s="38"/>
      <c r="C916" s="39"/>
      <c r="D916" s="40"/>
      <c r="E916" s="40"/>
      <c r="F916" s="41"/>
      <c r="G916" s="41"/>
      <c r="H916" s="41"/>
      <c r="I916" s="41"/>
      <c r="J916" s="41"/>
      <c r="K916" s="41"/>
      <c r="L916" s="41"/>
      <c r="M916" s="41"/>
      <c r="N916" s="41"/>
      <c r="O916" s="41"/>
      <c r="P916" s="41"/>
      <c r="Q916" s="41"/>
      <c r="R916" s="41"/>
      <c r="S916" s="41"/>
      <c r="T916" s="41"/>
      <c r="U916" s="41"/>
      <c r="V916" s="41"/>
      <c r="W916" s="41"/>
      <c r="X916" s="41"/>
      <c r="Y916" s="41"/>
      <c r="Z916" s="41"/>
    </row>
    <row r="917" customFormat="false" ht="14.25" hidden="false" customHeight="true" outlineLevel="0" collapsed="false">
      <c r="A917" s="38"/>
      <c r="B917" s="38"/>
      <c r="C917" s="39"/>
      <c r="D917" s="40"/>
      <c r="E917" s="40"/>
      <c r="F917" s="41"/>
      <c r="G917" s="41"/>
      <c r="H917" s="41"/>
      <c r="I917" s="41"/>
      <c r="J917" s="41"/>
      <c r="K917" s="41"/>
      <c r="L917" s="41"/>
      <c r="M917" s="41"/>
      <c r="N917" s="41"/>
      <c r="O917" s="41"/>
      <c r="P917" s="41"/>
      <c r="Q917" s="41"/>
      <c r="R917" s="41"/>
      <c r="S917" s="41"/>
      <c r="T917" s="41"/>
      <c r="U917" s="41"/>
      <c r="V917" s="41"/>
      <c r="W917" s="41"/>
      <c r="X917" s="41"/>
      <c r="Y917" s="41"/>
      <c r="Z917" s="41"/>
    </row>
    <row r="918" customFormat="false" ht="14.25" hidden="false" customHeight="true" outlineLevel="0" collapsed="false">
      <c r="A918" s="38"/>
      <c r="B918" s="38"/>
      <c r="C918" s="39"/>
      <c r="D918" s="40"/>
      <c r="E918" s="40"/>
      <c r="F918" s="41"/>
      <c r="G918" s="41"/>
      <c r="H918" s="41"/>
      <c r="I918" s="41"/>
      <c r="J918" s="41"/>
      <c r="K918" s="41"/>
      <c r="L918" s="41"/>
      <c r="M918" s="41"/>
      <c r="N918" s="41"/>
      <c r="O918" s="41"/>
      <c r="P918" s="41"/>
      <c r="Q918" s="41"/>
      <c r="R918" s="41"/>
      <c r="S918" s="41"/>
      <c r="T918" s="41"/>
      <c r="U918" s="41"/>
      <c r="V918" s="41"/>
      <c r="W918" s="41"/>
      <c r="X918" s="41"/>
      <c r="Y918" s="41"/>
      <c r="Z918" s="41"/>
    </row>
    <row r="919" customFormat="false" ht="14.25" hidden="false" customHeight="true" outlineLevel="0" collapsed="false">
      <c r="A919" s="38"/>
      <c r="B919" s="38"/>
      <c r="C919" s="39"/>
      <c r="D919" s="40"/>
      <c r="E919" s="40"/>
      <c r="F919" s="41"/>
      <c r="G919" s="41"/>
      <c r="H919" s="41"/>
      <c r="I919" s="41"/>
      <c r="J919" s="41"/>
      <c r="K919" s="41"/>
      <c r="L919" s="41"/>
      <c r="M919" s="41"/>
      <c r="N919" s="41"/>
      <c r="O919" s="41"/>
      <c r="P919" s="41"/>
      <c r="Q919" s="41"/>
      <c r="R919" s="41"/>
      <c r="S919" s="41"/>
      <c r="T919" s="41"/>
      <c r="U919" s="41"/>
      <c r="V919" s="41"/>
      <c r="W919" s="41"/>
      <c r="X919" s="41"/>
      <c r="Y919" s="41"/>
      <c r="Z919" s="41"/>
    </row>
    <row r="920" customFormat="false" ht="14.25" hidden="false" customHeight="true" outlineLevel="0" collapsed="false">
      <c r="A920" s="38"/>
      <c r="B920" s="38"/>
      <c r="C920" s="39"/>
      <c r="D920" s="40"/>
      <c r="E920" s="40"/>
      <c r="F920" s="41"/>
      <c r="G920" s="41"/>
      <c r="H920" s="41"/>
      <c r="I920" s="41"/>
      <c r="J920" s="41"/>
      <c r="K920" s="41"/>
      <c r="L920" s="41"/>
      <c r="M920" s="41"/>
      <c r="N920" s="41"/>
      <c r="O920" s="41"/>
      <c r="P920" s="41"/>
      <c r="Q920" s="41"/>
      <c r="R920" s="41"/>
      <c r="S920" s="41"/>
      <c r="T920" s="41"/>
      <c r="U920" s="41"/>
      <c r="V920" s="41"/>
      <c r="W920" s="41"/>
      <c r="X920" s="41"/>
      <c r="Y920" s="41"/>
      <c r="Z920" s="41"/>
    </row>
    <row r="921" customFormat="false" ht="14.25" hidden="false" customHeight="true" outlineLevel="0" collapsed="false">
      <c r="A921" s="38"/>
      <c r="B921" s="38"/>
      <c r="C921" s="39"/>
      <c r="D921" s="40"/>
      <c r="E921" s="40"/>
      <c r="F921" s="41"/>
      <c r="G921" s="41"/>
      <c r="H921" s="41"/>
      <c r="I921" s="41"/>
      <c r="J921" s="41"/>
      <c r="K921" s="41"/>
      <c r="L921" s="41"/>
      <c r="M921" s="41"/>
      <c r="N921" s="41"/>
      <c r="O921" s="41"/>
      <c r="P921" s="41"/>
      <c r="Q921" s="41"/>
      <c r="R921" s="41"/>
      <c r="S921" s="41"/>
      <c r="T921" s="41"/>
      <c r="U921" s="41"/>
      <c r="V921" s="41"/>
      <c r="W921" s="41"/>
      <c r="X921" s="41"/>
      <c r="Y921" s="41"/>
      <c r="Z921" s="41"/>
    </row>
    <row r="922" customFormat="false" ht="14.25" hidden="false" customHeight="true" outlineLevel="0" collapsed="false">
      <c r="A922" s="38"/>
      <c r="B922" s="38"/>
      <c r="C922" s="39"/>
      <c r="D922" s="40"/>
      <c r="E922" s="40"/>
      <c r="F922" s="41"/>
      <c r="G922" s="41"/>
      <c r="H922" s="41"/>
      <c r="I922" s="41"/>
      <c r="J922" s="41"/>
      <c r="K922" s="41"/>
      <c r="L922" s="41"/>
      <c r="M922" s="41"/>
      <c r="N922" s="41"/>
      <c r="O922" s="41"/>
      <c r="P922" s="41"/>
      <c r="Q922" s="41"/>
      <c r="R922" s="41"/>
      <c r="S922" s="41"/>
      <c r="T922" s="41"/>
      <c r="U922" s="41"/>
      <c r="V922" s="41"/>
      <c r="W922" s="41"/>
      <c r="X922" s="41"/>
      <c r="Y922" s="41"/>
      <c r="Z922" s="41"/>
    </row>
    <row r="923" customFormat="false" ht="14.25" hidden="false" customHeight="true" outlineLevel="0" collapsed="false">
      <c r="A923" s="38"/>
      <c r="B923" s="38"/>
      <c r="C923" s="39"/>
      <c r="D923" s="40"/>
      <c r="E923" s="40"/>
      <c r="F923" s="41"/>
      <c r="G923" s="41"/>
      <c r="H923" s="41"/>
      <c r="I923" s="41"/>
      <c r="J923" s="41"/>
      <c r="K923" s="41"/>
      <c r="L923" s="41"/>
      <c r="M923" s="41"/>
      <c r="N923" s="41"/>
      <c r="O923" s="41"/>
      <c r="P923" s="41"/>
      <c r="Q923" s="41"/>
      <c r="R923" s="41"/>
      <c r="S923" s="41"/>
      <c r="T923" s="41"/>
      <c r="U923" s="41"/>
      <c r="V923" s="41"/>
      <c r="W923" s="41"/>
      <c r="X923" s="41"/>
      <c r="Y923" s="41"/>
      <c r="Z923" s="41"/>
    </row>
    <row r="924" customFormat="false" ht="14.25" hidden="false" customHeight="true" outlineLevel="0" collapsed="false">
      <c r="A924" s="38"/>
      <c r="B924" s="38"/>
      <c r="C924" s="39"/>
      <c r="D924" s="40"/>
      <c r="E924" s="40"/>
      <c r="F924" s="41"/>
      <c r="G924" s="41"/>
      <c r="H924" s="41"/>
      <c r="I924" s="41"/>
      <c r="J924" s="41"/>
      <c r="K924" s="41"/>
      <c r="L924" s="41"/>
      <c r="M924" s="41"/>
      <c r="N924" s="41"/>
      <c r="O924" s="41"/>
      <c r="P924" s="41"/>
      <c r="Q924" s="41"/>
      <c r="R924" s="41"/>
      <c r="S924" s="41"/>
      <c r="T924" s="41"/>
      <c r="U924" s="41"/>
      <c r="V924" s="41"/>
      <c r="W924" s="41"/>
      <c r="X924" s="41"/>
      <c r="Y924" s="41"/>
      <c r="Z924" s="41"/>
    </row>
    <row r="925" customFormat="false" ht="14.25" hidden="false" customHeight="true" outlineLevel="0" collapsed="false">
      <c r="A925" s="38"/>
      <c r="B925" s="38"/>
      <c r="C925" s="39"/>
      <c r="D925" s="40"/>
      <c r="E925" s="40"/>
      <c r="F925" s="41"/>
      <c r="G925" s="41"/>
      <c r="H925" s="41"/>
      <c r="I925" s="41"/>
      <c r="J925" s="41"/>
      <c r="K925" s="41"/>
      <c r="L925" s="41"/>
      <c r="M925" s="41"/>
      <c r="N925" s="41"/>
      <c r="O925" s="41"/>
      <c r="P925" s="41"/>
      <c r="Q925" s="41"/>
      <c r="R925" s="41"/>
      <c r="S925" s="41"/>
      <c r="T925" s="41"/>
      <c r="U925" s="41"/>
      <c r="V925" s="41"/>
      <c r="W925" s="41"/>
      <c r="X925" s="41"/>
      <c r="Y925" s="41"/>
      <c r="Z925" s="41"/>
    </row>
    <row r="926" customFormat="false" ht="14.25" hidden="false" customHeight="true" outlineLevel="0" collapsed="false">
      <c r="A926" s="38"/>
      <c r="B926" s="38"/>
      <c r="C926" s="39"/>
      <c r="D926" s="40"/>
      <c r="E926" s="40"/>
      <c r="F926" s="41"/>
      <c r="G926" s="41"/>
      <c r="H926" s="41"/>
      <c r="I926" s="41"/>
      <c r="J926" s="41"/>
      <c r="K926" s="41"/>
      <c r="L926" s="41"/>
      <c r="M926" s="41"/>
      <c r="N926" s="41"/>
      <c r="O926" s="41"/>
      <c r="P926" s="41"/>
      <c r="Q926" s="41"/>
      <c r="R926" s="41"/>
      <c r="S926" s="41"/>
      <c r="T926" s="41"/>
      <c r="U926" s="41"/>
      <c r="V926" s="41"/>
      <c r="W926" s="41"/>
      <c r="X926" s="41"/>
      <c r="Y926" s="41"/>
      <c r="Z926" s="41"/>
    </row>
    <row r="927" customFormat="false" ht="14.25" hidden="false" customHeight="true" outlineLevel="0" collapsed="false">
      <c r="A927" s="38"/>
      <c r="B927" s="38"/>
      <c r="C927" s="39"/>
      <c r="D927" s="40"/>
      <c r="E927" s="40"/>
      <c r="F927" s="41"/>
      <c r="G927" s="41"/>
      <c r="H927" s="41"/>
      <c r="I927" s="41"/>
      <c r="J927" s="41"/>
      <c r="K927" s="41"/>
      <c r="L927" s="41"/>
      <c r="M927" s="41"/>
      <c r="N927" s="41"/>
      <c r="O927" s="41"/>
      <c r="P927" s="41"/>
      <c r="Q927" s="41"/>
      <c r="R927" s="41"/>
      <c r="S927" s="41"/>
      <c r="T927" s="41"/>
      <c r="U927" s="41"/>
      <c r="V927" s="41"/>
      <c r="W927" s="41"/>
      <c r="X927" s="41"/>
      <c r="Y927" s="41"/>
      <c r="Z927" s="41"/>
    </row>
    <row r="928" customFormat="false" ht="14.25" hidden="false" customHeight="true" outlineLevel="0" collapsed="false">
      <c r="A928" s="38"/>
      <c r="B928" s="38"/>
      <c r="C928" s="39"/>
      <c r="D928" s="40"/>
      <c r="E928" s="40"/>
      <c r="F928" s="41"/>
      <c r="G928" s="41"/>
      <c r="H928" s="41"/>
      <c r="I928" s="41"/>
      <c r="J928" s="41"/>
      <c r="K928" s="41"/>
      <c r="L928" s="41"/>
      <c r="M928" s="41"/>
      <c r="N928" s="41"/>
      <c r="O928" s="41"/>
      <c r="P928" s="41"/>
      <c r="Q928" s="41"/>
      <c r="R928" s="41"/>
      <c r="S928" s="41"/>
      <c r="T928" s="41"/>
      <c r="U928" s="41"/>
      <c r="V928" s="41"/>
      <c r="W928" s="41"/>
      <c r="X928" s="41"/>
      <c r="Y928" s="41"/>
      <c r="Z928" s="41"/>
    </row>
    <row r="929" customFormat="false" ht="14.25" hidden="false" customHeight="true" outlineLevel="0" collapsed="false">
      <c r="A929" s="38"/>
      <c r="B929" s="38"/>
      <c r="C929" s="39"/>
      <c r="D929" s="40"/>
      <c r="E929" s="40"/>
      <c r="F929" s="41"/>
      <c r="G929" s="41"/>
      <c r="H929" s="41"/>
      <c r="I929" s="41"/>
      <c r="J929" s="41"/>
      <c r="K929" s="41"/>
      <c r="L929" s="41"/>
      <c r="M929" s="41"/>
      <c r="N929" s="41"/>
      <c r="O929" s="41"/>
      <c r="P929" s="41"/>
      <c r="Q929" s="41"/>
      <c r="R929" s="41"/>
      <c r="S929" s="41"/>
      <c r="T929" s="41"/>
      <c r="U929" s="41"/>
      <c r="V929" s="41"/>
      <c r="W929" s="41"/>
      <c r="X929" s="41"/>
      <c r="Y929" s="41"/>
      <c r="Z929" s="41"/>
    </row>
    <row r="930" customFormat="false" ht="14.25" hidden="false" customHeight="true" outlineLevel="0" collapsed="false">
      <c r="A930" s="38"/>
      <c r="B930" s="38"/>
      <c r="C930" s="39"/>
      <c r="D930" s="40"/>
      <c r="E930" s="40"/>
      <c r="F930" s="41"/>
      <c r="G930" s="41"/>
      <c r="H930" s="41"/>
      <c r="I930" s="41"/>
      <c r="J930" s="41"/>
      <c r="K930" s="41"/>
      <c r="L930" s="41"/>
      <c r="M930" s="41"/>
      <c r="N930" s="41"/>
      <c r="O930" s="41"/>
      <c r="P930" s="41"/>
      <c r="Q930" s="41"/>
      <c r="R930" s="41"/>
      <c r="S930" s="41"/>
      <c r="T930" s="41"/>
      <c r="U930" s="41"/>
      <c r="V930" s="41"/>
      <c r="W930" s="41"/>
      <c r="X930" s="41"/>
      <c r="Y930" s="41"/>
      <c r="Z930" s="41"/>
    </row>
    <row r="931" customFormat="false" ht="14.25" hidden="false" customHeight="true" outlineLevel="0" collapsed="false">
      <c r="A931" s="38"/>
      <c r="B931" s="38"/>
      <c r="C931" s="39"/>
      <c r="D931" s="40"/>
      <c r="E931" s="40"/>
      <c r="F931" s="41"/>
      <c r="G931" s="41"/>
      <c r="H931" s="41"/>
      <c r="I931" s="41"/>
      <c r="J931" s="41"/>
      <c r="K931" s="41"/>
      <c r="L931" s="41"/>
      <c r="M931" s="41"/>
      <c r="N931" s="41"/>
      <c r="O931" s="41"/>
      <c r="P931" s="41"/>
      <c r="Q931" s="41"/>
      <c r="R931" s="41"/>
      <c r="S931" s="41"/>
      <c r="T931" s="41"/>
      <c r="U931" s="41"/>
      <c r="V931" s="41"/>
      <c r="W931" s="41"/>
      <c r="X931" s="41"/>
      <c r="Y931" s="41"/>
      <c r="Z931" s="41"/>
    </row>
    <row r="932" customFormat="false" ht="14.25" hidden="false" customHeight="true" outlineLevel="0" collapsed="false">
      <c r="A932" s="38"/>
      <c r="B932" s="38"/>
      <c r="C932" s="39"/>
      <c r="D932" s="40"/>
      <c r="E932" s="40"/>
      <c r="F932" s="41"/>
      <c r="G932" s="41"/>
      <c r="H932" s="41"/>
      <c r="I932" s="41"/>
      <c r="J932" s="41"/>
      <c r="K932" s="41"/>
      <c r="L932" s="41"/>
      <c r="M932" s="41"/>
      <c r="N932" s="41"/>
      <c r="O932" s="41"/>
      <c r="P932" s="41"/>
      <c r="Q932" s="41"/>
      <c r="R932" s="41"/>
      <c r="S932" s="41"/>
      <c r="T932" s="41"/>
      <c r="U932" s="41"/>
      <c r="V932" s="41"/>
      <c r="W932" s="41"/>
      <c r="X932" s="41"/>
      <c r="Y932" s="41"/>
      <c r="Z932" s="41"/>
    </row>
    <row r="933" customFormat="false" ht="14.25" hidden="false" customHeight="true" outlineLevel="0" collapsed="false">
      <c r="A933" s="38"/>
      <c r="B933" s="38"/>
      <c r="C933" s="39"/>
      <c r="D933" s="40"/>
      <c r="E933" s="40"/>
      <c r="F933" s="41"/>
      <c r="G933" s="41"/>
      <c r="H933" s="41"/>
      <c r="I933" s="41"/>
      <c r="J933" s="41"/>
      <c r="K933" s="41"/>
      <c r="L933" s="41"/>
      <c r="M933" s="41"/>
      <c r="N933" s="41"/>
      <c r="O933" s="41"/>
      <c r="P933" s="41"/>
      <c r="Q933" s="41"/>
      <c r="R933" s="41"/>
      <c r="S933" s="41"/>
      <c r="T933" s="41"/>
      <c r="U933" s="41"/>
      <c r="V933" s="41"/>
      <c r="W933" s="41"/>
      <c r="X933" s="41"/>
      <c r="Y933" s="41"/>
      <c r="Z933" s="41"/>
    </row>
    <row r="934" customFormat="false" ht="14.25" hidden="false" customHeight="true" outlineLevel="0" collapsed="false">
      <c r="A934" s="38"/>
      <c r="B934" s="38"/>
      <c r="C934" s="39"/>
      <c r="D934" s="40"/>
      <c r="E934" s="40"/>
      <c r="F934" s="41"/>
      <c r="G934" s="41"/>
      <c r="H934" s="41"/>
      <c r="I934" s="41"/>
      <c r="J934" s="41"/>
      <c r="K934" s="41"/>
      <c r="L934" s="41"/>
      <c r="M934" s="41"/>
      <c r="N934" s="41"/>
      <c r="O934" s="41"/>
      <c r="P934" s="41"/>
      <c r="Q934" s="41"/>
      <c r="R934" s="41"/>
      <c r="S934" s="41"/>
      <c r="T934" s="41"/>
      <c r="U934" s="41"/>
      <c r="V934" s="41"/>
      <c r="W934" s="41"/>
      <c r="X934" s="41"/>
      <c r="Y934" s="41"/>
      <c r="Z934" s="41"/>
    </row>
    <row r="935" customFormat="false" ht="14.25" hidden="false" customHeight="true" outlineLevel="0" collapsed="false">
      <c r="A935" s="38"/>
      <c r="B935" s="38"/>
      <c r="C935" s="39"/>
      <c r="D935" s="40"/>
      <c r="E935" s="40"/>
      <c r="F935" s="41"/>
      <c r="G935" s="41"/>
      <c r="H935" s="41"/>
      <c r="I935" s="41"/>
      <c r="J935" s="41"/>
      <c r="K935" s="41"/>
      <c r="L935" s="41"/>
      <c r="M935" s="41"/>
      <c r="N935" s="41"/>
      <c r="O935" s="41"/>
      <c r="P935" s="41"/>
      <c r="Q935" s="41"/>
      <c r="R935" s="41"/>
      <c r="S935" s="41"/>
      <c r="T935" s="41"/>
      <c r="U935" s="41"/>
      <c r="V935" s="41"/>
      <c r="W935" s="41"/>
      <c r="X935" s="41"/>
      <c r="Y935" s="41"/>
      <c r="Z935" s="41"/>
    </row>
    <row r="936" customFormat="false" ht="14.25" hidden="false" customHeight="true" outlineLevel="0" collapsed="false">
      <c r="A936" s="38"/>
      <c r="B936" s="38"/>
      <c r="C936" s="39"/>
      <c r="D936" s="40"/>
      <c r="E936" s="40"/>
      <c r="F936" s="41"/>
      <c r="G936" s="41"/>
      <c r="H936" s="41"/>
      <c r="I936" s="41"/>
      <c r="J936" s="41"/>
      <c r="K936" s="41"/>
      <c r="L936" s="41"/>
      <c r="M936" s="41"/>
      <c r="N936" s="41"/>
      <c r="O936" s="41"/>
      <c r="P936" s="41"/>
      <c r="Q936" s="41"/>
      <c r="R936" s="41"/>
      <c r="S936" s="41"/>
      <c r="T936" s="41"/>
      <c r="U936" s="41"/>
      <c r="V936" s="41"/>
      <c r="W936" s="41"/>
      <c r="X936" s="41"/>
      <c r="Y936" s="41"/>
      <c r="Z936" s="41"/>
    </row>
    <row r="937" customFormat="false" ht="14.25" hidden="false" customHeight="true" outlineLevel="0" collapsed="false">
      <c r="A937" s="38"/>
      <c r="B937" s="38"/>
      <c r="C937" s="39"/>
      <c r="D937" s="40"/>
      <c r="E937" s="40"/>
      <c r="F937" s="41"/>
      <c r="G937" s="41"/>
      <c r="H937" s="41"/>
      <c r="I937" s="41"/>
      <c r="J937" s="41"/>
      <c r="K937" s="41"/>
      <c r="L937" s="41"/>
      <c r="M937" s="41"/>
      <c r="N937" s="41"/>
      <c r="O937" s="41"/>
      <c r="P937" s="41"/>
      <c r="Q937" s="41"/>
      <c r="R937" s="41"/>
      <c r="S937" s="41"/>
      <c r="T937" s="41"/>
      <c r="U937" s="41"/>
      <c r="V937" s="41"/>
      <c r="W937" s="41"/>
      <c r="X937" s="41"/>
      <c r="Y937" s="41"/>
      <c r="Z937" s="41"/>
    </row>
    <row r="938" customFormat="false" ht="14.25" hidden="false" customHeight="true" outlineLevel="0" collapsed="false">
      <c r="A938" s="38"/>
      <c r="B938" s="38"/>
      <c r="C938" s="39"/>
      <c r="D938" s="40"/>
      <c r="E938" s="40"/>
      <c r="F938" s="41"/>
      <c r="G938" s="41"/>
      <c r="H938" s="41"/>
      <c r="I938" s="41"/>
      <c r="J938" s="41"/>
      <c r="K938" s="41"/>
      <c r="L938" s="41"/>
      <c r="M938" s="41"/>
      <c r="N938" s="41"/>
      <c r="O938" s="41"/>
      <c r="P938" s="41"/>
      <c r="Q938" s="41"/>
      <c r="R938" s="41"/>
      <c r="S938" s="41"/>
      <c r="T938" s="41"/>
      <c r="U938" s="41"/>
      <c r="V938" s="41"/>
      <c r="W938" s="41"/>
      <c r="X938" s="41"/>
      <c r="Y938" s="41"/>
      <c r="Z938" s="41"/>
    </row>
    <row r="939" customFormat="false" ht="14.25" hidden="false" customHeight="true" outlineLevel="0" collapsed="false">
      <c r="A939" s="38"/>
      <c r="B939" s="38"/>
      <c r="C939" s="39"/>
      <c r="D939" s="40"/>
      <c r="E939" s="40"/>
      <c r="F939" s="41"/>
      <c r="G939" s="41"/>
      <c r="H939" s="41"/>
      <c r="I939" s="41"/>
      <c r="J939" s="41"/>
      <c r="K939" s="41"/>
      <c r="L939" s="41"/>
      <c r="M939" s="41"/>
      <c r="N939" s="41"/>
      <c r="O939" s="41"/>
      <c r="P939" s="41"/>
      <c r="Q939" s="41"/>
      <c r="R939" s="41"/>
      <c r="S939" s="41"/>
      <c r="T939" s="41"/>
      <c r="U939" s="41"/>
      <c r="V939" s="41"/>
      <c r="W939" s="41"/>
      <c r="X939" s="41"/>
      <c r="Y939" s="41"/>
      <c r="Z939" s="41"/>
    </row>
    <row r="940" customFormat="false" ht="14.25" hidden="false" customHeight="true" outlineLevel="0" collapsed="false">
      <c r="A940" s="38"/>
      <c r="B940" s="38"/>
      <c r="C940" s="39"/>
      <c r="D940" s="40"/>
      <c r="E940" s="40"/>
      <c r="F940" s="41"/>
      <c r="G940" s="41"/>
      <c r="H940" s="41"/>
      <c r="I940" s="41"/>
      <c r="J940" s="41"/>
      <c r="K940" s="41"/>
      <c r="L940" s="41"/>
      <c r="M940" s="41"/>
      <c r="N940" s="41"/>
      <c r="O940" s="41"/>
      <c r="P940" s="41"/>
      <c r="Q940" s="41"/>
      <c r="R940" s="41"/>
      <c r="S940" s="41"/>
      <c r="T940" s="41"/>
      <c r="U940" s="41"/>
      <c r="V940" s="41"/>
      <c r="W940" s="41"/>
      <c r="X940" s="41"/>
      <c r="Y940" s="41"/>
      <c r="Z940" s="41"/>
    </row>
    <row r="941" customFormat="false" ht="14.25" hidden="false" customHeight="true" outlineLevel="0" collapsed="false">
      <c r="A941" s="38"/>
      <c r="B941" s="38"/>
      <c r="C941" s="39"/>
      <c r="D941" s="40"/>
      <c r="E941" s="40"/>
      <c r="F941" s="41"/>
      <c r="G941" s="41"/>
      <c r="H941" s="41"/>
      <c r="I941" s="41"/>
      <c r="J941" s="41"/>
      <c r="K941" s="41"/>
      <c r="L941" s="41"/>
      <c r="M941" s="41"/>
      <c r="N941" s="41"/>
      <c r="O941" s="41"/>
      <c r="P941" s="41"/>
      <c r="Q941" s="41"/>
      <c r="R941" s="41"/>
      <c r="S941" s="41"/>
      <c r="T941" s="41"/>
      <c r="U941" s="41"/>
      <c r="V941" s="41"/>
      <c r="W941" s="41"/>
      <c r="X941" s="41"/>
      <c r="Y941" s="41"/>
      <c r="Z941" s="41"/>
    </row>
    <row r="942" customFormat="false" ht="14.25" hidden="false" customHeight="true" outlineLevel="0" collapsed="false">
      <c r="A942" s="38"/>
      <c r="B942" s="38"/>
      <c r="C942" s="39"/>
      <c r="D942" s="40"/>
      <c r="E942" s="40"/>
      <c r="F942" s="41"/>
      <c r="G942" s="41"/>
      <c r="H942" s="41"/>
      <c r="I942" s="41"/>
      <c r="J942" s="41"/>
      <c r="K942" s="41"/>
      <c r="L942" s="41"/>
      <c r="M942" s="41"/>
      <c r="N942" s="41"/>
      <c r="O942" s="41"/>
      <c r="P942" s="41"/>
      <c r="Q942" s="41"/>
      <c r="R942" s="41"/>
      <c r="S942" s="41"/>
      <c r="T942" s="41"/>
      <c r="U942" s="41"/>
      <c r="V942" s="41"/>
      <c r="W942" s="41"/>
      <c r="X942" s="41"/>
      <c r="Y942" s="41"/>
      <c r="Z942" s="41"/>
    </row>
    <row r="943" customFormat="false" ht="14.25" hidden="false" customHeight="true" outlineLevel="0" collapsed="false">
      <c r="A943" s="38"/>
      <c r="B943" s="38"/>
      <c r="C943" s="39"/>
      <c r="D943" s="40"/>
      <c r="E943" s="40"/>
      <c r="F943" s="41"/>
      <c r="G943" s="41"/>
      <c r="H943" s="41"/>
      <c r="I943" s="41"/>
      <c r="J943" s="41"/>
      <c r="K943" s="41"/>
      <c r="L943" s="41"/>
      <c r="M943" s="41"/>
      <c r="N943" s="41"/>
      <c r="O943" s="41"/>
      <c r="P943" s="41"/>
      <c r="Q943" s="41"/>
      <c r="R943" s="41"/>
      <c r="S943" s="41"/>
      <c r="T943" s="41"/>
      <c r="U943" s="41"/>
      <c r="V943" s="41"/>
      <c r="W943" s="41"/>
      <c r="X943" s="41"/>
      <c r="Y943" s="41"/>
      <c r="Z943" s="41"/>
    </row>
    <row r="944" customFormat="false" ht="14.25" hidden="false" customHeight="true" outlineLevel="0" collapsed="false">
      <c r="A944" s="38"/>
      <c r="B944" s="38"/>
      <c r="C944" s="39"/>
      <c r="D944" s="40"/>
      <c r="E944" s="40"/>
      <c r="F944" s="41"/>
      <c r="G944" s="41"/>
      <c r="H944" s="41"/>
      <c r="I944" s="41"/>
      <c r="J944" s="41"/>
      <c r="K944" s="41"/>
      <c r="L944" s="41"/>
      <c r="M944" s="41"/>
      <c r="N944" s="41"/>
      <c r="O944" s="41"/>
      <c r="P944" s="41"/>
      <c r="Q944" s="41"/>
      <c r="R944" s="41"/>
      <c r="S944" s="41"/>
      <c r="T944" s="41"/>
      <c r="U944" s="41"/>
      <c r="V944" s="41"/>
      <c r="W944" s="41"/>
      <c r="X944" s="41"/>
      <c r="Y944" s="41"/>
      <c r="Z944" s="41"/>
    </row>
    <row r="945" customFormat="false" ht="14.25" hidden="false" customHeight="true" outlineLevel="0" collapsed="false">
      <c r="A945" s="38"/>
      <c r="B945" s="38"/>
      <c r="C945" s="39"/>
      <c r="D945" s="40"/>
      <c r="E945" s="40"/>
      <c r="F945" s="41"/>
      <c r="G945" s="41"/>
      <c r="H945" s="41"/>
      <c r="I945" s="41"/>
      <c r="J945" s="41"/>
      <c r="K945" s="41"/>
      <c r="L945" s="41"/>
      <c r="M945" s="41"/>
      <c r="N945" s="41"/>
      <c r="O945" s="41"/>
      <c r="P945" s="41"/>
      <c r="Q945" s="41"/>
      <c r="R945" s="41"/>
      <c r="S945" s="41"/>
      <c r="T945" s="41"/>
      <c r="U945" s="41"/>
      <c r="V945" s="41"/>
      <c r="W945" s="41"/>
      <c r="X945" s="41"/>
      <c r="Y945" s="41"/>
      <c r="Z945" s="41"/>
    </row>
    <row r="946" customFormat="false" ht="14.25" hidden="false" customHeight="true" outlineLevel="0" collapsed="false">
      <c r="A946" s="38"/>
      <c r="B946" s="38"/>
      <c r="C946" s="39"/>
      <c r="D946" s="40"/>
      <c r="E946" s="40"/>
      <c r="F946" s="41"/>
      <c r="G946" s="41"/>
      <c r="H946" s="41"/>
      <c r="I946" s="41"/>
      <c r="J946" s="41"/>
      <c r="K946" s="41"/>
      <c r="L946" s="41"/>
      <c r="M946" s="41"/>
      <c r="N946" s="41"/>
      <c r="O946" s="41"/>
      <c r="P946" s="41"/>
      <c r="Q946" s="41"/>
      <c r="R946" s="41"/>
      <c r="S946" s="41"/>
      <c r="T946" s="41"/>
      <c r="U946" s="41"/>
      <c r="V946" s="41"/>
      <c r="W946" s="41"/>
      <c r="X946" s="41"/>
      <c r="Y946" s="41"/>
      <c r="Z946" s="41"/>
    </row>
    <row r="947" customFormat="false" ht="14.25" hidden="false" customHeight="true" outlineLevel="0" collapsed="false">
      <c r="A947" s="38"/>
      <c r="B947" s="38"/>
      <c r="C947" s="39"/>
      <c r="D947" s="40"/>
      <c r="E947" s="40"/>
      <c r="F947" s="41"/>
      <c r="G947" s="41"/>
      <c r="H947" s="41"/>
      <c r="I947" s="41"/>
      <c r="J947" s="41"/>
      <c r="K947" s="41"/>
      <c r="L947" s="41"/>
      <c r="M947" s="41"/>
      <c r="N947" s="41"/>
      <c r="O947" s="41"/>
      <c r="P947" s="41"/>
      <c r="Q947" s="41"/>
      <c r="R947" s="41"/>
      <c r="S947" s="41"/>
      <c r="T947" s="41"/>
      <c r="U947" s="41"/>
      <c r="V947" s="41"/>
      <c r="W947" s="41"/>
      <c r="X947" s="41"/>
      <c r="Y947" s="41"/>
      <c r="Z947" s="41"/>
    </row>
    <row r="948" customFormat="false" ht="14.25" hidden="false" customHeight="true" outlineLevel="0" collapsed="false">
      <c r="A948" s="38"/>
      <c r="B948" s="38"/>
      <c r="C948" s="39"/>
      <c r="D948" s="40"/>
      <c r="E948" s="40"/>
      <c r="F948" s="41"/>
      <c r="G948" s="41"/>
      <c r="H948" s="41"/>
      <c r="I948" s="41"/>
      <c r="J948" s="41"/>
      <c r="K948" s="41"/>
      <c r="L948" s="41"/>
      <c r="M948" s="41"/>
      <c r="N948" s="41"/>
      <c r="O948" s="41"/>
      <c r="P948" s="41"/>
      <c r="Q948" s="41"/>
      <c r="R948" s="41"/>
      <c r="S948" s="41"/>
      <c r="T948" s="41"/>
      <c r="U948" s="41"/>
      <c r="V948" s="41"/>
      <c r="W948" s="41"/>
      <c r="X948" s="41"/>
      <c r="Y948" s="41"/>
      <c r="Z948" s="41"/>
    </row>
    <row r="949" customFormat="false" ht="14.25" hidden="false" customHeight="true" outlineLevel="0" collapsed="false">
      <c r="A949" s="38"/>
      <c r="B949" s="38"/>
      <c r="C949" s="39"/>
      <c r="D949" s="40"/>
      <c r="E949" s="40"/>
      <c r="F949" s="41"/>
      <c r="G949" s="41"/>
      <c r="H949" s="41"/>
      <c r="I949" s="41"/>
      <c r="J949" s="41"/>
      <c r="K949" s="41"/>
      <c r="L949" s="41"/>
      <c r="M949" s="41"/>
      <c r="N949" s="41"/>
      <c r="O949" s="41"/>
      <c r="P949" s="41"/>
      <c r="Q949" s="41"/>
      <c r="R949" s="41"/>
      <c r="S949" s="41"/>
      <c r="T949" s="41"/>
      <c r="U949" s="41"/>
      <c r="V949" s="41"/>
      <c r="W949" s="41"/>
      <c r="X949" s="41"/>
      <c r="Y949" s="41"/>
      <c r="Z949" s="41"/>
    </row>
    <row r="950" customFormat="false" ht="14.25" hidden="false" customHeight="true" outlineLevel="0" collapsed="false">
      <c r="A950" s="38"/>
      <c r="B950" s="38"/>
      <c r="C950" s="39"/>
      <c r="D950" s="40"/>
      <c r="E950" s="40"/>
      <c r="F950" s="41"/>
      <c r="G950" s="41"/>
      <c r="H950" s="41"/>
      <c r="I950" s="41"/>
      <c r="J950" s="41"/>
      <c r="K950" s="41"/>
      <c r="L950" s="41"/>
      <c r="M950" s="41"/>
      <c r="N950" s="41"/>
      <c r="O950" s="41"/>
      <c r="P950" s="41"/>
      <c r="Q950" s="41"/>
      <c r="R950" s="41"/>
      <c r="S950" s="41"/>
      <c r="T950" s="41"/>
      <c r="U950" s="41"/>
      <c r="V950" s="41"/>
      <c r="W950" s="41"/>
      <c r="X950" s="41"/>
      <c r="Y950" s="41"/>
      <c r="Z950" s="41"/>
    </row>
    <row r="951" customFormat="false" ht="14.25" hidden="false" customHeight="true" outlineLevel="0" collapsed="false">
      <c r="A951" s="38"/>
      <c r="B951" s="38"/>
      <c r="C951" s="39"/>
      <c r="D951" s="40"/>
      <c r="E951" s="40"/>
      <c r="F951" s="41"/>
      <c r="G951" s="41"/>
      <c r="H951" s="41"/>
      <c r="I951" s="41"/>
      <c r="J951" s="41"/>
      <c r="K951" s="41"/>
      <c r="L951" s="41"/>
      <c r="M951" s="41"/>
      <c r="N951" s="41"/>
      <c r="O951" s="41"/>
      <c r="P951" s="41"/>
      <c r="Q951" s="41"/>
      <c r="R951" s="41"/>
      <c r="S951" s="41"/>
      <c r="T951" s="41"/>
      <c r="U951" s="41"/>
      <c r="V951" s="41"/>
      <c r="W951" s="41"/>
      <c r="X951" s="41"/>
      <c r="Y951" s="41"/>
      <c r="Z951" s="41"/>
    </row>
    <row r="952" customFormat="false" ht="14.25" hidden="false" customHeight="true" outlineLevel="0" collapsed="false">
      <c r="A952" s="38"/>
      <c r="B952" s="38"/>
      <c r="C952" s="39"/>
      <c r="D952" s="40"/>
      <c r="E952" s="40"/>
      <c r="F952" s="41"/>
      <c r="G952" s="41"/>
      <c r="H952" s="41"/>
      <c r="I952" s="41"/>
      <c r="J952" s="41"/>
      <c r="K952" s="41"/>
      <c r="L952" s="41"/>
      <c r="M952" s="41"/>
      <c r="N952" s="41"/>
      <c r="O952" s="41"/>
      <c r="P952" s="41"/>
      <c r="Q952" s="41"/>
      <c r="R952" s="41"/>
      <c r="S952" s="41"/>
      <c r="T952" s="41"/>
      <c r="U952" s="41"/>
      <c r="V952" s="41"/>
      <c r="W952" s="41"/>
      <c r="X952" s="41"/>
      <c r="Y952" s="41"/>
      <c r="Z952" s="41"/>
    </row>
    <row r="953" customFormat="false" ht="14.25" hidden="false" customHeight="true" outlineLevel="0" collapsed="false">
      <c r="A953" s="38"/>
      <c r="B953" s="38"/>
      <c r="C953" s="39"/>
      <c r="D953" s="40"/>
      <c r="E953" s="40"/>
      <c r="F953" s="41"/>
      <c r="G953" s="41"/>
      <c r="H953" s="41"/>
      <c r="I953" s="41"/>
      <c r="J953" s="41"/>
      <c r="K953" s="41"/>
      <c r="L953" s="41"/>
      <c r="M953" s="41"/>
      <c r="N953" s="41"/>
      <c r="O953" s="41"/>
      <c r="P953" s="41"/>
      <c r="Q953" s="41"/>
      <c r="R953" s="41"/>
      <c r="S953" s="41"/>
      <c r="T953" s="41"/>
      <c r="U953" s="41"/>
      <c r="V953" s="41"/>
      <c r="W953" s="41"/>
      <c r="X953" s="41"/>
      <c r="Y953" s="41"/>
      <c r="Z953" s="41"/>
    </row>
    <row r="954" customFormat="false" ht="14.25" hidden="false" customHeight="true" outlineLevel="0" collapsed="false">
      <c r="A954" s="38"/>
      <c r="B954" s="38"/>
      <c r="C954" s="39"/>
      <c r="D954" s="40"/>
      <c r="E954" s="40"/>
      <c r="F954" s="41"/>
      <c r="G954" s="41"/>
      <c r="H954" s="41"/>
      <c r="I954" s="41"/>
      <c r="J954" s="41"/>
      <c r="K954" s="41"/>
      <c r="L954" s="41"/>
      <c r="M954" s="41"/>
      <c r="N954" s="41"/>
      <c r="O954" s="41"/>
      <c r="P954" s="41"/>
      <c r="Q954" s="41"/>
      <c r="R954" s="41"/>
      <c r="S954" s="41"/>
      <c r="T954" s="41"/>
      <c r="U954" s="41"/>
      <c r="V954" s="41"/>
      <c r="W954" s="41"/>
      <c r="X954" s="41"/>
      <c r="Y954" s="41"/>
      <c r="Z954" s="41"/>
    </row>
    <row r="955" customFormat="false" ht="14.25" hidden="false" customHeight="true" outlineLevel="0" collapsed="false">
      <c r="A955" s="38"/>
      <c r="B955" s="38"/>
      <c r="C955" s="39"/>
      <c r="D955" s="40"/>
      <c r="E955" s="40"/>
      <c r="F955" s="41"/>
      <c r="G955" s="41"/>
      <c r="H955" s="41"/>
      <c r="I955" s="41"/>
      <c r="J955" s="41"/>
      <c r="K955" s="41"/>
      <c r="L955" s="41"/>
      <c r="M955" s="41"/>
      <c r="N955" s="41"/>
      <c r="O955" s="41"/>
      <c r="P955" s="41"/>
      <c r="Q955" s="41"/>
      <c r="R955" s="41"/>
      <c r="S955" s="41"/>
      <c r="T955" s="41"/>
      <c r="U955" s="41"/>
      <c r="V955" s="41"/>
      <c r="W955" s="41"/>
      <c r="X955" s="41"/>
      <c r="Y955" s="41"/>
      <c r="Z955" s="41"/>
    </row>
    <row r="956" customFormat="false" ht="14.25" hidden="false" customHeight="true" outlineLevel="0" collapsed="false">
      <c r="A956" s="38"/>
      <c r="B956" s="38"/>
      <c r="C956" s="39"/>
      <c r="D956" s="40"/>
      <c r="E956" s="40"/>
      <c r="F956" s="41"/>
      <c r="G956" s="41"/>
      <c r="H956" s="41"/>
      <c r="I956" s="41"/>
      <c r="J956" s="41"/>
      <c r="K956" s="41"/>
      <c r="L956" s="41"/>
      <c r="M956" s="41"/>
      <c r="N956" s="41"/>
      <c r="O956" s="41"/>
      <c r="P956" s="41"/>
      <c r="Q956" s="41"/>
      <c r="R956" s="41"/>
      <c r="S956" s="41"/>
      <c r="T956" s="41"/>
      <c r="U956" s="41"/>
      <c r="V956" s="41"/>
      <c r="W956" s="41"/>
      <c r="X956" s="41"/>
      <c r="Y956" s="41"/>
      <c r="Z956" s="41"/>
    </row>
    <row r="957" customFormat="false" ht="14.25" hidden="false" customHeight="true" outlineLevel="0" collapsed="false">
      <c r="A957" s="38"/>
      <c r="B957" s="38"/>
      <c r="C957" s="39"/>
      <c r="D957" s="40"/>
      <c r="E957" s="40"/>
      <c r="F957" s="41"/>
      <c r="G957" s="41"/>
      <c r="H957" s="41"/>
      <c r="I957" s="41"/>
      <c r="J957" s="41"/>
      <c r="K957" s="41"/>
      <c r="L957" s="41"/>
      <c r="M957" s="41"/>
      <c r="N957" s="41"/>
      <c r="O957" s="41"/>
      <c r="P957" s="41"/>
      <c r="Q957" s="41"/>
      <c r="R957" s="41"/>
      <c r="S957" s="41"/>
      <c r="T957" s="41"/>
      <c r="U957" s="41"/>
      <c r="V957" s="41"/>
      <c r="W957" s="41"/>
      <c r="X957" s="41"/>
      <c r="Y957" s="41"/>
      <c r="Z957" s="41"/>
    </row>
    <row r="958" customFormat="false" ht="14.25" hidden="false" customHeight="true" outlineLevel="0" collapsed="false">
      <c r="A958" s="38"/>
      <c r="B958" s="38"/>
      <c r="C958" s="39"/>
      <c r="D958" s="40"/>
      <c r="E958" s="40"/>
      <c r="F958" s="41"/>
      <c r="G958" s="41"/>
      <c r="H958" s="41"/>
      <c r="I958" s="41"/>
      <c r="J958" s="41"/>
      <c r="K958" s="41"/>
      <c r="L958" s="41"/>
      <c r="M958" s="41"/>
      <c r="N958" s="41"/>
      <c r="O958" s="41"/>
      <c r="P958" s="41"/>
      <c r="Q958" s="41"/>
      <c r="R958" s="41"/>
      <c r="S958" s="41"/>
      <c r="T958" s="41"/>
      <c r="U958" s="41"/>
      <c r="V958" s="41"/>
      <c r="W958" s="41"/>
      <c r="X958" s="41"/>
      <c r="Y958" s="41"/>
      <c r="Z958" s="41"/>
    </row>
    <row r="959" customFormat="false" ht="14.25" hidden="false" customHeight="true" outlineLevel="0" collapsed="false">
      <c r="A959" s="38"/>
      <c r="B959" s="38"/>
      <c r="C959" s="39"/>
      <c r="D959" s="40"/>
      <c r="E959" s="40"/>
      <c r="F959" s="41"/>
      <c r="G959" s="41"/>
      <c r="H959" s="41"/>
      <c r="I959" s="41"/>
      <c r="J959" s="41"/>
      <c r="K959" s="41"/>
      <c r="L959" s="41"/>
      <c r="M959" s="41"/>
      <c r="N959" s="41"/>
      <c r="O959" s="41"/>
      <c r="P959" s="41"/>
      <c r="Q959" s="41"/>
      <c r="R959" s="41"/>
      <c r="S959" s="41"/>
      <c r="T959" s="41"/>
      <c r="U959" s="41"/>
      <c r="V959" s="41"/>
      <c r="W959" s="41"/>
      <c r="X959" s="41"/>
      <c r="Y959" s="41"/>
      <c r="Z959" s="41"/>
    </row>
    <row r="960" customFormat="false" ht="14.25" hidden="false" customHeight="true" outlineLevel="0" collapsed="false">
      <c r="A960" s="38"/>
      <c r="B960" s="38"/>
      <c r="C960" s="39"/>
      <c r="D960" s="40"/>
      <c r="E960" s="40"/>
      <c r="F960" s="41"/>
      <c r="G960" s="41"/>
      <c r="H960" s="41"/>
      <c r="I960" s="41"/>
      <c r="J960" s="41"/>
      <c r="K960" s="41"/>
      <c r="L960" s="41"/>
      <c r="M960" s="41"/>
      <c r="N960" s="41"/>
      <c r="O960" s="41"/>
      <c r="P960" s="41"/>
      <c r="Q960" s="41"/>
      <c r="R960" s="41"/>
      <c r="S960" s="41"/>
      <c r="T960" s="41"/>
      <c r="U960" s="41"/>
      <c r="V960" s="41"/>
      <c r="W960" s="41"/>
      <c r="X960" s="41"/>
      <c r="Y960" s="41"/>
      <c r="Z960" s="41"/>
    </row>
    <row r="961" customFormat="false" ht="14.25" hidden="false" customHeight="true" outlineLevel="0" collapsed="false">
      <c r="A961" s="38"/>
      <c r="B961" s="38"/>
      <c r="C961" s="39"/>
      <c r="D961" s="40"/>
      <c r="E961" s="40"/>
      <c r="F961" s="41"/>
      <c r="G961" s="41"/>
      <c r="H961" s="41"/>
      <c r="I961" s="41"/>
      <c r="J961" s="41"/>
      <c r="K961" s="41"/>
      <c r="L961" s="41"/>
      <c r="M961" s="41"/>
      <c r="N961" s="41"/>
      <c r="O961" s="41"/>
      <c r="P961" s="41"/>
      <c r="Q961" s="41"/>
      <c r="R961" s="41"/>
      <c r="S961" s="41"/>
      <c r="T961" s="41"/>
      <c r="U961" s="41"/>
      <c r="V961" s="41"/>
      <c r="W961" s="41"/>
      <c r="X961" s="41"/>
      <c r="Y961" s="41"/>
      <c r="Z961" s="41"/>
    </row>
    <row r="962" customFormat="false" ht="14.25" hidden="false" customHeight="true" outlineLevel="0" collapsed="false">
      <c r="A962" s="38"/>
      <c r="B962" s="38"/>
      <c r="C962" s="39"/>
      <c r="D962" s="40"/>
      <c r="E962" s="40"/>
      <c r="F962" s="41"/>
      <c r="G962" s="41"/>
      <c r="H962" s="41"/>
      <c r="I962" s="41"/>
      <c r="J962" s="41"/>
      <c r="K962" s="41"/>
      <c r="L962" s="41"/>
      <c r="M962" s="41"/>
      <c r="N962" s="41"/>
      <c r="O962" s="41"/>
      <c r="P962" s="41"/>
      <c r="Q962" s="41"/>
      <c r="R962" s="41"/>
      <c r="S962" s="41"/>
      <c r="T962" s="41"/>
      <c r="U962" s="41"/>
      <c r="V962" s="41"/>
      <c r="W962" s="41"/>
      <c r="X962" s="41"/>
      <c r="Y962" s="41"/>
      <c r="Z962" s="41"/>
    </row>
    <row r="963" customFormat="false" ht="14.25" hidden="false" customHeight="true" outlineLevel="0" collapsed="false">
      <c r="A963" s="38"/>
      <c r="B963" s="38"/>
      <c r="C963" s="39"/>
      <c r="D963" s="40"/>
      <c r="E963" s="40"/>
      <c r="F963" s="41"/>
      <c r="G963" s="41"/>
      <c r="H963" s="41"/>
      <c r="I963" s="41"/>
      <c r="J963" s="41"/>
      <c r="K963" s="41"/>
      <c r="L963" s="41"/>
      <c r="M963" s="41"/>
      <c r="N963" s="41"/>
      <c r="O963" s="41"/>
      <c r="P963" s="41"/>
      <c r="Q963" s="41"/>
      <c r="R963" s="41"/>
      <c r="S963" s="41"/>
      <c r="T963" s="41"/>
      <c r="U963" s="41"/>
      <c r="V963" s="41"/>
      <c r="W963" s="41"/>
      <c r="X963" s="41"/>
      <c r="Y963" s="41"/>
      <c r="Z963" s="41"/>
    </row>
    <row r="964" customFormat="false" ht="14.25" hidden="false" customHeight="true" outlineLevel="0" collapsed="false">
      <c r="A964" s="38"/>
      <c r="B964" s="38"/>
      <c r="C964" s="39"/>
      <c r="D964" s="40"/>
      <c r="E964" s="40"/>
      <c r="F964" s="41"/>
      <c r="G964" s="41"/>
      <c r="H964" s="41"/>
      <c r="I964" s="41"/>
      <c r="J964" s="41"/>
      <c r="K964" s="41"/>
      <c r="L964" s="41"/>
      <c r="M964" s="41"/>
      <c r="N964" s="41"/>
      <c r="O964" s="41"/>
      <c r="P964" s="41"/>
      <c r="Q964" s="41"/>
      <c r="R964" s="41"/>
      <c r="S964" s="41"/>
      <c r="T964" s="41"/>
      <c r="U964" s="41"/>
      <c r="V964" s="41"/>
      <c r="W964" s="41"/>
      <c r="X964" s="41"/>
      <c r="Y964" s="41"/>
      <c r="Z964" s="41"/>
    </row>
    <row r="965" customFormat="false" ht="14.25" hidden="false" customHeight="true" outlineLevel="0" collapsed="false">
      <c r="A965" s="38"/>
      <c r="B965" s="38"/>
      <c r="C965" s="39"/>
      <c r="D965" s="40"/>
      <c r="E965" s="40"/>
      <c r="F965" s="41"/>
      <c r="G965" s="41"/>
      <c r="H965" s="41"/>
      <c r="I965" s="41"/>
      <c r="J965" s="41"/>
      <c r="K965" s="41"/>
      <c r="L965" s="41"/>
      <c r="M965" s="41"/>
      <c r="N965" s="41"/>
      <c r="O965" s="41"/>
      <c r="P965" s="41"/>
      <c r="Q965" s="41"/>
      <c r="R965" s="41"/>
      <c r="S965" s="41"/>
      <c r="T965" s="41"/>
      <c r="U965" s="41"/>
      <c r="V965" s="41"/>
      <c r="W965" s="41"/>
      <c r="X965" s="41"/>
      <c r="Y965" s="41"/>
      <c r="Z965" s="41"/>
    </row>
    <row r="966" customFormat="false" ht="14.25" hidden="false" customHeight="true" outlineLevel="0" collapsed="false">
      <c r="A966" s="38"/>
      <c r="B966" s="38"/>
      <c r="C966" s="39"/>
      <c r="D966" s="40"/>
      <c r="E966" s="40"/>
      <c r="F966" s="41"/>
      <c r="G966" s="41"/>
      <c r="H966" s="41"/>
      <c r="I966" s="41"/>
      <c r="J966" s="41"/>
      <c r="K966" s="41"/>
      <c r="L966" s="41"/>
      <c r="M966" s="41"/>
      <c r="N966" s="41"/>
      <c r="O966" s="41"/>
      <c r="P966" s="41"/>
      <c r="Q966" s="41"/>
      <c r="R966" s="41"/>
      <c r="S966" s="41"/>
      <c r="T966" s="41"/>
      <c r="U966" s="41"/>
      <c r="V966" s="41"/>
      <c r="W966" s="41"/>
      <c r="X966" s="41"/>
      <c r="Y966" s="41"/>
      <c r="Z966" s="41"/>
    </row>
    <row r="967" customFormat="false" ht="14.25" hidden="false" customHeight="true" outlineLevel="0" collapsed="false">
      <c r="A967" s="38"/>
      <c r="B967" s="38"/>
      <c r="C967" s="39"/>
      <c r="D967" s="40"/>
      <c r="E967" s="40"/>
      <c r="F967" s="41"/>
      <c r="G967" s="41"/>
      <c r="H967" s="41"/>
      <c r="I967" s="41"/>
      <c r="J967" s="41"/>
      <c r="K967" s="41"/>
      <c r="L967" s="41"/>
      <c r="M967" s="41"/>
      <c r="N967" s="41"/>
      <c r="O967" s="41"/>
      <c r="P967" s="41"/>
      <c r="Q967" s="41"/>
      <c r="R967" s="41"/>
      <c r="S967" s="41"/>
      <c r="T967" s="41"/>
      <c r="U967" s="41"/>
      <c r="V967" s="41"/>
      <c r="W967" s="41"/>
      <c r="X967" s="41"/>
      <c r="Y967" s="41"/>
      <c r="Z967" s="41"/>
    </row>
    <row r="968" customFormat="false" ht="14.25" hidden="false" customHeight="true" outlineLevel="0" collapsed="false">
      <c r="A968" s="38"/>
      <c r="B968" s="38"/>
      <c r="C968" s="39"/>
      <c r="D968" s="40"/>
      <c r="E968" s="40"/>
      <c r="F968" s="41"/>
      <c r="G968" s="41"/>
      <c r="H968" s="41"/>
      <c r="I968" s="41"/>
      <c r="J968" s="41"/>
      <c r="K968" s="41"/>
      <c r="L968" s="41"/>
      <c r="M968" s="41"/>
      <c r="N968" s="41"/>
      <c r="O968" s="41"/>
      <c r="P968" s="41"/>
      <c r="Q968" s="41"/>
      <c r="R968" s="41"/>
      <c r="S968" s="41"/>
      <c r="T968" s="41"/>
      <c r="U968" s="41"/>
      <c r="V968" s="41"/>
      <c r="W968" s="41"/>
      <c r="X968" s="41"/>
      <c r="Y968" s="41"/>
      <c r="Z968" s="41"/>
    </row>
    <row r="969" customFormat="false" ht="14.25" hidden="false" customHeight="true" outlineLevel="0" collapsed="false">
      <c r="A969" s="38"/>
      <c r="B969" s="38"/>
      <c r="C969" s="39"/>
      <c r="D969" s="40"/>
      <c r="E969" s="40"/>
      <c r="F969" s="41"/>
      <c r="G969" s="41"/>
      <c r="H969" s="41"/>
      <c r="I969" s="41"/>
      <c r="J969" s="41"/>
      <c r="K969" s="41"/>
      <c r="L969" s="41"/>
      <c r="M969" s="41"/>
      <c r="N969" s="41"/>
      <c r="O969" s="41"/>
      <c r="P969" s="41"/>
      <c r="Q969" s="41"/>
      <c r="R969" s="41"/>
      <c r="S969" s="41"/>
      <c r="T969" s="41"/>
      <c r="U969" s="41"/>
      <c r="V969" s="41"/>
      <c r="W969" s="41"/>
      <c r="X969" s="41"/>
      <c r="Y969" s="41"/>
      <c r="Z969" s="41"/>
    </row>
    <row r="970" customFormat="false" ht="14.25" hidden="false" customHeight="true" outlineLevel="0" collapsed="false">
      <c r="A970" s="38"/>
      <c r="B970" s="38"/>
      <c r="C970" s="39"/>
      <c r="D970" s="40"/>
      <c r="E970" s="40"/>
      <c r="F970" s="41"/>
      <c r="G970" s="41"/>
      <c r="H970" s="41"/>
      <c r="I970" s="41"/>
      <c r="J970" s="41"/>
      <c r="K970" s="41"/>
      <c r="L970" s="41"/>
      <c r="M970" s="41"/>
      <c r="N970" s="41"/>
      <c r="O970" s="41"/>
      <c r="P970" s="41"/>
      <c r="Q970" s="41"/>
      <c r="R970" s="41"/>
      <c r="S970" s="41"/>
      <c r="T970" s="41"/>
      <c r="U970" s="41"/>
      <c r="V970" s="41"/>
      <c r="W970" s="41"/>
      <c r="X970" s="41"/>
      <c r="Y970" s="41"/>
      <c r="Z970" s="41"/>
    </row>
    <row r="971" customFormat="false" ht="14.25" hidden="false" customHeight="true" outlineLevel="0" collapsed="false">
      <c r="A971" s="38"/>
      <c r="B971" s="38"/>
      <c r="C971" s="39"/>
      <c r="D971" s="40"/>
      <c r="E971" s="40"/>
      <c r="F971" s="41"/>
      <c r="G971" s="41"/>
      <c r="H971" s="41"/>
      <c r="I971" s="41"/>
      <c r="J971" s="41"/>
      <c r="K971" s="41"/>
      <c r="L971" s="41"/>
      <c r="M971" s="41"/>
      <c r="N971" s="41"/>
      <c r="O971" s="41"/>
      <c r="P971" s="41"/>
      <c r="Q971" s="41"/>
      <c r="R971" s="41"/>
      <c r="S971" s="41"/>
      <c r="T971" s="41"/>
      <c r="U971" s="41"/>
      <c r="V971" s="41"/>
      <c r="W971" s="41"/>
      <c r="X971" s="41"/>
      <c r="Y971" s="41"/>
      <c r="Z971" s="41"/>
    </row>
    <row r="972" customFormat="false" ht="14.25" hidden="false" customHeight="true" outlineLevel="0" collapsed="false">
      <c r="A972" s="38"/>
      <c r="B972" s="38"/>
      <c r="C972" s="39"/>
      <c r="D972" s="40"/>
      <c r="E972" s="40"/>
      <c r="F972" s="41"/>
      <c r="G972" s="41"/>
      <c r="H972" s="41"/>
      <c r="I972" s="41"/>
      <c r="J972" s="41"/>
      <c r="K972" s="41"/>
      <c r="L972" s="41"/>
      <c r="M972" s="41"/>
      <c r="N972" s="41"/>
      <c r="O972" s="41"/>
      <c r="P972" s="41"/>
      <c r="Q972" s="41"/>
      <c r="R972" s="41"/>
      <c r="S972" s="41"/>
      <c r="T972" s="41"/>
      <c r="U972" s="41"/>
      <c r="V972" s="41"/>
      <c r="W972" s="41"/>
      <c r="X972" s="41"/>
      <c r="Y972" s="41"/>
      <c r="Z972" s="41"/>
    </row>
    <row r="973" customFormat="false" ht="14.25" hidden="false" customHeight="true" outlineLevel="0" collapsed="false">
      <c r="A973" s="38"/>
      <c r="B973" s="38"/>
      <c r="C973" s="39"/>
      <c r="D973" s="40"/>
      <c r="E973" s="40"/>
      <c r="F973" s="41"/>
      <c r="G973" s="41"/>
      <c r="H973" s="41"/>
      <c r="I973" s="41"/>
      <c r="J973" s="41"/>
      <c r="K973" s="41"/>
      <c r="L973" s="41"/>
      <c r="M973" s="41"/>
      <c r="N973" s="41"/>
      <c r="O973" s="41"/>
      <c r="P973" s="41"/>
      <c r="Q973" s="41"/>
      <c r="R973" s="41"/>
      <c r="S973" s="41"/>
      <c r="T973" s="41"/>
      <c r="U973" s="41"/>
      <c r="V973" s="41"/>
      <c r="W973" s="41"/>
      <c r="X973" s="41"/>
      <c r="Y973" s="41"/>
      <c r="Z973" s="41"/>
    </row>
    <row r="974" customFormat="false" ht="14.25" hidden="false" customHeight="true" outlineLevel="0" collapsed="false">
      <c r="A974" s="38"/>
      <c r="B974" s="38"/>
      <c r="C974" s="39"/>
      <c r="D974" s="40"/>
      <c r="E974" s="40"/>
      <c r="F974" s="41"/>
      <c r="G974" s="41"/>
      <c r="H974" s="41"/>
      <c r="I974" s="41"/>
      <c r="J974" s="41"/>
      <c r="K974" s="41"/>
      <c r="L974" s="41"/>
      <c r="M974" s="41"/>
      <c r="N974" s="41"/>
      <c r="O974" s="41"/>
      <c r="P974" s="41"/>
      <c r="Q974" s="41"/>
      <c r="R974" s="41"/>
      <c r="S974" s="41"/>
      <c r="T974" s="41"/>
      <c r="U974" s="41"/>
      <c r="V974" s="41"/>
      <c r="W974" s="41"/>
      <c r="X974" s="41"/>
      <c r="Y974" s="41"/>
      <c r="Z974" s="41"/>
    </row>
    <row r="975" customFormat="false" ht="14.25" hidden="false" customHeight="true" outlineLevel="0" collapsed="false">
      <c r="A975" s="38"/>
      <c r="B975" s="38"/>
      <c r="C975" s="39"/>
      <c r="D975" s="40"/>
      <c r="E975" s="40"/>
      <c r="F975" s="41"/>
      <c r="G975" s="41"/>
      <c r="H975" s="41"/>
      <c r="I975" s="41"/>
      <c r="J975" s="41"/>
      <c r="K975" s="41"/>
      <c r="L975" s="41"/>
      <c r="M975" s="41"/>
      <c r="N975" s="41"/>
      <c r="O975" s="41"/>
      <c r="P975" s="41"/>
      <c r="Q975" s="41"/>
      <c r="R975" s="41"/>
      <c r="S975" s="41"/>
      <c r="T975" s="41"/>
      <c r="U975" s="41"/>
      <c r="V975" s="41"/>
      <c r="W975" s="41"/>
      <c r="X975" s="41"/>
      <c r="Y975" s="41"/>
      <c r="Z975" s="41"/>
    </row>
    <row r="976" customFormat="false" ht="14.25" hidden="false" customHeight="true" outlineLevel="0" collapsed="false">
      <c r="A976" s="38"/>
      <c r="B976" s="38"/>
      <c r="C976" s="39"/>
      <c r="D976" s="40"/>
      <c r="E976" s="40"/>
      <c r="F976" s="41"/>
      <c r="G976" s="41"/>
      <c r="H976" s="41"/>
      <c r="I976" s="41"/>
      <c r="J976" s="41"/>
      <c r="K976" s="41"/>
      <c r="L976" s="41"/>
      <c r="M976" s="41"/>
      <c r="N976" s="41"/>
      <c r="O976" s="41"/>
      <c r="P976" s="41"/>
      <c r="Q976" s="41"/>
      <c r="R976" s="41"/>
      <c r="S976" s="41"/>
      <c r="T976" s="41"/>
      <c r="U976" s="41"/>
      <c r="V976" s="41"/>
      <c r="W976" s="41"/>
      <c r="X976" s="41"/>
      <c r="Y976" s="41"/>
      <c r="Z976" s="41"/>
    </row>
    <row r="977" customFormat="false" ht="14.25" hidden="false" customHeight="true" outlineLevel="0" collapsed="false">
      <c r="A977" s="38"/>
      <c r="B977" s="38"/>
      <c r="C977" s="39"/>
      <c r="D977" s="40"/>
      <c r="E977" s="40"/>
      <c r="F977" s="41"/>
      <c r="G977" s="41"/>
      <c r="H977" s="41"/>
      <c r="I977" s="41"/>
      <c r="J977" s="41"/>
      <c r="K977" s="41"/>
      <c r="L977" s="41"/>
      <c r="M977" s="41"/>
      <c r="N977" s="41"/>
      <c r="O977" s="41"/>
      <c r="P977" s="41"/>
      <c r="Q977" s="41"/>
      <c r="R977" s="41"/>
      <c r="S977" s="41"/>
      <c r="T977" s="41"/>
      <c r="U977" s="41"/>
      <c r="V977" s="41"/>
      <c r="W977" s="41"/>
      <c r="X977" s="41"/>
      <c r="Y977" s="41"/>
      <c r="Z977" s="41"/>
    </row>
    <row r="978" customFormat="false" ht="14.25" hidden="false" customHeight="true" outlineLevel="0" collapsed="false">
      <c r="A978" s="38"/>
      <c r="B978" s="38"/>
      <c r="C978" s="39"/>
      <c r="D978" s="40"/>
      <c r="E978" s="40"/>
      <c r="F978" s="41"/>
      <c r="G978" s="41"/>
      <c r="H978" s="41"/>
      <c r="I978" s="41"/>
      <c r="J978" s="41"/>
      <c r="K978" s="41"/>
      <c r="L978" s="41"/>
      <c r="M978" s="41"/>
      <c r="N978" s="41"/>
      <c r="O978" s="41"/>
      <c r="P978" s="41"/>
      <c r="Q978" s="41"/>
      <c r="R978" s="41"/>
      <c r="S978" s="41"/>
      <c r="T978" s="41"/>
      <c r="U978" s="41"/>
      <c r="V978" s="41"/>
      <c r="W978" s="41"/>
      <c r="X978" s="41"/>
      <c r="Y978" s="41"/>
      <c r="Z978" s="41"/>
    </row>
    <row r="979" customFormat="false" ht="14.25" hidden="false" customHeight="true" outlineLevel="0" collapsed="false">
      <c r="A979" s="38"/>
      <c r="B979" s="38"/>
      <c r="C979" s="39"/>
      <c r="D979" s="40"/>
      <c r="E979" s="40"/>
      <c r="F979" s="41"/>
      <c r="G979" s="41"/>
      <c r="H979" s="41"/>
      <c r="I979" s="41"/>
      <c r="J979" s="41"/>
      <c r="K979" s="41"/>
      <c r="L979" s="41"/>
      <c r="M979" s="41"/>
      <c r="N979" s="41"/>
      <c r="O979" s="41"/>
      <c r="P979" s="41"/>
      <c r="Q979" s="41"/>
      <c r="R979" s="41"/>
      <c r="S979" s="41"/>
      <c r="T979" s="41"/>
      <c r="U979" s="41"/>
      <c r="V979" s="41"/>
      <c r="W979" s="41"/>
      <c r="X979" s="41"/>
      <c r="Y979" s="41"/>
      <c r="Z979" s="41"/>
    </row>
    <row r="980" customFormat="false" ht="14.25" hidden="false" customHeight="true" outlineLevel="0" collapsed="false">
      <c r="A980" s="38"/>
      <c r="B980" s="38"/>
      <c r="C980" s="39"/>
      <c r="D980" s="40"/>
      <c r="E980" s="40"/>
      <c r="F980" s="41"/>
      <c r="G980" s="41"/>
      <c r="H980" s="41"/>
      <c r="I980" s="41"/>
      <c r="J980" s="41"/>
      <c r="K980" s="41"/>
      <c r="L980" s="41"/>
      <c r="M980" s="41"/>
      <c r="N980" s="41"/>
      <c r="O980" s="41"/>
      <c r="P980" s="41"/>
      <c r="Q980" s="41"/>
      <c r="R980" s="41"/>
      <c r="S980" s="41"/>
      <c r="T980" s="41"/>
      <c r="U980" s="41"/>
      <c r="V980" s="41"/>
      <c r="W980" s="41"/>
      <c r="X980" s="41"/>
      <c r="Y980" s="41"/>
      <c r="Z980" s="41"/>
    </row>
    <row r="981" customFormat="false" ht="14.25" hidden="false" customHeight="true" outlineLevel="0" collapsed="false">
      <c r="A981" s="38"/>
      <c r="B981" s="38"/>
      <c r="C981" s="39"/>
      <c r="D981" s="40"/>
      <c r="E981" s="40"/>
      <c r="F981" s="41"/>
      <c r="G981" s="41"/>
      <c r="H981" s="41"/>
      <c r="I981" s="41"/>
      <c r="J981" s="41"/>
      <c r="K981" s="41"/>
      <c r="L981" s="41"/>
      <c r="M981" s="41"/>
      <c r="N981" s="41"/>
      <c r="O981" s="41"/>
      <c r="P981" s="41"/>
      <c r="Q981" s="41"/>
      <c r="R981" s="41"/>
      <c r="S981" s="41"/>
      <c r="T981" s="41"/>
      <c r="U981" s="41"/>
      <c r="V981" s="41"/>
      <c r="W981" s="41"/>
      <c r="X981" s="41"/>
      <c r="Y981" s="41"/>
      <c r="Z981" s="41"/>
    </row>
    <row r="982" customFormat="false" ht="14.25" hidden="false" customHeight="true" outlineLevel="0" collapsed="false">
      <c r="A982" s="38"/>
      <c r="B982" s="38"/>
      <c r="C982" s="39"/>
      <c r="D982" s="40"/>
      <c r="E982" s="40"/>
      <c r="F982" s="41"/>
      <c r="G982" s="41"/>
      <c r="H982" s="41"/>
      <c r="I982" s="41"/>
      <c r="J982" s="41"/>
      <c r="K982" s="41"/>
      <c r="L982" s="41"/>
      <c r="M982" s="41"/>
      <c r="N982" s="41"/>
      <c r="O982" s="41"/>
      <c r="P982" s="41"/>
      <c r="Q982" s="41"/>
      <c r="R982" s="41"/>
      <c r="S982" s="41"/>
      <c r="T982" s="41"/>
      <c r="U982" s="41"/>
      <c r="V982" s="41"/>
      <c r="W982" s="41"/>
      <c r="X982" s="41"/>
      <c r="Y982" s="41"/>
      <c r="Z982" s="41"/>
    </row>
    <row r="983" customFormat="false" ht="14.25" hidden="false" customHeight="true" outlineLevel="0" collapsed="false">
      <c r="A983" s="38"/>
      <c r="B983" s="38"/>
      <c r="C983" s="39"/>
      <c r="D983" s="40"/>
      <c r="E983" s="40"/>
      <c r="F983" s="41"/>
      <c r="G983" s="41"/>
      <c r="H983" s="41"/>
      <c r="I983" s="41"/>
      <c r="J983" s="41"/>
      <c r="K983" s="41"/>
      <c r="L983" s="41"/>
      <c r="M983" s="41"/>
      <c r="N983" s="41"/>
      <c r="O983" s="41"/>
      <c r="P983" s="41"/>
      <c r="Q983" s="41"/>
      <c r="R983" s="41"/>
      <c r="S983" s="41"/>
      <c r="T983" s="41"/>
      <c r="U983" s="41"/>
      <c r="V983" s="41"/>
      <c r="W983" s="41"/>
      <c r="X983" s="41"/>
      <c r="Y983" s="41"/>
      <c r="Z983" s="41"/>
    </row>
    <row r="984" customFormat="false" ht="14.25" hidden="false" customHeight="true" outlineLevel="0" collapsed="false">
      <c r="A984" s="38"/>
      <c r="B984" s="38"/>
      <c r="C984" s="39"/>
      <c r="D984" s="40"/>
      <c r="E984" s="40"/>
      <c r="F984" s="41"/>
      <c r="G984" s="41"/>
      <c r="H984" s="41"/>
      <c r="I984" s="41"/>
      <c r="J984" s="41"/>
      <c r="K984" s="41"/>
      <c r="L984" s="41"/>
      <c r="M984" s="41"/>
      <c r="N984" s="41"/>
      <c r="O984" s="41"/>
      <c r="P984" s="41"/>
      <c r="Q984" s="41"/>
      <c r="R984" s="41"/>
      <c r="S984" s="41"/>
      <c r="T984" s="41"/>
      <c r="U984" s="41"/>
      <c r="V984" s="41"/>
      <c r="W984" s="41"/>
      <c r="X984" s="41"/>
      <c r="Y984" s="41"/>
      <c r="Z984" s="41"/>
    </row>
    <row r="985" customFormat="false" ht="14.25" hidden="false" customHeight="true" outlineLevel="0" collapsed="false">
      <c r="A985" s="38"/>
      <c r="B985" s="38"/>
      <c r="C985" s="39"/>
      <c r="D985" s="40"/>
      <c r="E985" s="40"/>
      <c r="F985" s="41"/>
      <c r="G985" s="41"/>
      <c r="H985" s="41"/>
      <c r="I985" s="41"/>
      <c r="J985" s="41"/>
      <c r="K985" s="41"/>
      <c r="L985" s="41"/>
      <c r="M985" s="41"/>
      <c r="N985" s="41"/>
      <c r="O985" s="41"/>
      <c r="P985" s="41"/>
      <c r="Q985" s="41"/>
      <c r="R985" s="41"/>
      <c r="S985" s="41"/>
      <c r="T985" s="41"/>
      <c r="U985" s="41"/>
      <c r="V985" s="41"/>
      <c r="W985" s="41"/>
      <c r="X985" s="41"/>
      <c r="Y985" s="41"/>
      <c r="Z985" s="41"/>
    </row>
    <row r="986" customFormat="false" ht="14.25" hidden="false" customHeight="true" outlineLevel="0" collapsed="false">
      <c r="A986" s="38"/>
      <c r="B986" s="38"/>
      <c r="C986" s="39"/>
      <c r="D986" s="40"/>
      <c r="E986" s="40"/>
      <c r="F986" s="41"/>
      <c r="G986" s="41"/>
      <c r="H986" s="41"/>
      <c r="I986" s="41"/>
      <c r="J986" s="41"/>
      <c r="K986" s="41"/>
      <c r="L986" s="41"/>
      <c r="M986" s="41"/>
      <c r="N986" s="41"/>
      <c r="O986" s="41"/>
      <c r="P986" s="41"/>
      <c r="Q986" s="41"/>
      <c r="R986" s="41"/>
      <c r="S986" s="41"/>
      <c r="T986" s="41"/>
      <c r="U986" s="41"/>
      <c r="V986" s="41"/>
      <c r="W986" s="41"/>
      <c r="X986" s="41"/>
      <c r="Y986" s="41"/>
      <c r="Z986" s="41"/>
    </row>
    <row r="987" customFormat="false" ht="14.25" hidden="false" customHeight="true" outlineLevel="0" collapsed="false">
      <c r="A987" s="38"/>
      <c r="B987" s="38"/>
      <c r="C987" s="39"/>
      <c r="D987" s="40"/>
      <c r="E987" s="40"/>
      <c r="F987" s="41"/>
      <c r="G987" s="41"/>
      <c r="H987" s="41"/>
      <c r="I987" s="41"/>
      <c r="J987" s="41"/>
      <c r="K987" s="41"/>
      <c r="L987" s="41"/>
      <c r="M987" s="41"/>
      <c r="N987" s="41"/>
      <c r="O987" s="41"/>
      <c r="P987" s="41"/>
      <c r="Q987" s="41"/>
      <c r="R987" s="41"/>
      <c r="S987" s="41"/>
      <c r="T987" s="41"/>
      <c r="U987" s="41"/>
      <c r="V987" s="41"/>
      <c r="W987" s="41"/>
      <c r="X987" s="41"/>
      <c r="Y987" s="41"/>
      <c r="Z987" s="41"/>
    </row>
    <row r="988" customFormat="false" ht="14.25" hidden="false" customHeight="true" outlineLevel="0" collapsed="false">
      <c r="A988" s="38"/>
      <c r="B988" s="38"/>
      <c r="C988" s="39"/>
      <c r="D988" s="40"/>
      <c r="E988" s="40"/>
      <c r="F988" s="41"/>
      <c r="G988" s="41"/>
      <c r="H988" s="41"/>
      <c r="I988" s="41"/>
      <c r="J988" s="41"/>
      <c r="K988" s="41"/>
      <c r="L988" s="41"/>
      <c r="M988" s="41"/>
      <c r="N988" s="41"/>
      <c r="O988" s="41"/>
      <c r="P988" s="41"/>
      <c r="Q988" s="41"/>
      <c r="R988" s="41"/>
      <c r="S988" s="41"/>
      <c r="T988" s="41"/>
      <c r="U988" s="41"/>
      <c r="V988" s="41"/>
      <c r="W988" s="41"/>
      <c r="X988" s="41"/>
      <c r="Y988" s="41"/>
      <c r="Z988" s="41"/>
    </row>
    <row r="989" customFormat="false" ht="14.25" hidden="false" customHeight="true" outlineLevel="0" collapsed="false">
      <c r="A989" s="38"/>
      <c r="B989" s="38"/>
      <c r="C989" s="39"/>
      <c r="D989" s="40"/>
      <c r="E989" s="40"/>
      <c r="F989" s="41"/>
      <c r="G989" s="41"/>
      <c r="H989" s="41"/>
      <c r="I989" s="41"/>
      <c r="J989" s="41"/>
      <c r="K989" s="41"/>
      <c r="L989" s="41"/>
      <c r="M989" s="41"/>
      <c r="N989" s="41"/>
      <c r="O989" s="41"/>
      <c r="P989" s="41"/>
      <c r="Q989" s="41"/>
      <c r="R989" s="41"/>
      <c r="S989" s="41"/>
      <c r="T989" s="41"/>
      <c r="U989" s="41"/>
      <c r="V989" s="41"/>
      <c r="W989" s="41"/>
      <c r="X989" s="41"/>
      <c r="Y989" s="41"/>
      <c r="Z989" s="41"/>
    </row>
    <row r="990" customFormat="false" ht="14.25" hidden="false" customHeight="true" outlineLevel="0" collapsed="false">
      <c r="A990" s="38"/>
      <c r="B990" s="38"/>
      <c r="C990" s="39"/>
      <c r="D990" s="40"/>
      <c r="E990" s="40"/>
      <c r="F990" s="41"/>
      <c r="G990" s="41"/>
      <c r="H990" s="41"/>
      <c r="I990" s="41"/>
      <c r="J990" s="41"/>
      <c r="K990" s="41"/>
      <c r="L990" s="41"/>
      <c r="M990" s="41"/>
      <c r="N990" s="41"/>
      <c r="O990" s="41"/>
      <c r="P990" s="41"/>
      <c r="Q990" s="41"/>
      <c r="R990" s="41"/>
      <c r="S990" s="41"/>
      <c r="T990" s="41"/>
      <c r="U990" s="41"/>
      <c r="V990" s="41"/>
      <c r="W990" s="41"/>
      <c r="X990" s="41"/>
      <c r="Y990" s="41"/>
      <c r="Z990" s="41"/>
    </row>
    <row r="991" customFormat="false" ht="14.25" hidden="false" customHeight="true" outlineLevel="0" collapsed="false">
      <c r="A991" s="38"/>
      <c r="B991" s="38"/>
      <c r="C991" s="39"/>
      <c r="D991" s="40"/>
      <c r="E991" s="40"/>
      <c r="F991" s="41"/>
      <c r="G991" s="41"/>
      <c r="H991" s="41"/>
      <c r="I991" s="41"/>
      <c r="J991" s="41"/>
      <c r="K991" s="41"/>
      <c r="L991" s="41"/>
      <c r="M991" s="41"/>
      <c r="N991" s="41"/>
      <c r="O991" s="41"/>
      <c r="P991" s="41"/>
      <c r="Q991" s="41"/>
      <c r="R991" s="41"/>
      <c r="S991" s="41"/>
      <c r="T991" s="41"/>
      <c r="U991" s="41"/>
      <c r="V991" s="41"/>
      <c r="W991" s="41"/>
      <c r="X991" s="41"/>
      <c r="Y991" s="41"/>
      <c r="Z991" s="41"/>
    </row>
    <row r="992" customFormat="false" ht="14.25" hidden="false" customHeight="true" outlineLevel="0" collapsed="false">
      <c r="A992" s="38"/>
      <c r="B992" s="38"/>
      <c r="C992" s="39"/>
      <c r="D992" s="40"/>
      <c r="E992" s="40"/>
      <c r="F992" s="41"/>
      <c r="G992" s="41"/>
      <c r="H992" s="41"/>
      <c r="I992" s="41"/>
      <c r="J992" s="41"/>
      <c r="K992" s="41"/>
      <c r="L992" s="41"/>
      <c r="M992" s="41"/>
      <c r="N992" s="41"/>
      <c r="O992" s="41"/>
      <c r="P992" s="41"/>
      <c r="Q992" s="41"/>
      <c r="R992" s="41"/>
      <c r="S992" s="41"/>
      <c r="T992" s="41"/>
      <c r="U992" s="41"/>
      <c r="V992" s="41"/>
      <c r="W992" s="41"/>
      <c r="X992" s="41"/>
      <c r="Y992" s="41"/>
      <c r="Z992" s="41"/>
    </row>
    <row r="993" customFormat="false" ht="14.25" hidden="false" customHeight="true" outlineLevel="0" collapsed="false">
      <c r="A993" s="38"/>
      <c r="B993" s="38"/>
      <c r="C993" s="39"/>
      <c r="D993" s="40"/>
      <c r="E993" s="40"/>
      <c r="F993" s="41"/>
      <c r="G993" s="41"/>
      <c r="H993" s="41"/>
      <c r="I993" s="41"/>
      <c r="J993" s="41"/>
      <c r="K993" s="41"/>
      <c r="L993" s="41"/>
      <c r="M993" s="41"/>
      <c r="N993" s="41"/>
      <c r="O993" s="41"/>
      <c r="P993" s="41"/>
      <c r="Q993" s="41"/>
      <c r="R993" s="41"/>
      <c r="S993" s="41"/>
      <c r="T993" s="41"/>
      <c r="U993" s="41"/>
      <c r="V993" s="41"/>
      <c r="W993" s="41"/>
      <c r="X993" s="41"/>
      <c r="Y993" s="41"/>
      <c r="Z993" s="41"/>
    </row>
    <row r="994" customFormat="false" ht="14.25" hidden="false" customHeight="true" outlineLevel="0" collapsed="false">
      <c r="A994" s="38"/>
      <c r="B994" s="38"/>
      <c r="C994" s="39"/>
      <c r="D994" s="40"/>
      <c r="E994" s="40"/>
      <c r="F994" s="41"/>
      <c r="G994" s="41"/>
      <c r="H994" s="41"/>
      <c r="I994" s="41"/>
      <c r="J994" s="41"/>
      <c r="K994" s="41"/>
      <c r="L994" s="41"/>
      <c r="M994" s="41"/>
      <c r="N994" s="41"/>
      <c r="O994" s="41"/>
      <c r="P994" s="41"/>
      <c r="Q994" s="41"/>
      <c r="R994" s="41"/>
      <c r="S994" s="41"/>
      <c r="T994" s="41"/>
      <c r="U994" s="41"/>
      <c r="V994" s="41"/>
      <c r="W994" s="41"/>
      <c r="X994" s="41"/>
      <c r="Y994" s="41"/>
      <c r="Z994" s="41"/>
    </row>
    <row r="995" customFormat="false" ht="14.25" hidden="false" customHeight="true" outlineLevel="0" collapsed="false">
      <c r="A995" s="38"/>
      <c r="B995" s="38"/>
      <c r="C995" s="39"/>
      <c r="D995" s="40"/>
      <c r="E995" s="40"/>
      <c r="F995" s="41"/>
      <c r="G995" s="41"/>
      <c r="H995" s="41"/>
      <c r="I995" s="41"/>
      <c r="J995" s="41"/>
      <c r="K995" s="41"/>
      <c r="L995" s="41"/>
      <c r="M995" s="41"/>
      <c r="N995" s="41"/>
      <c r="O995" s="41"/>
      <c r="P995" s="41"/>
      <c r="Q995" s="41"/>
      <c r="R995" s="41"/>
      <c r="S995" s="41"/>
      <c r="T995" s="41"/>
      <c r="U995" s="41"/>
      <c r="V995" s="41"/>
      <c r="W995" s="41"/>
      <c r="X995" s="41"/>
      <c r="Y995" s="41"/>
      <c r="Z995" s="41"/>
    </row>
    <row r="996" customFormat="false" ht="14.25" hidden="false" customHeight="true" outlineLevel="0" collapsed="false">
      <c r="A996" s="38"/>
      <c r="B996" s="38"/>
      <c r="C996" s="39"/>
      <c r="D996" s="40"/>
      <c r="E996" s="40"/>
      <c r="F996" s="41"/>
      <c r="G996" s="41"/>
      <c r="H996" s="41"/>
      <c r="I996" s="41"/>
      <c r="J996" s="41"/>
      <c r="K996" s="41"/>
      <c r="L996" s="41"/>
      <c r="M996" s="41"/>
      <c r="N996" s="41"/>
      <c r="O996" s="41"/>
      <c r="P996" s="41"/>
      <c r="Q996" s="41"/>
      <c r="R996" s="41"/>
      <c r="S996" s="41"/>
      <c r="T996" s="41"/>
      <c r="U996" s="41"/>
      <c r="V996" s="41"/>
      <c r="W996" s="41"/>
      <c r="X996" s="41"/>
      <c r="Y996" s="41"/>
      <c r="Z996" s="41"/>
    </row>
    <row r="997" customFormat="false" ht="14.25" hidden="false" customHeight="true" outlineLevel="0" collapsed="false">
      <c r="A997" s="38"/>
      <c r="B997" s="38"/>
      <c r="C997" s="39"/>
      <c r="D997" s="40"/>
      <c r="E997" s="40"/>
      <c r="F997" s="41"/>
      <c r="G997" s="41"/>
      <c r="H997" s="41"/>
      <c r="I997" s="41"/>
      <c r="J997" s="41"/>
      <c r="K997" s="41"/>
      <c r="L997" s="41"/>
      <c r="M997" s="41"/>
      <c r="N997" s="41"/>
      <c r="O997" s="41"/>
      <c r="P997" s="41"/>
      <c r="Q997" s="41"/>
      <c r="R997" s="41"/>
      <c r="S997" s="41"/>
      <c r="T997" s="41"/>
      <c r="U997" s="41"/>
      <c r="V997" s="41"/>
      <c r="W997" s="41"/>
      <c r="X997" s="41"/>
      <c r="Y997" s="41"/>
      <c r="Z997" s="41"/>
    </row>
    <row r="998" customFormat="false" ht="14.25" hidden="false" customHeight="true" outlineLevel="0" collapsed="false">
      <c r="A998" s="38"/>
      <c r="B998" s="38"/>
      <c r="C998" s="39"/>
      <c r="D998" s="40"/>
      <c r="E998" s="40"/>
      <c r="F998" s="41"/>
      <c r="G998" s="41"/>
      <c r="H998" s="41"/>
      <c r="I998" s="41"/>
      <c r="J998" s="41"/>
      <c r="K998" s="41"/>
      <c r="L998" s="41"/>
      <c r="M998" s="41"/>
      <c r="N998" s="41"/>
      <c r="O998" s="41"/>
      <c r="P998" s="41"/>
      <c r="Q998" s="41"/>
      <c r="R998" s="41"/>
      <c r="S998" s="41"/>
      <c r="T998" s="41"/>
      <c r="U998" s="41"/>
      <c r="V998" s="41"/>
      <c r="W998" s="41"/>
      <c r="X998" s="41"/>
      <c r="Y998" s="41"/>
      <c r="Z998" s="41"/>
    </row>
    <row r="999" customFormat="false" ht="14.25" hidden="false" customHeight="true" outlineLevel="0" collapsed="false">
      <c r="A999" s="38"/>
      <c r="B999" s="38"/>
      <c r="C999" s="39"/>
      <c r="D999" s="40"/>
      <c r="E999" s="40"/>
      <c r="F999" s="41"/>
      <c r="G999" s="41"/>
      <c r="H999" s="41"/>
      <c r="I999" s="41"/>
      <c r="J999" s="41"/>
      <c r="K999" s="41"/>
      <c r="L999" s="41"/>
      <c r="M999" s="41"/>
      <c r="N999" s="41"/>
      <c r="O999" s="41"/>
      <c r="P999" s="41"/>
      <c r="Q999" s="41"/>
      <c r="R999" s="41"/>
      <c r="S999" s="41"/>
      <c r="T999" s="41"/>
      <c r="U999" s="41"/>
      <c r="V999" s="41"/>
      <c r="W999" s="41"/>
      <c r="X999" s="41"/>
      <c r="Y999" s="41"/>
      <c r="Z999" s="41"/>
    </row>
    <row r="1000" customFormat="false" ht="14.25" hidden="false" customHeight="true" outlineLevel="0" collapsed="false">
      <c r="A1000" s="38"/>
      <c r="B1000" s="38"/>
      <c r="C1000" s="39"/>
      <c r="D1000" s="40"/>
      <c r="E1000" s="40"/>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autoFilter ref="A4:E72">
    <filterColumn colId="0">
      <filters>
        <filter val="Gestión de activos (GA)"/>
      </filters>
    </filterColumn>
  </autoFilter>
  <dataValidations count="1">
    <dataValidation allowBlank="true" errorStyle="stop" operator="between" showDropDown="false" showErrorMessage="true" showInputMessage="false" sqref="C5:C72" type="list">
      <formula1>"Cumple,No cumple,No aplica"</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true" showOutlineSymbols="true" defaultGridColor="true" view="normal" topLeftCell="A3" colorId="64" zoomScale="100" zoomScaleNormal="100" zoomScalePageLayoutView="100" workbookViewId="0">
      <selection pane="topLeft" activeCell="D5" activeCellId="0" sqref="D5"/>
    </sheetView>
  </sheetViews>
  <sheetFormatPr defaultColWidth="12.6328125" defaultRowHeight="15" zeroHeight="false" outlineLevelRow="0" outlineLevelCol="0"/>
  <cols>
    <col collapsed="false" customWidth="true" hidden="false" outlineLevel="0" max="1" min="1" style="0" width="11.38"/>
    <col collapsed="false" customWidth="true" hidden="false" outlineLevel="0" max="2" min="2" style="0" width="37.38"/>
    <col collapsed="false" customWidth="true" hidden="false" outlineLevel="0" max="3" min="3" style="0" width="75.13"/>
    <col collapsed="false" customWidth="true" hidden="false" outlineLevel="0" max="5" min="4" style="0" width="14"/>
    <col collapsed="false" customWidth="true" hidden="false" outlineLevel="0" max="26" min="6" style="0" width="11.38"/>
  </cols>
  <sheetData>
    <row r="1" customFormat="false" ht="12.75" hidden="false" customHeight="true" outlineLevel="0" collapsed="false">
      <c r="A1" s="18"/>
      <c r="B1" s="51"/>
      <c r="C1" s="51"/>
      <c r="D1" s="51"/>
      <c r="E1" s="18"/>
      <c r="F1" s="1"/>
      <c r="G1" s="1"/>
      <c r="H1" s="1"/>
      <c r="I1" s="1"/>
      <c r="J1" s="1"/>
      <c r="K1" s="1"/>
      <c r="L1" s="1"/>
      <c r="M1" s="1"/>
      <c r="N1" s="1"/>
      <c r="O1" s="1"/>
      <c r="P1" s="1"/>
      <c r="Q1" s="1"/>
      <c r="R1" s="1"/>
      <c r="S1" s="1"/>
      <c r="T1" s="1"/>
      <c r="U1" s="1"/>
      <c r="V1" s="1"/>
      <c r="W1" s="1"/>
      <c r="X1" s="1"/>
      <c r="Y1" s="1"/>
      <c r="Z1" s="1"/>
    </row>
    <row r="2" customFormat="false" ht="25.5" hidden="false" customHeight="true" outlineLevel="0" collapsed="false">
      <c r="A2" s="52" t="s">
        <v>277</v>
      </c>
      <c r="B2" s="52" t="s">
        <v>8</v>
      </c>
      <c r="C2" s="52" t="s">
        <v>278</v>
      </c>
      <c r="D2" s="52" t="s">
        <v>279</v>
      </c>
      <c r="E2" s="52" t="s">
        <v>280</v>
      </c>
      <c r="F2" s="1"/>
      <c r="G2" s="1"/>
      <c r="H2" s="1"/>
      <c r="I2" s="1"/>
      <c r="J2" s="1"/>
      <c r="K2" s="1"/>
      <c r="L2" s="1"/>
      <c r="M2" s="1"/>
      <c r="N2" s="1"/>
      <c r="O2" s="1"/>
      <c r="P2" s="1"/>
      <c r="Q2" s="1"/>
      <c r="R2" s="1"/>
      <c r="S2" s="1"/>
      <c r="T2" s="1"/>
      <c r="U2" s="1"/>
      <c r="V2" s="1"/>
      <c r="W2" s="1"/>
      <c r="X2" s="1"/>
      <c r="Y2" s="1"/>
      <c r="Z2" s="1"/>
    </row>
    <row r="3" customFormat="false" ht="14.25" hidden="false" customHeight="true" outlineLevel="0" collapsed="false">
      <c r="A3" s="52"/>
      <c r="B3" s="52"/>
      <c r="C3" s="52"/>
      <c r="D3" s="52"/>
      <c r="E3" s="52"/>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52"/>
      <c r="B4" s="52"/>
      <c r="C4" s="52"/>
      <c r="D4" s="52" t="s">
        <v>281</v>
      </c>
      <c r="E4" s="52"/>
      <c r="F4" s="1"/>
      <c r="G4" s="1"/>
      <c r="H4" s="1"/>
      <c r="I4" s="1"/>
      <c r="J4" s="1"/>
      <c r="K4" s="1"/>
      <c r="L4" s="1"/>
      <c r="M4" s="1"/>
      <c r="N4" s="1"/>
      <c r="O4" s="1"/>
      <c r="P4" s="1"/>
      <c r="Q4" s="1"/>
      <c r="R4" s="1"/>
      <c r="S4" s="1"/>
      <c r="T4" s="1"/>
      <c r="U4" s="1"/>
      <c r="V4" s="1"/>
      <c r="W4" s="1"/>
      <c r="X4" s="1"/>
      <c r="Y4" s="1"/>
      <c r="Z4" s="1"/>
    </row>
    <row r="5" customFormat="false" ht="39.75" hidden="false" customHeight="true" outlineLevel="0" collapsed="false">
      <c r="A5" s="53" t="s">
        <v>3</v>
      </c>
      <c r="B5" s="54" t="s">
        <v>282</v>
      </c>
      <c r="C5" s="55" t="s">
        <v>283</v>
      </c>
      <c r="D5" s="34" t="n">
        <v>0</v>
      </c>
      <c r="E5" s="56" t="n">
        <f aca="false">AVERAGE(D5:D10)</f>
        <v>0.333333333333333</v>
      </c>
      <c r="F5" s="1"/>
      <c r="G5" s="1"/>
      <c r="H5" s="1"/>
      <c r="I5" s="1"/>
      <c r="J5" s="1"/>
      <c r="K5" s="1"/>
      <c r="L5" s="1"/>
      <c r="M5" s="1"/>
      <c r="N5" s="1"/>
      <c r="O5" s="1"/>
      <c r="P5" s="1"/>
      <c r="Q5" s="1"/>
      <c r="R5" s="1"/>
      <c r="S5" s="1"/>
      <c r="T5" s="1"/>
      <c r="U5" s="1"/>
      <c r="V5" s="1"/>
      <c r="W5" s="1"/>
      <c r="X5" s="1"/>
      <c r="Y5" s="1"/>
      <c r="Z5" s="1"/>
    </row>
    <row r="6" customFormat="false" ht="39.75" hidden="false" customHeight="true" outlineLevel="0" collapsed="false">
      <c r="A6" s="53"/>
      <c r="B6" s="54"/>
      <c r="C6" s="55" t="s">
        <v>284</v>
      </c>
      <c r="D6" s="34" t="n">
        <v>0</v>
      </c>
      <c r="E6" s="56"/>
      <c r="F6" s="1"/>
      <c r="G6" s="1"/>
      <c r="H6" s="1"/>
      <c r="I6" s="1"/>
      <c r="J6" s="1"/>
      <c r="K6" s="1"/>
      <c r="L6" s="1"/>
      <c r="M6" s="1"/>
      <c r="N6" s="1"/>
      <c r="O6" s="1"/>
      <c r="P6" s="1"/>
      <c r="Q6" s="1"/>
      <c r="R6" s="1"/>
      <c r="S6" s="1"/>
      <c r="T6" s="1"/>
      <c r="U6" s="1"/>
      <c r="V6" s="1"/>
      <c r="W6" s="1"/>
      <c r="X6" s="1"/>
      <c r="Y6" s="1"/>
      <c r="Z6" s="1"/>
    </row>
    <row r="7" customFormat="false" ht="39.75" hidden="false" customHeight="true" outlineLevel="0" collapsed="false">
      <c r="A7" s="53"/>
      <c r="B7" s="54"/>
      <c r="C7" s="55" t="s">
        <v>285</v>
      </c>
      <c r="D7" s="34" t="n">
        <v>1</v>
      </c>
      <c r="E7" s="56"/>
      <c r="F7" s="1"/>
      <c r="G7" s="1"/>
      <c r="H7" s="1"/>
      <c r="I7" s="1"/>
      <c r="J7" s="1"/>
      <c r="K7" s="1"/>
      <c r="L7" s="1"/>
      <c r="M7" s="1"/>
      <c r="N7" s="1"/>
      <c r="O7" s="1"/>
      <c r="P7" s="1"/>
      <c r="Q7" s="1"/>
      <c r="R7" s="1"/>
      <c r="S7" s="1"/>
      <c r="T7" s="1"/>
      <c r="U7" s="1"/>
      <c r="V7" s="1"/>
      <c r="W7" s="1"/>
      <c r="X7" s="1"/>
      <c r="Y7" s="1"/>
      <c r="Z7" s="1"/>
    </row>
    <row r="8" customFormat="false" ht="39.75" hidden="false" customHeight="true" outlineLevel="0" collapsed="false">
      <c r="A8" s="53"/>
      <c r="B8" s="54"/>
      <c r="C8" s="55" t="s">
        <v>286</v>
      </c>
      <c r="D8" s="34" t="n">
        <v>0</v>
      </c>
      <c r="E8" s="56"/>
      <c r="F8" s="1"/>
      <c r="G8" s="1"/>
      <c r="H8" s="1"/>
      <c r="I8" s="1"/>
      <c r="J8" s="1"/>
      <c r="K8" s="1"/>
      <c r="L8" s="1"/>
      <c r="M8" s="1"/>
      <c r="N8" s="1"/>
      <c r="O8" s="1"/>
      <c r="P8" s="1"/>
      <c r="Q8" s="1"/>
      <c r="R8" s="1"/>
      <c r="S8" s="1"/>
      <c r="T8" s="1"/>
      <c r="U8" s="1"/>
      <c r="V8" s="1"/>
      <c r="W8" s="1"/>
      <c r="X8" s="1"/>
      <c r="Y8" s="1"/>
      <c r="Z8" s="1"/>
    </row>
    <row r="9" customFormat="false" ht="39.75" hidden="false" customHeight="true" outlineLevel="0" collapsed="false">
      <c r="A9" s="53"/>
      <c r="B9" s="54"/>
      <c r="C9" s="55" t="s">
        <v>287</v>
      </c>
      <c r="D9" s="34" t="n">
        <v>1</v>
      </c>
      <c r="E9" s="56"/>
      <c r="F9" s="1"/>
      <c r="G9" s="1"/>
      <c r="H9" s="1"/>
      <c r="I9" s="1"/>
      <c r="J9" s="1"/>
      <c r="K9" s="1"/>
      <c r="L9" s="1"/>
      <c r="M9" s="1"/>
      <c r="N9" s="1"/>
      <c r="O9" s="1"/>
      <c r="P9" s="1"/>
      <c r="Q9" s="1"/>
      <c r="R9" s="1"/>
      <c r="S9" s="1"/>
      <c r="T9" s="1"/>
      <c r="U9" s="1"/>
      <c r="V9" s="1"/>
      <c r="W9" s="1"/>
      <c r="X9" s="1"/>
      <c r="Y9" s="1"/>
      <c r="Z9" s="1"/>
    </row>
    <row r="10" customFormat="false" ht="39.75" hidden="false" customHeight="true" outlineLevel="0" collapsed="false">
      <c r="A10" s="53"/>
      <c r="B10" s="54"/>
      <c r="C10" s="55" t="s">
        <v>288</v>
      </c>
      <c r="D10" s="34" t="n">
        <v>0</v>
      </c>
      <c r="E10" s="56"/>
      <c r="F10" s="1"/>
      <c r="G10" s="1"/>
      <c r="H10" s="1"/>
      <c r="I10" s="1"/>
      <c r="J10" s="1"/>
      <c r="K10" s="1"/>
      <c r="L10" s="1"/>
      <c r="M10" s="1"/>
      <c r="N10" s="1"/>
      <c r="O10" s="1"/>
      <c r="P10" s="1"/>
      <c r="Q10" s="1"/>
      <c r="R10" s="1"/>
      <c r="S10" s="1"/>
      <c r="T10" s="1"/>
      <c r="U10" s="1"/>
      <c r="V10" s="1"/>
      <c r="W10" s="1"/>
      <c r="X10" s="1"/>
      <c r="Y10" s="1"/>
      <c r="Z10" s="1"/>
    </row>
    <row r="11" customFormat="false" ht="39.75" hidden="false" customHeight="true" outlineLevel="0" collapsed="false">
      <c r="A11" s="53"/>
      <c r="B11" s="54" t="s">
        <v>289</v>
      </c>
      <c r="C11" s="57" t="s">
        <v>290</v>
      </c>
      <c r="D11" s="58" t="n">
        <v>2</v>
      </c>
      <c r="E11" s="56" t="n">
        <f aca="false">AVERAGE(D13:D15)</f>
        <v>1</v>
      </c>
      <c r="F11" s="1"/>
      <c r="G11" s="1"/>
      <c r="H11" s="1"/>
      <c r="I11" s="1"/>
      <c r="J11" s="1"/>
      <c r="K11" s="1"/>
      <c r="L11" s="1"/>
      <c r="M11" s="1"/>
      <c r="N11" s="1"/>
      <c r="O11" s="1"/>
      <c r="P11" s="1"/>
      <c r="Q11" s="1"/>
      <c r="R11" s="1"/>
      <c r="S11" s="1"/>
      <c r="T11" s="1"/>
      <c r="U11" s="1"/>
      <c r="V11" s="1"/>
      <c r="W11" s="1"/>
      <c r="X11" s="1"/>
      <c r="Y11" s="1"/>
      <c r="Z11" s="1"/>
    </row>
    <row r="12" customFormat="false" ht="39.75" hidden="false" customHeight="true" outlineLevel="0" collapsed="false">
      <c r="A12" s="53"/>
      <c r="B12" s="54"/>
      <c r="C12" s="57" t="s">
        <v>291</v>
      </c>
      <c r="D12" s="58" t="n">
        <v>2</v>
      </c>
      <c r="E12" s="56"/>
      <c r="F12" s="1"/>
      <c r="G12" s="1"/>
      <c r="H12" s="1"/>
      <c r="I12" s="1"/>
      <c r="J12" s="1"/>
      <c r="K12" s="1"/>
      <c r="L12" s="1"/>
      <c r="M12" s="1"/>
      <c r="N12" s="1"/>
      <c r="O12" s="1"/>
      <c r="P12" s="1"/>
      <c r="Q12" s="1"/>
      <c r="R12" s="1"/>
      <c r="S12" s="1"/>
      <c r="T12" s="1"/>
      <c r="U12" s="1"/>
      <c r="V12" s="1"/>
      <c r="W12" s="1"/>
      <c r="X12" s="1"/>
      <c r="Y12" s="1"/>
      <c r="Z12" s="1"/>
    </row>
    <row r="13" customFormat="false" ht="39.75" hidden="false" customHeight="true" outlineLevel="0" collapsed="false">
      <c r="A13" s="53"/>
      <c r="B13" s="54"/>
      <c r="C13" s="55" t="s">
        <v>292</v>
      </c>
      <c r="D13" s="34" t="n">
        <v>1</v>
      </c>
      <c r="E13" s="56"/>
      <c r="F13" s="1"/>
      <c r="G13" s="1"/>
      <c r="H13" s="1"/>
      <c r="I13" s="1"/>
      <c r="J13" s="1"/>
      <c r="K13" s="1"/>
      <c r="L13" s="1"/>
      <c r="M13" s="1"/>
      <c r="N13" s="1"/>
      <c r="O13" s="1"/>
      <c r="P13" s="1"/>
      <c r="Q13" s="1"/>
      <c r="R13" s="1"/>
      <c r="S13" s="1"/>
      <c r="T13" s="1"/>
      <c r="U13" s="1"/>
      <c r="V13" s="1"/>
      <c r="W13" s="1"/>
      <c r="X13" s="1"/>
      <c r="Y13" s="1"/>
      <c r="Z13" s="1"/>
    </row>
    <row r="14" customFormat="false" ht="39.75" hidden="false" customHeight="true" outlineLevel="0" collapsed="false">
      <c r="A14" s="53"/>
      <c r="B14" s="54"/>
      <c r="C14" s="55" t="s">
        <v>293</v>
      </c>
      <c r="D14" s="34" t="n">
        <v>1</v>
      </c>
      <c r="E14" s="56"/>
      <c r="F14" s="1"/>
      <c r="G14" s="1"/>
      <c r="H14" s="1"/>
      <c r="I14" s="1"/>
      <c r="J14" s="1"/>
      <c r="K14" s="1"/>
      <c r="L14" s="1"/>
      <c r="M14" s="1"/>
      <c r="N14" s="1"/>
      <c r="O14" s="1"/>
      <c r="P14" s="1"/>
      <c r="Q14" s="1"/>
      <c r="R14" s="1"/>
      <c r="S14" s="1"/>
      <c r="T14" s="1"/>
      <c r="U14" s="1"/>
      <c r="V14" s="1"/>
      <c r="W14" s="1"/>
      <c r="X14" s="1"/>
      <c r="Y14" s="1"/>
      <c r="Z14" s="1"/>
    </row>
    <row r="15" customFormat="false" ht="42" hidden="false" customHeight="true" outlineLevel="0" collapsed="false">
      <c r="A15" s="53"/>
      <c r="B15" s="54"/>
      <c r="C15" s="55" t="s">
        <v>294</v>
      </c>
      <c r="D15" s="34" t="n">
        <v>1</v>
      </c>
      <c r="E15" s="56"/>
      <c r="F15" s="1"/>
      <c r="G15" s="1"/>
      <c r="H15" s="1"/>
      <c r="I15" s="1"/>
      <c r="J15" s="1"/>
      <c r="K15" s="1"/>
      <c r="L15" s="1"/>
      <c r="M15" s="1"/>
      <c r="N15" s="1"/>
      <c r="O15" s="1"/>
      <c r="P15" s="1"/>
      <c r="Q15" s="1"/>
      <c r="R15" s="1"/>
      <c r="S15" s="1"/>
      <c r="T15" s="1"/>
      <c r="U15" s="1"/>
      <c r="V15" s="1"/>
      <c r="W15" s="1"/>
      <c r="X15" s="1"/>
      <c r="Y15" s="1"/>
      <c r="Z15" s="1"/>
    </row>
    <row r="16" customFormat="false" ht="39.75" hidden="false" customHeight="true" outlineLevel="0" collapsed="false">
      <c r="A16" s="53"/>
      <c r="B16" s="54" t="s">
        <v>295</v>
      </c>
      <c r="C16" s="55" t="s">
        <v>296</v>
      </c>
      <c r="D16" s="34" t="n">
        <v>0</v>
      </c>
      <c r="E16" s="56" t="n">
        <f aca="false">AVERAGE(D16:D19)</f>
        <v>0.5</v>
      </c>
      <c r="F16" s="1"/>
      <c r="G16" s="1"/>
      <c r="H16" s="1"/>
      <c r="I16" s="1"/>
      <c r="J16" s="1"/>
      <c r="K16" s="1"/>
      <c r="L16" s="1"/>
      <c r="M16" s="1"/>
      <c r="N16" s="1"/>
      <c r="O16" s="1"/>
      <c r="P16" s="1"/>
      <c r="Q16" s="1"/>
      <c r="R16" s="1"/>
      <c r="S16" s="1"/>
      <c r="T16" s="1"/>
      <c r="U16" s="1"/>
      <c r="V16" s="1"/>
      <c r="W16" s="1"/>
      <c r="X16" s="1"/>
      <c r="Y16" s="1"/>
      <c r="Z16" s="1"/>
    </row>
    <row r="17" customFormat="false" ht="39.75" hidden="false" customHeight="true" outlineLevel="0" collapsed="false">
      <c r="A17" s="53"/>
      <c r="B17" s="54"/>
      <c r="C17" s="55" t="s">
        <v>297</v>
      </c>
      <c r="D17" s="34" t="n">
        <v>0</v>
      </c>
      <c r="E17" s="56"/>
      <c r="F17" s="1"/>
      <c r="G17" s="1"/>
      <c r="H17" s="1"/>
      <c r="I17" s="1"/>
      <c r="J17" s="1"/>
      <c r="K17" s="1"/>
      <c r="L17" s="1"/>
      <c r="M17" s="1"/>
      <c r="N17" s="1"/>
      <c r="O17" s="1"/>
      <c r="P17" s="1"/>
      <c r="Q17" s="1"/>
      <c r="R17" s="1"/>
      <c r="S17" s="1"/>
      <c r="T17" s="1"/>
      <c r="U17" s="1"/>
      <c r="V17" s="1"/>
      <c r="W17" s="1"/>
      <c r="X17" s="1"/>
      <c r="Y17" s="1"/>
      <c r="Z17" s="1"/>
    </row>
    <row r="18" customFormat="false" ht="39.75" hidden="false" customHeight="true" outlineLevel="0" collapsed="false">
      <c r="A18" s="53"/>
      <c r="B18" s="54"/>
      <c r="C18" s="55" t="s">
        <v>298</v>
      </c>
      <c r="D18" s="34" t="n">
        <v>1</v>
      </c>
      <c r="E18" s="56"/>
      <c r="F18" s="1"/>
      <c r="G18" s="1"/>
      <c r="H18" s="1"/>
      <c r="I18" s="1"/>
      <c r="J18" s="1"/>
      <c r="K18" s="1"/>
      <c r="L18" s="1"/>
      <c r="M18" s="1"/>
      <c r="N18" s="1"/>
      <c r="O18" s="1"/>
      <c r="P18" s="1"/>
      <c r="Q18" s="1"/>
      <c r="R18" s="1"/>
      <c r="S18" s="1"/>
      <c r="T18" s="1"/>
      <c r="U18" s="1"/>
      <c r="V18" s="1"/>
      <c r="W18" s="1"/>
      <c r="X18" s="1"/>
      <c r="Y18" s="1"/>
      <c r="Z18" s="1"/>
    </row>
    <row r="19" customFormat="false" ht="39.75" hidden="false" customHeight="true" outlineLevel="0" collapsed="false">
      <c r="A19" s="53"/>
      <c r="B19" s="54"/>
      <c r="C19" s="55" t="s">
        <v>299</v>
      </c>
      <c r="D19" s="34" t="n">
        <v>1</v>
      </c>
      <c r="E19" s="56"/>
      <c r="F19" s="1"/>
      <c r="G19" s="1"/>
      <c r="H19" s="1"/>
      <c r="I19" s="1"/>
      <c r="J19" s="1"/>
      <c r="K19" s="1"/>
      <c r="L19" s="1"/>
      <c r="M19" s="1"/>
      <c r="N19" s="1"/>
      <c r="O19" s="1"/>
      <c r="P19" s="1"/>
      <c r="Q19" s="1"/>
      <c r="R19" s="1"/>
      <c r="S19" s="1"/>
      <c r="T19" s="1"/>
      <c r="U19" s="1"/>
      <c r="V19" s="1"/>
      <c r="W19" s="1"/>
      <c r="X19" s="1"/>
      <c r="Y19" s="1"/>
      <c r="Z19" s="1"/>
    </row>
    <row r="20" customFormat="false" ht="39.75" hidden="false" customHeight="true" outlineLevel="0" collapsed="false">
      <c r="A20" s="53"/>
      <c r="B20" s="54" t="s">
        <v>300</v>
      </c>
      <c r="C20" s="55" t="s">
        <v>301</v>
      </c>
      <c r="D20" s="34" t="n">
        <v>0</v>
      </c>
      <c r="E20" s="56" t="n">
        <f aca="false">AVERAGE(D20:D25)</f>
        <v>0.833333333333333</v>
      </c>
      <c r="F20" s="1"/>
      <c r="G20" s="1"/>
      <c r="H20" s="1"/>
      <c r="I20" s="1"/>
      <c r="J20" s="1"/>
      <c r="K20" s="1"/>
      <c r="L20" s="1"/>
      <c r="M20" s="1"/>
      <c r="N20" s="1"/>
      <c r="O20" s="1"/>
      <c r="P20" s="1"/>
      <c r="Q20" s="1"/>
      <c r="R20" s="1"/>
      <c r="S20" s="1"/>
      <c r="T20" s="1"/>
      <c r="U20" s="1"/>
      <c r="V20" s="1"/>
      <c r="W20" s="1"/>
      <c r="X20" s="1"/>
      <c r="Y20" s="1"/>
      <c r="Z20" s="1"/>
    </row>
    <row r="21" customFormat="false" ht="39.75" hidden="false" customHeight="true" outlineLevel="0" collapsed="false">
      <c r="A21" s="53"/>
      <c r="B21" s="54"/>
      <c r="C21" s="55" t="s">
        <v>302</v>
      </c>
      <c r="D21" s="34" t="n">
        <v>1</v>
      </c>
      <c r="E21" s="56"/>
      <c r="F21" s="1"/>
      <c r="G21" s="1"/>
      <c r="H21" s="1"/>
      <c r="I21" s="1"/>
      <c r="J21" s="1"/>
      <c r="K21" s="1"/>
      <c r="L21" s="1"/>
      <c r="M21" s="1"/>
      <c r="N21" s="1"/>
      <c r="O21" s="1"/>
      <c r="P21" s="1"/>
      <c r="Q21" s="1"/>
      <c r="R21" s="1"/>
      <c r="S21" s="1"/>
      <c r="T21" s="1"/>
      <c r="U21" s="1"/>
      <c r="V21" s="1"/>
      <c r="W21" s="1"/>
      <c r="X21" s="1"/>
      <c r="Y21" s="1"/>
      <c r="Z21" s="1"/>
    </row>
    <row r="22" customFormat="false" ht="39.75" hidden="false" customHeight="true" outlineLevel="0" collapsed="false">
      <c r="A22" s="53"/>
      <c r="B22" s="54"/>
      <c r="C22" s="55" t="s">
        <v>303</v>
      </c>
      <c r="D22" s="34" t="n">
        <v>1</v>
      </c>
      <c r="E22" s="56"/>
      <c r="F22" s="1"/>
      <c r="G22" s="1"/>
      <c r="H22" s="1"/>
      <c r="I22" s="1"/>
      <c r="J22" s="1"/>
      <c r="K22" s="1"/>
      <c r="L22" s="1"/>
      <c r="M22" s="1"/>
      <c r="N22" s="1"/>
      <c r="O22" s="1"/>
      <c r="P22" s="1"/>
      <c r="Q22" s="1"/>
      <c r="R22" s="1"/>
      <c r="S22" s="1"/>
      <c r="T22" s="1"/>
      <c r="U22" s="1"/>
      <c r="V22" s="1"/>
      <c r="W22" s="1"/>
      <c r="X22" s="1"/>
      <c r="Y22" s="1"/>
      <c r="Z22" s="1"/>
    </row>
    <row r="23" customFormat="false" ht="39.75" hidden="false" customHeight="true" outlineLevel="0" collapsed="false">
      <c r="A23" s="53"/>
      <c r="B23" s="54"/>
      <c r="C23" s="55" t="s">
        <v>304</v>
      </c>
      <c r="D23" s="34" t="n">
        <v>1</v>
      </c>
      <c r="E23" s="56"/>
      <c r="F23" s="1"/>
      <c r="G23" s="1"/>
      <c r="H23" s="1"/>
      <c r="I23" s="1"/>
      <c r="J23" s="1"/>
      <c r="K23" s="1"/>
      <c r="L23" s="1"/>
      <c r="M23" s="1"/>
      <c r="N23" s="1"/>
      <c r="O23" s="1"/>
      <c r="P23" s="1"/>
      <c r="Q23" s="1"/>
      <c r="R23" s="1"/>
      <c r="S23" s="1"/>
      <c r="T23" s="1"/>
      <c r="U23" s="1"/>
      <c r="V23" s="1"/>
      <c r="W23" s="1"/>
      <c r="X23" s="1"/>
      <c r="Y23" s="1"/>
      <c r="Z23" s="1"/>
    </row>
    <row r="24" customFormat="false" ht="39.75" hidden="false" customHeight="true" outlineLevel="0" collapsed="false">
      <c r="A24" s="53"/>
      <c r="B24" s="54"/>
      <c r="C24" s="55" t="s">
        <v>305</v>
      </c>
      <c r="D24" s="34" t="n">
        <v>1</v>
      </c>
      <c r="E24" s="56"/>
      <c r="F24" s="1"/>
      <c r="G24" s="1"/>
      <c r="H24" s="1"/>
      <c r="I24" s="1"/>
      <c r="J24" s="1"/>
      <c r="K24" s="1"/>
      <c r="L24" s="1"/>
      <c r="M24" s="1"/>
      <c r="N24" s="1"/>
      <c r="O24" s="1"/>
      <c r="P24" s="1"/>
      <c r="Q24" s="1"/>
      <c r="R24" s="1"/>
      <c r="S24" s="1"/>
      <c r="T24" s="1"/>
      <c r="U24" s="1"/>
      <c r="V24" s="1"/>
      <c r="W24" s="1"/>
      <c r="X24" s="1"/>
      <c r="Y24" s="1"/>
      <c r="Z24" s="1"/>
    </row>
    <row r="25" customFormat="false" ht="39.75" hidden="false" customHeight="true" outlineLevel="0" collapsed="false">
      <c r="A25" s="53"/>
      <c r="B25" s="54"/>
      <c r="C25" s="55" t="s">
        <v>306</v>
      </c>
      <c r="D25" s="34" t="n">
        <v>1</v>
      </c>
      <c r="E25" s="56"/>
      <c r="F25" s="1"/>
      <c r="G25" s="1"/>
      <c r="H25" s="1"/>
      <c r="I25" s="1"/>
      <c r="J25" s="1"/>
      <c r="K25" s="1"/>
      <c r="L25" s="1"/>
      <c r="M25" s="1"/>
      <c r="N25" s="1"/>
      <c r="O25" s="1"/>
      <c r="P25" s="1"/>
      <c r="Q25" s="1"/>
      <c r="R25" s="1"/>
      <c r="S25" s="1"/>
      <c r="T25" s="1"/>
      <c r="U25" s="1"/>
      <c r="V25" s="1"/>
      <c r="W25" s="1"/>
      <c r="X25" s="1"/>
      <c r="Y25" s="1"/>
      <c r="Z25" s="1"/>
    </row>
    <row r="26" customFormat="false" ht="39.75" hidden="false" customHeight="true" outlineLevel="0" collapsed="false">
      <c r="A26" s="53"/>
      <c r="B26" s="54" t="s">
        <v>307</v>
      </c>
      <c r="C26" s="55" t="s">
        <v>308</v>
      </c>
      <c r="D26" s="34" t="n">
        <v>0</v>
      </c>
      <c r="E26" s="56" t="n">
        <f aca="false">AVERAGE(D26:D28)</f>
        <v>0.666666666666667</v>
      </c>
      <c r="F26" s="1"/>
      <c r="G26" s="1"/>
      <c r="H26" s="1"/>
      <c r="I26" s="1"/>
      <c r="J26" s="1"/>
      <c r="K26" s="1"/>
      <c r="L26" s="1"/>
      <c r="M26" s="1"/>
      <c r="N26" s="1"/>
      <c r="O26" s="1"/>
      <c r="P26" s="1"/>
      <c r="Q26" s="1"/>
      <c r="R26" s="1"/>
      <c r="S26" s="1"/>
      <c r="T26" s="1"/>
      <c r="U26" s="1"/>
      <c r="V26" s="1"/>
      <c r="W26" s="1"/>
      <c r="X26" s="1"/>
      <c r="Y26" s="1"/>
      <c r="Z26" s="1"/>
    </row>
    <row r="27" customFormat="false" ht="39.75" hidden="false" customHeight="true" outlineLevel="0" collapsed="false">
      <c r="A27" s="53"/>
      <c r="B27" s="54"/>
      <c r="C27" s="55" t="s">
        <v>309</v>
      </c>
      <c r="D27" s="34" t="n">
        <v>1</v>
      </c>
      <c r="E27" s="56"/>
      <c r="F27" s="1"/>
      <c r="G27" s="1"/>
      <c r="H27" s="1"/>
      <c r="I27" s="1"/>
      <c r="J27" s="1"/>
      <c r="K27" s="1"/>
      <c r="L27" s="1"/>
      <c r="M27" s="1"/>
      <c r="N27" s="1"/>
      <c r="O27" s="1"/>
      <c r="P27" s="1"/>
      <c r="Q27" s="1"/>
      <c r="R27" s="1"/>
      <c r="S27" s="1"/>
      <c r="T27" s="1"/>
      <c r="U27" s="1"/>
      <c r="V27" s="1"/>
      <c r="W27" s="1"/>
      <c r="X27" s="1"/>
      <c r="Y27" s="1"/>
      <c r="Z27" s="1"/>
    </row>
    <row r="28" customFormat="false" ht="39.75" hidden="false" customHeight="true" outlineLevel="0" collapsed="false">
      <c r="A28" s="53"/>
      <c r="B28" s="54"/>
      <c r="C28" s="55" t="s">
        <v>310</v>
      </c>
      <c r="D28" s="34" t="n">
        <v>1</v>
      </c>
      <c r="E28" s="56"/>
      <c r="F28" s="1"/>
      <c r="G28" s="1"/>
      <c r="H28" s="1"/>
      <c r="I28" s="1"/>
      <c r="J28" s="1"/>
      <c r="K28" s="1"/>
      <c r="L28" s="1"/>
      <c r="M28" s="1"/>
      <c r="N28" s="1"/>
      <c r="O28" s="1"/>
      <c r="P28" s="1"/>
      <c r="Q28" s="1"/>
      <c r="R28" s="1"/>
      <c r="S28" s="1"/>
      <c r="T28" s="1"/>
      <c r="U28" s="1"/>
      <c r="V28" s="1"/>
      <c r="W28" s="1"/>
      <c r="X28" s="1"/>
      <c r="Y28" s="1"/>
      <c r="Z28" s="1"/>
    </row>
    <row r="29" customFormat="false" ht="39.75" hidden="false" customHeight="true" outlineLevel="0" collapsed="false">
      <c r="A29" s="53"/>
      <c r="B29" s="54" t="s">
        <v>311</v>
      </c>
      <c r="C29" s="55" t="s">
        <v>312</v>
      </c>
      <c r="D29" s="34" t="n">
        <v>0</v>
      </c>
      <c r="E29" s="56" t="n">
        <f aca="false">AVERAGE(D29:D33)</f>
        <v>0.8</v>
      </c>
      <c r="F29" s="1"/>
      <c r="G29" s="1"/>
      <c r="H29" s="1"/>
      <c r="I29" s="1"/>
      <c r="J29" s="1"/>
      <c r="K29" s="1"/>
      <c r="L29" s="1"/>
      <c r="M29" s="1"/>
      <c r="N29" s="1"/>
      <c r="O29" s="1"/>
      <c r="P29" s="1"/>
      <c r="Q29" s="1"/>
      <c r="R29" s="1"/>
      <c r="S29" s="1"/>
      <c r="T29" s="1"/>
      <c r="U29" s="1"/>
      <c r="V29" s="1"/>
      <c r="W29" s="1"/>
      <c r="X29" s="1"/>
      <c r="Y29" s="1"/>
      <c r="Z29" s="1"/>
    </row>
    <row r="30" customFormat="false" ht="51.75" hidden="false" customHeight="true" outlineLevel="0" collapsed="false">
      <c r="A30" s="53"/>
      <c r="B30" s="54"/>
      <c r="C30" s="55" t="s">
        <v>313</v>
      </c>
      <c r="D30" s="34" t="n">
        <v>1</v>
      </c>
      <c r="E30" s="56"/>
      <c r="F30" s="1"/>
      <c r="G30" s="1"/>
      <c r="H30" s="1"/>
      <c r="I30" s="1"/>
      <c r="J30" s="1"/>
      <c r="K30" s="1"/>
      <c r="L30" s="1"/>
      <c r="M30" s="1"/>
      <c r="N30" s="1"/>
      <c r="O30" s="1"/>
      <c r="P30" s="1"/>
      <c r="Q30" s="1"/>
      <c r="R30" s="1"/>
      <c r="S30" s="1"/>
      <c r="T30" s="1"/>
      <c r="U30" s="1"/>
      <c r="V30" s="1"/>
      <c r="W30" s="1"/>
      <c r="X30" s="1"/>
      <c r="Y30" s="1"/>
      <c r="Z30" s="1"/>
    </row>
    <row r="31" customFormat="false" ht="51" hidden="false" customHeight="true" outlineLevel="0" collapsed="false">
      <c r="A31" s="53"/>
      <c r="B31" s="54"/>
      <c r="C31" s="55" t="s">
        <v>314</v>
      </c>
      <c r="D31" s="34" t="n">
        <v>1</v>
      </c>
      <c r="E31" s="56"/>
      <c r="F31" s="1"/>
      <c r="G31" s="1"/>
      <c r="H31" s="1"/>
      <c r="I31" s="1"/>
      <c r="J31" s="1"/>
      <c r="K31" s="1"/>
      <c r="L31" s="1"/>
      <c r="M31" s="1"/>
      <c r="N31" s="1"/>
      <c r="O31" s="1"/>
      <c r="P31" s="1"/>
      <c r="Q31" s="1"/>
      <c r="R31" s="1"/>
      <c r="S31" s="1"/>
      <c r="T31" s="1"/>
      <c r="U31" s="1"/>
      <c r="V31" s="1"/>
      <c r="W31" s="1"/>
      <c r="X31" s="1"/>
      <c r="Y31" s="1"/>
      <c r="Z31" s="1"/>
    </row>
    <row r="32" customFormat="false" ht="52.5" hidden="false" customHeight="true" outlineLevel="0" collapsed="false">
      <c r="A32" s="53"/>
      <c r="B32" s="54"/>
      <c r="C32" s="55" t="s">
        <v>315</v>
      </c>
      <c r="D32" s="34" t="n">
        <v>1</v>
      </c>
      <c r="E32" s="56"/>
      <c r="F32" s="1"/>
      <c r="G32" s="1"/>
      <c r="H32" s="1"/>
      <c r="I32" s="1"/>
      <c r="J32" s="1"/>
      <c r="K32" s="1"/>
      <c r="L32" s="1"/>
      <c r="M32" s="1"/>
      <c r="N32" s="1"/>
      <c r="O32" s="1"/>
      <c r="P32" s="1"/>
      <c r="Q32" s="1"/>
      <c r="R32" s="1"/>
      <c r="S32" s="1"/>
      <c r="T32" s="1"/>
      <c r="U32" s="1"/>
      <c r="V32" s="1"/>
      <c r="W32" s="1"/>
      <c r="X32" s="1"/>
      <c r="Y32" s="1"/>
      <c r="Z32" s="1"/>
    </row>
    <row r="33" customFormat="false" ht="39.75" hidden="false" customHeight="true" outlineLevel="0" collapsed="false">
      <c r="A33" s="53"/>
      <c r="B33" s="54"/>
      <c r="C33" s="55" t="s">
        <v>316</v>
      </c>
      <c r="D33" s="34" t="n">
        <v>1</v>
      </c>
      <c r="E33" s="56"/>
      <c r="F33" s="1"/>
      <c r="G33" s="1"/>
      <c r="H33" s="1"/>
      <c r="I33" s="1"/>
      <c r="J33" s="1"/>
      <c r="K33" s="1"/>
      <c r="L33" s="1"/>
      <c r="M33" s="1"/>
      <c r="N33" s="1"/>
      <c r="O33" s="1"/>
      <c r="P33" s="1"/>
      <c r="Q33" s="1"/>
      <c r="R33" s="1"/>
      <c r="S33" s="1"/>
      <c r="T33" s="1"/>
      <c r="U33" s="1"/>
      <c r="V33" s="1"/>
      <c r="W33" s="1"/>
      <c r="X33" s="1"/>
      <c r="Y33" s="1"/>
      <c r="Z33" s="1"/>
    </row>
    <row r="34" customFormat="false" ht="39.75" hidden="false" customHeight="true" outlineLevel="0" collapsed="false">
      <c r="A34" s="59"/>
      <c r="B34" s="59"/>
      <c r="C34" s="59"/>
      <c r="D34" s="59"/>
      <c r="E34" s="59"/>
      <c r="F34" s="1"/>
      <c r="G34" s="1"/>
      <c r="H34" s="1"/>
      <c r="I34" s="1"/>
      <c r="J34" s="1"/>
      <c r="K34" s="1"/>
      <c r="L34" s="1"/>
      <c r="M34" s="1"/>
      <c r="N34" s="1"/>
      <c r="O34" s="1"/>
      <c r="P34" s="1"/>
      <c r="Q34" s="1"/>
      <c r="R34" s="1"/>
      <c r="S34" s="1"/>
      <c r="T34" s="1"/>
      <c r="U34" s="1"/>
      <c r="V34" s="1"/>
      <c r="W34" s="1"/>
      <c r="X34" s="1"/>
      <c r="Y34" s="1"/>
      <c r="Z34" s="1"/>
    </row>
    <row r="35" customFormat="false" ht="39.75" hidden="false" customHeight="true" outlineLevel="0" collapsed="false">
      <c r="A35" s="60" t="s">
        <v>4</v>
      </c>
      <c r="B35" s="54" t="s">
        <v>317</v>
      </c>
      <c r="C35" s="55" t="s">
        <v>318</v>
      </c>
      <c r="D35" s="34" t="n">
        <v>1</v>
      </c>
      <c r="E35" s="61" t="n">
        <f aca="false">+AVERAGE(D35:D41)</f>
        <v>0.5714285714</v>
      </c>
      <c r="F35" s="1"/>
      <c r="G35" s="1"/>
      <c r="H35" s="1"/>
      <c r="I35" s="1"/>
      <c r="J35" s="1"/>
      <c r="K35" s="1"/>
      <c r="L35" s="1"/>
      <c r="M35" s="1"/>
      <c r="N35" s="1"/>
      <c r="O35" s="1"/>
      <c r="P35" s="1"/>
      <c r="Q35" s="1"/>
      <c r="R35" s="1"/>
      <c r="S35" s="1"/>
      <c r="T35" s="1"/>
      <c r="U35" s="1"/>
      <c r="V35" s="1"/>
      <c r="W35" s="1"/>
      <c r="X35" s="1"/>
      <c r="Y35" s="1"/>
      <c r="Z35" s="1"/>
    </row>
    <row r="36" customFormat="false" ht="39.75" hidden="false" customHeight="true" outlineLevel="0" collapsed="false">
      <c r="A36" s="60"/>
      <c r="B36" s="54"/>
      <c r="C36" s="55" t="s">
        <v>319</v>
      </c>
      <c r="D36" s="34" t="n">
        <v>0</v>
      </c>
      <c r="E36" s="61"/>
      <c r="F36" s="1"/>
      <c r="G36" s="1"/>
      <c r="H36" s="1"/>
      <c r="I36" s="1"/>
      <c r="J36" s="1"/>
      <c r="K36" s="1"/>
      <c r="L36" s="1"/>
      <c r="M36" s="1"/>
      <c r="N36" s="1"/>
      <c r="O36" s="1"/>
      <c r="P36" s="1"/>
      <c r="Q36" s="1"/>
      <c r="R36" s="1"/>
      <c r="S36" s="1"/>
      <c r="T36" s="1"/>
      <c r="U36" s="1"/>
      <c r="V36" s="1"/>
      <c r="W36" s="1"/>
      <c r="X36" s="1"/>
      <c r="Y36" s="1"/>
      <c r="Z36" s="1"/>
    </row>
    <row r="37" customFormat="false" ht="39.75" hidden="false" customHeight="true" outlineLevel="0" collapsed="false">
      <c r="A37" s="60"/>
      <c r="B37" s="54"/>
      <c r="C37" s="55" t="s">
        <v>320</v>
      </c>
      <c r="D37" s="34" t="n">
        <v>1</v>
      </c>
      <c r="E37" s="61"/>
      <c r="F37" s="1"/>
      <c r="G37" s="1"/>
      <c r="H37" s="1"/>
      <c r="I37" s="1"/>
      <c r="J37" s="1"/>
      <c r="K37" s="1"/>
      <c r="L37" s="1"/>
      <c r="M37" s="1"/>
      <c r="N37" s="1"/>
      <c r="O37" s="1"/>
      <c r="P37" s="1"/>
      <c r="Q37" s="1"/>
      <c r="R37" s="1"/>
      <c r="S37" s="1"/>
      <c r="T37" s="1"/>
      <c r="U37" s="1"/>
      <c r="V37" s="1"/>
      <c r="W37" s="1"/>
      <c r="X37" s="1"/>
      <c r="Y37" s="1"/>
      <c r="Z37" s="1"/>
    </row>
    <row r="38" customFormat="false" ht="39.75" hidden="false" customHeight="true" outlineLevel="0" collapsed="false">
      <c r="A38" s="60"/>
      <c r="B38" s="54"/>
      <c r="C38" s="55" t="s">
        <v>321</v>
      </c>
      <c r="D38" s="34" t="n">
        <v>1</v>
      </c>
      <c r="E38" s="61"/>
      <c r="F38" s="1"/>
      <c r="G38" s="1"/>
      <c r="H38" s="1"/>
      <c r="I38" s="1"/>
      <c r="J38" s="1"/>
      <c r="K38" s="1"/>
      <c r="L38" s="1"/>
      <c r="M38" s="1"/>
      <c r="N38" s="1"/>
      <c r="O38" s="1"/>
      <c r="P38" s="1"/>
      <c r="Q38" s="1"/>
      <c r="R38" s="1"/>
      <c r="S38" s="1"/>
      <c r="T38" s="1"/>
      <c r="U38" s="1"/>
      <c r="V38" s="1"/>
      <c r="W38" s="1"/>
      <c r="X38" s="1"/>
      <c r="Y38" s="1"/>
      <c r="Z38" s="1"/>
    </row>
    <row r="39" customFormat="false" ht="39.75" hidden="false" customHeight="true" outlineLevel="0" collapsed="false">
      <c r="A39" s="60"/>
      <c r="B39" s="54"/>
      <c r="C39" s="55" t="s">
        <v>322</v>
      </c>
      <c r="D39" s="34" t="n">
        <v>0</v>
      </c>
      <c r="E39" s="61"/>
      <c r="F39" s="1"/>
      <c r="G39" s="1"/>
      <c r="H39" s="1"/>
      <c r="I39" s="1"/>
      <c r="J39" s="1"/>
      <c r="K39" s="1"/>
      <c r="L39" s="1"/>
      <c r="M39" s="1"/>
      <c r="N39" s="1"/>
      <c r="O39" s="1"/>
      <c r="P39" s="1"/>
      <c r="Q39" s="1"/>
      <c r="R39" s="1"/>
      <c r="S39" s="1"/>
      <c r="T39" s="1"/>
      <c r="U39" s="1"/>
      <c r="V39" s="1"/>
      <c r="W39" s="1"/>
      <c r="X39" s="1"/>
      <c r="Y39" s="1"/>
      <c r="Z39" s="1"/>
    </row>
    <row r="40" customFormat="false" ht="39.75" hidden="false" customHeight="true" outlineLevel="0" collapsed="false">
      <c r="A40" s="60"/>
      <c r="B40" s="54"/>
      <c r="C40" s="55" t="s">
        <v>323</v>
      </c>
      <c r="D40" s="34" t="n">
        <v>1</v>
      </c>
      <c r="E40" s="61"/>
      <c r="F40" s="1"/>
      <c r="G40" s="1"/>
      <c r="H40" s="1"/>
      <c r="I40" s="1"/>
      <c r="J40" s="1"/>
      <c r="K40" s="1"/>
      <c r="L40" s="1"/>
      <c r="M40" s="1"/>
      <c r="N40" s="1"/>
      <c r="O40" s="1"/>
      <c r="P40" s="1"/>
      <c r="Q40" s="1"/>
      <c r="R40" s="1"/>
      <c r="S40" s="1"/>
      <c r="T40" s="1"/>
      <c r="U40" s="1"/>
      <c r="V40" s="1"/>
      <c r="W40" s="1"/>
      <c r="X40" s="1"/>
      <c r="Y40" s="1"/>
      <c r="Z40" s="1"/>
    </row>
    <row r="41" customFormat="false" ht="39.75" hidden="false" customHeight="true" outlineLevel="0" collapsed="false">
      <c r="A41" s="60"/>
      <c r="B41" s="54"/>
      <c r="C41" s="55" t="s">
        <v>324</v>
      </c>
      <c r="D41" s="34" t="n">
        <v>0</v>
      </c>
      <c r="E41" s="61"/>
      <c r="F41" s="1"/>
      <c r="G41" s="1"/>
      <c r="H41" s="1"/>
      <c r="I41" s="1"/>
      <c r="J41" s="1"/>
      <c r="K41" s="1"/>
      <c r="L41" s="1"/>
      <c r="M41" s="1"/>
      <c r="N41" s="1"/>
      <c r="O41" s="1"/>
      <c r="P41" s="1"/>
      <c r="Q41" s="1"/>
      <c r="R41" s="1"/>
      <c r="S41" s="1"/>
      <c r="T41" s="1"/>
      <c r="U41" s="1"/>
      <c r="V41" s="1"/>
      <c r="W41" s="1"/>
      <c r="X41" s="1"/>
      <c r="Y41" s="1"/>
      <c r="Z41" s="1"/>
    </row>
    <row r="42" customFormat="false" ht="39.75" hidden="false" customHeight="true" outlineLevel="0" collapsed="false">
      <c r="A42" s="60"/>
      <c r="B42" s="54" t="s">
        <v>325</v>
      </c>
      <c r="C42" s="55" t="s">
        <v>326</v>
      </c>
      <c r="D42" s="34" t="n">
        <v>0</v>
      </c>
      <c r="E42" s="61" t="n">
        <f aca="false">+AVERAGE(D42:D46)</f>
        <v>0.6</v>
      </c>
      <c r="F42" s="1"/>
      <c r="G42" s="1"/>
      <c r="H42" s="1"/>
      <c r="I42" s="1"/>
      <c r="J42" s="1"/>
      <c r="K42" s="1"/>
      <c r="L42" s="1"/>
      <c r="M42" s="1"/>
      <c r="N42" s="1"/>
      <c r="O42" s="1"/>
      <c r="P42" s="1"/>
      <c r="Q42" s="1"/>
      <c r="R42" s="1"/>
      <c r="S42" s="1"/>
      <c r="T42" s="1"/>
      <c r="U42" s="1"/>
      <c r="V42" s="1"/>
      <c r="W42" s="1"/>
      <c r="X42" s="1"/>
      <c r="Y42" s="1"/>
      <c r="Z42" s="1"/>
    </row>
    <row r="43" customFormat="false" ht="39.75" hidden="false" customHeight="true" outlineLevel="0" collapsed="false">
      <c r="A43" s="60"/>
      <c r="B43" s="54"/>
      <c r="C43" s="55" t="s">
        <v>327</v>
      </c>
      <c r="D43" s="34" t="n">
        <v>1</v>
      </c>
      <c r="E43" s="61"/>
      <c r="F43" s="1"/>
      <c r="G43" s="1"/>
      <c r="H43" s="1"/>
      <c r="I43" s="1"/>
      <c r="J43" s="1"/>
      <c r="K43" s="1"/>
      <c r="L43" s="1"/>
      <c r="M43" s="1"/>
      <c r="N43" s="1"/>
      <c r="O43" s="1"/>
      <c r="P43" s="1"/>
      <c r="Q43" s="1"/>
      <c r="R43" s="1"/>
      <c r="S43" s="1"/>
      <c r="T43" s="1"/>
      <c r="U43" s="1"/>
      <c r="V43" s="1"/>
      <c r="W43" s="1"/>
      <c r="X43" s="1"/>
      <c r="Y43" s="1"/>
      <c r="Z43" s="1"/>
    </row>
    <row r="44" customFormat="false" ht="39.75" hidden="false" customHeight="true" outlineLevel="0" collapsed="false">
      <c r="A44" s="60"/>
      <c r="B44" s="54"/>
      <c r="C44" s="55" t="s">
        <v>328</v>
      </c>
      <c r="D44" s="34" t="n">
        <v>0</v>
      </c>
      <c r="E44" s="61"/>
      <c r="F44" s="1"/>
      <c r="G44" s="1"/>
      <c r="H44" s="1"/>
      <c r="I44" s="1"/>
      <c r="J44" s="1"/>
      <c r="K44" s="1"/>
      <c r="L44" s="1"/>
      <c r="M44" s="1"/>
      <c r="N44" s="1"/>
      <c r="O44" s="1"/>
      <c r="P44" s="1"/>
      <c r="Q44" s="1"/>
      <c r="R44" s="1"/>
      <c r="S44" s="1"/>
      <c r="T44" s="1"/>
      <c r="U44" s="1"/>
      <c r="V44" s="1"/>
      <c r="W44" s="1"/>
      <c r="X44" s="1"/>
      <c r="Y44" s="1"/>
      <c r="Z44" s="1"/>
    </row>
    <row r="45" customFormat="false" ht="39.75" hidden="false" customHeight="true" outlineLevel="0" collapsed="false">
      <c r="A45" s="60"/>
      <c r="B45" s="54"/>
      <c r="C45" s="55" t="s">
        <v>329</v>
      </c>
      <c r="D45" s="34" t="n">
        <v>1</v>
      </c>
      <c r="E45" s="61"/>
      <c r="F45" s="1"/>
      <c r="G45" s="1"/>
      <c r="H45" s="1"/>
      <c r="I45" s="1"/>
      <c r="J45" s="1"/>
      <c r="K45" s="1"/>
      <c r="L45" s="1"/>
      <c r="M45" s="1"/>
      <c r="N45" s="1"/>
      <c r="O45" s="1"/>
      <c r="P45" s="1"/>
      <c r="Q45" s="1"/>
      <c r="R45" s="1"/>
      <c r="S45" s="1"/>
      <c r="T45" s="1"/>
      <c r="U45" s="1"/>
      <c r="V45" s="1"/>
      <c r="W45" s="1"/>
      <c r="X45" s="1"/>
      <c r="Y45" s="1"/>
      <c r="Z45" s="1"/>
    </row>
    <row r="46" customFormat="false" ht="39.75" hidden="false" customHeight="true" outlineLevel="0" collapsed="false">
      <c r="A46" s="60"/>
      <c r="B46" s="54"/>
      <c r="C46" s="55" t="s">
        <v>330</v>
      </c>
      <c r="D46" s="34" t="n">
        <v>1</v>
      </c>
      <c r="E46" s="61"/>
      <c r="F46" s="1"/>
      <c r="G46" s="1"/>
      <c r="H46" s="1"/>
      <c r="I46" s="1"/>
      <c r="J46" s="1"/>
      <c r="K46" s="1"/>
      <c r="L46" s="1"/>
      <c r="M46" s="1"/>
      <c r="N46" s="1"/>
      <c r="O46" s="1"/>
      <c r="P46" s="1"/>
      <c r="Q46" s="1"/>
      <c r="R46" s="1"/>
      <c r="S46" s="1"/>
      <c r="T46" s="1"/>
      <c r="U46" s="1"/>
      <c r="V46" s="1"/>
      <c r="W46" s="1"/>
      <c r="X46" s="1"/>
      <c r="Y46" s="1"/>
      <c r="Z46" s="1"/>
    </row>
    <row r="47" customFormat="false" ht="39.75" hidden="false" customHeight="true" outlineLevel="0" collapsed="false">
      <c r="A47" s="60"/>
      <c r="B47" s="54" t="s">
        <v>331</v>
      </c>
      <c r="C47" s="55" t="s">
        <v>332</v>
      </c>
      <c r="D47" s="34" t="n">
        <v>1</v>
      </c>
      <c r="E47" s="61" t="n">
        <f aca="false">+AVERAGE(D47:D54)</f>
        <v>0.75</v>
      </c>
      <c r="F47" s="1"/>
      <c r="G47" s="1"/>
      <c r="H47" s="1"/>
      <c r="I47" s="1"/>
      <c r="J47" s="1"/>
      <c r="K47" s="1"/>
      <c r="L47" s="1"/>
      <c r="M47" s="1"/>
      <c r="N47" s="1"/>
      <c r="O47" s="1"/>
      <c r="P47" s="1"/>
      <c r="Q47" s="1"/>
      <c r="R47" s="1"/>
      <c r="S47" s="1"/>
      <c r="T47" s="1"/>
      <c r="U47" s="1"/>
      <c r="V47" s="1"/>
      <c r="W47" s="1"/>
      <c r="X47" s="1"/>
      <c r="Y47" s="1"/>
      <c r="Z47" s="1"/>
    </row>
    <row r="48" customFormat="false" ht="39.75" hidden="false" customHeight="true" outlineLevel="0" collapsed="false">
      <c r="A48" s="60"/>
      <c r="B48" s="54"/>
      <c r="C48" s="55" t="s">
        <v>333</v>
      </c>
      <c r="D48" s="34" t="n">
        <v>1</v>
      </c>
      <c r="E48" s="61"/>
      <c r="F48" s="1"/>
      <c r="G48" s="1"/>
      <c r="H48" s="1"/>
      <c r="I48" s="1"/>
      <c r="J48" s="1"/>
      <c r="K48" s="1"/>
      <c r="L48" s="1"/>
      <c r="M48" s="1"/>
      <c r="N48" s="1"/>
      <c r="O48" s="1"/>
      <c r="P48" s="1"/>
      <c r="Q48" s="1"/>
      <c r="R48" s="1"/>
      <c r="S48" s="1"/>
      <c r="T48" s="1"/>
      <c r="U48" s="1"/>
      <c r="V48" s="1"/>
      <c r="W48" s="1"/>
      <c r="X48" s="1"/>
      <c r="Y48" s="1"/>
      <c r="Z48" s="1"/>
    </row>
    <row r="49" customFormat="false" ht="39.75" hidden="false" customHeight="true" outlineLevel="0" collapsed="false">
      <c r="A49" s="60"/>
      <c r="B49" s="54"/>
      <c r="C49" s="55" t="s">
        <v>334</v>
      </c>
      <c r="D49" s="34" t="n">
        <v>0</v>
      </c>
      <c r="E49" s="61"/>
      <c r="F49" s="1"/>
      <c r="G49" s="1"/>
      <c r="H49" s="1"/>
      <c r="I49" s="1"/>
      <c r="J49" s="1"/>
      <c r="K49" s="1"/>
      <c r="L49" s="1"/>
      <c r="M49" s="1"/>
      <c r="N49" s="1"/>
      <c r="O49" s="1"/>
      <c r="P49" s="1"/>
      <c r="Q49" s="1"/>
      <c r="R49" s="1"/>
      <c r="S49" s="1"/>
      <c r="T49" s="1"/>
      <c r="U49" s="1"/>
      <c r="V49" s="1"/>
      <c r="W49" s="1"/>
      <c r="X49" s="1"/>
      <c r="Y49" s="1"/>
      <c r="Z49" s="1"/>
    </row>
    <row r="50" customFormat="false" ht="39.75" hidden="false" customHeight="true" outlineLevel="0" collapsed="false">
      <c r="A50" s="60"/>
      <c r="B50" s="54"/>
      <c r="C50" s="55" t="s">
        <v>335</v>
      </c>
      <c r="D50" s="34" t="n">
        <v>1</v>
      </c>
      <c r="E50" s="61"/>
      <c r="F50" s="1"/>
      <c r="G50" s="1"/>
      <c r="H50" s="1"/>
      <c r="I50" s="1"/>
      <c r="J50" s="1"/>
      <c r="K50" s="1"/>
      <c r="L50" s="1"/>
      <c r="M50" s="1"/>
      <c r="N50" s="1"/>
      <c r="O50" s="1"/>
      <c r="P50" s="1"/>
      <c r="Q50" s="1"/>
      <c r="R50" s="1"/>
      <c r="S50" s="1"/>
      <c r="T50" s="1"/>
      <c r="U50" s="1"/>
      <c r="V50" s="1"/>
      <c r="W50" s="1"/>
      <c r="X50" s="1"/>
      <c r="Y50" s="1"/>
      <c r="Z50" s="1"/>
    </row>
    <row r="51" customFormat="false" ht="39.75" hidden="false" customHeight="true" outlineLevel="0" collapsed="false">
      <c r="A51" s="60"/>
      <c r="B51" s="54"/>
      <c r="C51" s="55" t="s">
        <v>336</v>
      </c>
      <c r="D51" s="34" t="n">
        <v>0</v>
      </c>
      <c r="E51" s="61"/>
      <c r="F51" s="1"/>
      <c r="G51" s="1"/>
      <c r="H51" s="1"/>
      <c r="I51" s="1"/>
      <c r="J51" s="1"/>
      <c r="K51" s="1"/>
      <c r="L51" s="1"/>
      <c r="M51" s="1"/>
      <c r="N51" s="1"/>
      <c r="O51" s="1"/>
      <c r="P51" s="1"/>
      <c r="Q51" s="1"/>
      <c r="R51" s="1"/>
      <c r="S51" s="1"/>
      <c r="T51" s="1"/>
      <c r="U51" s="1"/>
      <c r="V51" s="1"/>
      <c r="W51" s="1"/>
      <c r="X51" s="1"/>
      <c r="Y51" s="1"/>
      <c r="Z51" s="1"/>
    </row>
    <row r="52" customFormat="false" ht="39.75" hidden="false" customHeight="true" outlineLevel="0" collapsed="false">
      <c r="A52" s="60"/>
      <c r="B52" s="54"/>
      <c r="C52" s="55" t="s">
        <v>337</v>
      </c>
      <c r="D52" s="34" t="n">
        <v>1</v>
      </c>
      <c r="E52" s="61"/>
      <c r="F52" s="1"/>
      <c r="G52" s="1"/>
      <c r="H52" s="1"/>
      <c r="I52" s="1"/>
      <c r="J52" s="1"/>
      <c r="K52" s="1"/>
      <c r="L52" s="1"/>
      <c r="M52" s="1"/>
      <c r="N52" s="1"/>
      <c r="O52" s="1"/>
      <c r="P52" s="1"/>
      <c r="Q52" s="1"/>
      <c r="R52" s="1"/>
      <c r="S52" s="1"/>
      <c r="T52" s="1"/>
      <c r="U52" s="1"/>
      <c r="V52" s="1"/>
      <c r="W52" s="1"/>
      <c r="X52" s="1"/>
      <c r="Y52" s="1"/>
      <c r="Z52" s="1"/>
    </row>
    <row r="53" customFormat="false" ht="39.75" hidden="false" customHeight="true" outlineLevel="0" collapsed="false">
      <c r="A53" s="60"/>
      <c r="B53" s="54"/>
      <c r="C53" s="55" t="s">
        <v>338</v>
      </c>
      <c r="D53" s="34" t="n">
        <v>1</v>
      </c>
      <c r="E53" s="61"/>
      <c r="F53" s="1"/>
      <c r="G53" s="1"/>
      <c r="H53" s="1"/>
      <c r="I53" s="1"/>
      <c r="J53" s="1"/>
      <c r="K53" s="1"/>
      <c r="L53" s="1"/>
      <c r="M53" s="1"/>
      <c r="N53" s="1"/>
      <c r="O53" s="1"/>
      <c r="P53" s="1"/>
      <c r="Q53" s="1"/>
      <c r="R53" s="1"/>
      <c r="S53" s="1"/>
      <c r="T53" s="1"/>
      <c r="U53" s="1"/>
      <c r="V53" s="1"/>
      <c r="W53" s="1"/>
      <c r="X53" s="1"/>
      <c r="Y53" s="1"/>
      <c r="Z53" s="1"/>
    </row>
    <row r="54" customFormat="false" ht="39.75" hidden="false" customHeight="true" outlineLevel="0" collapsed="false">
      <c r="A54" s="60"/>
      <c r="B54" s="54"/>
      <c r="C54" s="55" t="s">
        <v>339</v>
      </c>
      <c r="D54" s="34" t="n">
        <v>1</v>
      </c>
      <c r="E54" s="61"/>
      <c r="F54" s="1"/>
      <c r="G54" s="1"/>
      <c r="H54" s="1"/>
      <c r="I54" s="1"/>
      <c r="J54" s="1"/>
      <c r="K54" s="1"/>
      <c r="L54" s="1"/>
      <c r="M54" s="1"/>
      <c r="N54" s="1"/>
      <c r="O54" s="1"/>
      <c r="P54" s="1"/>
      <c r="Q54" s="1"/>
      <c r="R54" s="1"/>
      <c r="S54" s="1"/>
      <c r="T54" s="1"/>
      <c r="U54" s="1"/>
      <c r="V54" s="1"/>
      <c r="W54" s="1"/>
      <c r="X54" s="1"/>
      <c r="Y54" s="1"/>
      <c r="Z54" s="1"/>
    </row>
    <row r="55" customFormat="false" ht="39.75" hidden="false" customHeight="true" outlineLevel="0" collapsed="false">
      <c r="A55" s="60"/>
      <c r="B55" s="54" t="s">
        <v>340</v>
      </c>
      <c r="C55" s="55" t="s">
        <v>341</v>
      </c>
      <c r="D55" s="34" t="n">
        <v>0</v>
      </c>
      <c r="E55" s="61" t="n">
        <f aca="false">+AVERAGE(D55:D66)</f>
        <v>0.5833333333</v>
      </c>
      <c r="F55" s="1"/>
      <c r="G55" s="1"/>
      <c r="H55" s="1"/>
      <c r="I55" s="1"/>
      <c r="J55" s="1"/>
      <c r="K55" s="1"/>
      <c r="L55" s="1"/>
      <c r="M55" s="1"/>
      <c r="N55" s="1"/>
      <c r="O55" s="1"/>
      <c r="P55" s="1"/>
      <c r="Q55" s="1"/>
      <c r="R55" s="1"/>
      <c r="S55" s="1"/>
      <c r="T55" s="1"/>
      <c r="U55" s="1"/>
      <c r="V55" s="1"/>
      <c r="W55" s="1"/>
      <c r="X55" s="1"/>
      <c r="Y55" s="1"/>
      <c r="Z55" s="1"/>
    </row>
    <row r="56" customFormat="false" ht="39.75" hidden="false" customHeight="true" outlineLevel="0" collapsed="false">
      <c r="A56" s="60"/>
      <c r="B56" s="54"/>
      <c r="C56" s="55" t="s">
        <v>342</v>
      </c>
      <c r="D56" s="34" t="n">
        <v>1</v>
      </c>
      <c r="E56" s="61"/>
      <c r="F56" s="1"/>
      <c r="G56" s="1"/>
      <c r="H56" s="1"/>
      <c r="I56" s="1"/>
      <c r="J56" s="1"/>
      <c r="K56" s="1"/>
      <c r="L56" s="1"/>
      <c r="M56" s="1"/>
      <c r="N56" s="1"/>
      <c r="O56" s="1"/>
      <c r="P56" s="1"/>
      <c r="Q56" s="1"/>
      <c r="R56" s="1"/>
      <c r="S56" s="1"/>
      <c r="T56" s="1"/>
      <c r="U56" s="1"/>
      <c r="V56" s="1"/>
      <c r="W56" s="1"/>
      <c r="X56" s="1"/>
      <c r="Y56" s="1"/>
      <c r="Z56" s="1"/>
    </row>
    <row r="57" customFormat="false" ht="39.75" hidden="false" customHeight="true" outlineLevel="0" collapsed="false">
      <c r="A57" s="60"/>
      <c r="B57" s="54"/>
      <c r="C57" s="55" t="s">
        <v>343</v>
      </c>
      <c r="D57" s="34" t="n">
        <v>0</v>
      </c>
      <c r="E57" s="61"/>
      <c r="F57" s="1"/>
      <c r="G57" s="1"/>
      <c r="H57" s="1"/>
      <c r="I57" s="1"/>
      <c r="J57" s="1"/>
      <c r="K57" s="1"/>
      <c r="L57" s="1"/>
      <c r="M57" s="1"/>
      <c r="N57" s="1"/>
      <c r="O57" s="1"/>
      <c r="P57" s="1"/>
      <c r="Q57" s="1"/>
      <c r="R57" s="1"/>
      <c r="S57" s="1"/>
      <c r="T57" s="1"/>
      <c r="U57" s="1"/>
      <c r="V57" s="1"/>
      <c r="W57" s="1"/>
      <c r="X57" s="1"/>
      <c r="Y57" s="1"/>
      <c r="Z57" s="1"/>
    </row>
    <row r="58" customFormat="false" ht="39.75" hidden="false" customHeight="true" outlineLevel="0" collapsed="false">
      <c r="A58" s="60"/>
      <c r="B58" s="54"/>
      <c r="C58" s="55" t="s">
        <v>344</v>
      </c>
      <c r="D58" s="34" t="n">
        <v>1</v>
      </c>
      <c r="E58" s="61"/>
      <c r="F58" s="1"/>
      <c r="G58" s="1"/>
      <c r="H58" s="1"/>
      <c r="I58" s="1"/>
      <c r="J58" s="1"/>
      <c r="K58" s="1"/>
      <c r="L58" s="1"/>
      <c r="M58" s="1"/>
      <c r="N58" s="1"/>
      <c r="O58" s="1"/>
      <c r="P58" s="1"/>
      <c r="Q58" s="1"/>
      <c r="R58" s="1"/>
      <c r="S58" s="1"/>
      <c r="T58" s="1"/>
      <c r="U58" s="1"/>
      <c r="V58" s="1"/>
      <c r="W58" s="1"/>
      <c r="X58" s="1"/>
      <c r="Y58" s="1"/>
      <c r="Z58" s="1"/>
    </row>
    <row r="59" customFormat="false" ht="39.75" hidden="false" customHeight="true" outlineLevel="0" collapsed="false">
      <c r="A59" s="60"/>
      <c r="B59" s="54"/>
      <c r="C59" s="55" t="s">
        <v>345</v>
      </c>
      <c r="D59" s="34" t="n">
        <v>0</v>
      </c>
      <c r="E59" s="61"/>
      <c r="F59" s="1"/>
      <c r="G59" s="1"/>
      <c r="H59" s="1"/>
      <c r="I59" s="1"/>
      <c r="J59" s="1"/>
      <c r="K59" s="1"/>
      <c r="L59" s="1"/>
      <c r="M59" s="1"/>
      <c r="N59" s="1"/>
      <c r="O59" s="1"/>
      <c r="P59" s="1"/>
      <c r="Q59" s="1"/>
      <c r="R59" s="1"/>
      <c r="S59" s="1"/>
      <c r="T59" s="1"/>
      <c r="U59" s="1"/>
      <c r="V59" s="1"/>
      <c r="W59" s="1"/>
      <c r="X59" s="1"/>
      <c r="Y59" s="1"/>
      <c r="Z59" s="1"/>
    </row>
    <row r="60" customFormat="false" ht="39.75" hidden="false" customHeight="true" outlineLevel="0" collapsed="false">
      <c r="A60" s="60"/>
      <c r="B60" s="54"/>
      <c r="C60" s="55" t="s">
        <v>346</v>
      </c>
      <c r="D60" s="34" t="n">
        <v>1</v>
      </c>
      <c r="E60" s="61"/>
      <c r="F60" s="1"/>
      <c r="G60" s="1"/>
      <c r="H60" s="1"/>
      <c r="I60" s="1"/>
      <c r="J60" s="1"/>
      <c r="K60" s="1"/>
      <c r="L60" s="1"/>
      <c r="M60" s="1"/>
      <c r="N60" s="1"/>
      <c r="O60" s="1"/>
      <c r="P60" s="1"/>
      <c r="Q60" s="1"/>
      <c r="R60" s="1"/>
      <c r="S60" s="1"/>
      <c r="T60" s="1"/>
      <c r="U60" s="1"/>
      <c r="V60" s="1"/>
      <c r="W60" s="1"/>
      <c r="X60" s="1"/>
      <c r="Y60" s="1"/>
      <c r="Z60" s="1"/>
    </row>
    <row r="61" customFormat="false" ht="39.75" hidden="false" customHeight="true" outlineLevel="0" collapsed="false">
      <c r="A61" s="60"/>
      <c r="B61" s="54"/>
      <c r="C61" s="55" t="s">
        <v>347</v>
      </c>
      <c r="D61" s="34" t="n">
        <v>0</v>
      </c>
      <c r="E61" s="61"/>
      <c r="F61" s="1"/>
      <c r="G61" s="1"/>
      <c r="H61" s="1"/>
      <c r="I61" s="1"/>
      <c r="J61" s="1"/>
      <c r="K61" s="1"/>
      <c r="L61" s="1"/>
      <c r="M61" s="1"/>
      <c r="N61" s="1"/>
      <c r="O61" s="1"/>
      <c r="P61" s="1"/>
      <c r="Q61" s="1"/>
      <c r="R61" s="1"/>
      <c r="S61" s="1"/>
      <c r="T61" s="1"/>
      <c r="U61" s="1"/>
      <c r="V61" s="1"/>
      <c r="W61" s="1"/>
      <c r="X61" s="1"/>
      <c r="Y61" s="1"/>
      <c r="Z61" s="1"/>
    </row>
    <row r="62" customFormat="false" ht="39.75" hidden="false" customHeight="true" outlineLevel="0" collapsed="false">
      <c r="A62" s="60"/>
      <c r="B62" s="54"/>
      <c r="C62" s="55" t="s">
        <v>348</v>
      </c>
      <c r="D62" s="34" t="n">
        <v>1</v>
      </c>
      <c r="E62" s="61"/>
      <c r="F62" s="1"/>
      <c r="G62" s="1"/>
      <c r="H62" s="1"/>
      <c r="I62" s="1"/>
      <c r="J62" s="1"/>
      <c r="K62" s="1"/>
      <c r="L62" s="1"/>
      <c r="M62" s="1"/>
      <c r="N62" s="1"/>
      <c r="O62" s="1"/>
      <c r="P62" s="1"/>
      <c r="Q62" s="1"/>
      <c r="R62" s="1"/>
      <c r="S62" s="1"/>
      <c r="T62" s="1"/>
      <c r="U62" s="1"/>
      <c r="V62" s="1"/>
      <c r="W62" s="1"/>
      <c r="X62" s="1"/>
      <c r="Y62" s="1"/>
      <c r="Z62" s="1"/>
    </row>
    <row r="63" customFormat="false" ht="39.75" hidden="false" customHeight="true" outlineLevel="0" collapsed="false">
      <c r="A63" s="60"/>
      <c r="B63" s="54"/>
      <c r="C63" s="55" t="s">
        <v>349</v>
      </c>
      <c r="D63" s="34" t="n">
        <v>1</v>
      </c>
      <c r="E63" s="61"/>
      <c r="F63" s="1"/>
      <c r="G63" s="1"/>
      <c r="H63" s="1"/>
      <c r="I63" s="1"/>
      <c r="J63" s="1"/>
      <c r="K63" s="1"/>
      <c r="L63" s="1"/>
      <c r="M63" s="1"/>
      <c r="N63" s="1"/>
      <c r="O63" s="1"/>
      <c r="P63" s="1"/>
      <c r="Q63" s="1"/>
      <c r="R63" s="1"/>
      <c r="S63" s="1"/>
      <c r="T63" s="1"/>
      <c r="U63" s="1"/>
      <c r="V63" s="1"/>
      <c r="W63" s="1"/>
      <c r="X63" s="1"/>
      <c r="Y63" s="1"/>
      <c r="Z63" s="1"/>
    </row>
    <row r="64" customFormat="false" ht="39.75" hidden="false" customHeight="true" outlineLevel="0" collapsed="false">
      <c r="A64" s="60"/>
      <c r="B64" s="54"/>
      <c r="C64" s="55" t="s">
        <v>350</v>
      </c>
      <c r="D64" s="34" t="n">
        <v>1</v>
      </c>
      <c r="E64" s="61"/>
      <c r="F64" s="1"/>
      <c r="G64" s="1"/>
      <c r="H64" s="1"/>
      <c r="I64" s="1"/>
      <c r="J64" s="1"/>
      <c r="K64" s="1"/>
      <c r="L64" s="1"/>
      <c r="M64" s="1"/>
      <c r="N64" s="1"/>
      <c r="O64" s="1"/>
      <c r="P64" s="1"/>
      <c r="Q64" s="1"/>
      <c r="R64" s="1"/>
      <c r="S64" s="1"/>
      <c r="T64" s="1"/>
      <c r="U64" s="1"/>
      <c r="V64" s="1"/>
      <c r="W64" s="1"/>
      <c r="X64" s="1"/>
      <c r="Y64" s="1"/>
      <c r="Z64" s="1"/>
    </row>
    <row r="65" customFormat="false" ht="39.75" hidden="false" customHeight="true" outlineLevel="0" collapsed="false">
      <c r="A65" s="60"/>
      <c r="B65" s="54"/>
      <c r="C65" s="55" t="s">
        <v>351</v>
      </c>
      <c r="D65" s="34" t="n">
        <v>0</v>
      </c>
      <c r="E65" s="61"/>
      <c r="F65" s="1"/>
      <c r="G65" s="1"/>
      <c r="H65" s="1"/>
      <c r="I65" s="1"/>
      <c r="J65" s="1"/>
      <c r="K65" s="1"/>
      <c r="L65" s="1"/>
      <c r="M65" s="1"/>
      <c r="N65" s="1"/>
      <c r="O65" s="1"/>
      <c r="P65" s="1"/>
      <c r="Q65" s="1"/>
      <c r="R65" s="1"/>
      <c r="S65" s="1"/>
      <c r="T65" s="1"/>
      <c r="U65" s="1"/>
      <c r="V65" s="1"/>
      <c r="W65" s="1"/>
      <c r="X65" s="1"/>
      <c r="Y65" s="1"/>
      <c r="Z65" s="1"/>
    </row>
    <row r="66" customFormat="false" ht="39.75" hidden="false" customHeight="true" outlineLevel="0" collapsed="false">
      <c r="A66" s="60"/>
      <c r="B66" s="54"/>
      <c r="C66" s="55" t="s">
        <v>352</v>
      </c>
      <c r="D66" s="34" t="n">
        <v>1</v>
      </c>
      <c r="E66" s="61"/>
      <c r="F66" s="1"/>
      <c r="G66" s="1"/>
      <c r="H66" s="1"/>
      <c r="I66" s="1"/>
      <c r="J66" s="1"/>
      <c r="K66" s="1"/>
      <c r="L66" s="1"/>
      <c r="M66" s="1"/>
      <c r="N66" s="1"/>
      <c r="O66" s="1"/>
      <c r="P66" s="1"/>
      <c r="Q66" s="1"/>
      <c r="R66" s="1"/>
      <c r="S66" s="1"/>
      <c r="T66" s="1"/>
      <c r="U66" s="1"/>
      <c r="V66" s="1"/>
      <c r="W66" s="1"/>
      <c r="X66" s="1"/>
      <c r="Y66" s="1"/>
      <c r="Z66" s="1"/>
    </row>
    <row r="67" customFormat="false" ht="39.75" hidden="false" customHeight="true" outlineLevel="0" collapsed="false">
      <c r="A67" s="60"/>
      <c r="B67" s="54" t="s">
        <v>353</v>
      </c>
      <c r="C67" s="55" t="s">
        <v>354</v>
      </c>
      <c r="D67" s="34" t="n">
        <v>1</v>
      </c>
      <c r="E67" s="61" t="n">
        <f aca="false">+AVERAGE(D67:D68)</f>
        <v>0.5</v>
      </c>
      <c r="F67" s="1"/>
      <c r="G67" s="1"/>
      <c r="H67" s="1"/>
      <c r="I67" s="1"/>
      <c r="J67" s="1"/>
      <c r="K67" s="1"/>
      <c r="L67" s="1"/>
      <c r="M67" s="1"/>
      <c r="N67" s="1"/>
      <c r="O67" s="1"/>
      <c r="P67" s="1"/>
      <c r="Q67" s="1"/>
      <c r="R67" s="1"/>
      <c r="S67" s="1"/>
      <c r="T67" s="1"/>
      <c r="U67" s="1"/>
      <c r="V67" s="1"/>
      <c r="W67" s="1"/>
      <c r="X67" s="1"/>
      <c r="Y67" s="1"/>
      <c r="Z67" s="1"/>
    </row>
    <row r="68" customFormat="false" ht="39.75" hidden="false" customHeight="true" outlineLevel="0" collapsed="false">
      <c r="A68" s="60"/>
      <c r="B68" s="54"/>
      <c r="C68" s="55" t="s">
        <v>355</v>
      </c>
      <c r="D68" s="34" t="n">
        <v>0</v>
      </c>
      <c r="E68" s="61"/>
      <c r="F68" s="1"/>
      <c r="G68" s="1"/>
      <c r="H68" s="1"/>
      <c r="I68" s="1"/>
      <c r="J68" s="1"/>
      <c r="K68" s="1"/>
      <c r="L68" s="1"/>
      <c r="M68" s="1"/>
      <c r="N68" s="1"/>
      <c r="O68" s="1"/>
      <c r="P68" s="1"/>
      <c r="Q68" s="1"/>
      <c r="R68" s="1"/>
      <c r="S68" s="1"/>
      <c r="T68" s="1"/>
      <c r="U68" s="1"/>
      <c r="V68" s="1"/>
      <c r="W68" s="1"/>
      <c r="X68" s="1"/>
      <c r="Y68" s="1"/>
      <c r="Z68" s="1"/>
    </row>
    <row r="69" customFormat="false" ht="39.75" hidden="false" customHeight="true" outlineLevel="0" collapsed="false">
      <c r="A69" s="60"/>
      <c r="B69" s="54" t="s">
        <v>356</v>
      </c>
      <c r="C69" s="55" t="s">
        <v>357</v>
      </c>
      <c r="D69" s="34" t="n">
        <v>0</v>
      </c>
      <c r="E69" s="61" t="n">
        <f aca="false">+AVERAGE(D69:D73)</f>
        <v>0.8</v>
      </c>
      <c r="F69" s="1"/>
      <c r="G69" s="1"/>
      <c r="H69" s="1"/>
      <c r="I69" s="1"/>
      <c r="J69" s="1"/>
      <c r="K69" s="1"/>
      <c r="L69" s="1"/>
      <c r="M69" s="1"/>
      <c r="N69" s="1"/>
      <c r="O69" s="1"/>
      <c r="P69" s="1"/>
      <c r="Q69" s="1"/>
      <c r="R69" s="1"/>
      <c r="S69" s="1"/>
      <c r="T69" s="1"/>
      <c r="U69" s="1"/>
      <c r="V69" s="1"/>
      <c r="W69" s="1"/>
      <c r="X69" s="1"/>
      <c r="Y69" s="1"/>
      <c r="Z69" s="1"/>
    </row>
    <row r="70" customFormat="false" ht="39.75" hidden="false" customHeight="true" outlineLevel="0" collapsed="false">
      <c r="A70" s="60"/>
      <c r="B70" s="54"/>
      <c r="C70" s="55" t="s">
        <v>358</v>
      </c>
      <c r="D70" s="34" t="n">
        <v>1</v>
      </c>
      <c r="E70" s="61"/>
      <c r="F70" s="1"/>
      <c r="G70" s="1"/>
      <c r="H70" s="1"/>
      <c r="I70" s="1"/>
      <c r="J70" s="1"/>
      <c r="K70" s="1"/>
      <c r="L70" s="1"/>
      <c r="M70" s="1"/>
      <c r="N70" s="1"/>
      <c r="O70" s="1"/>
      <c r="P70" s="1"/>
      <c r="Q70" s="1"/>
      <c r="R70" s="1"/>
      <c r="S70" s="1"/>
      <c r="T70" s="1"/>
      <c r="U70" s="1"/>
      <c r="V70" s="1"/>
      <c r="W70" s="1"/>
      <c r="X70" s="1"/>
      <c r="Y70" s="1"/>
      <c r="Z70" s="1"/>
    </row>
    <row r="71" customFormat="false" ht="39.75" hidden="false" customHeight="true" outlineLevel="0" collapsed="false">
      <c r="A71" s="60"/>
      <c r="B71" s="54"/>
      <c r="C71" s="55" t="s">
        <v>359</v>
      </c>
      <c r="D71" s="34" t="n">
        <v>1</v>
      </c>
      <c r="E71" s="61"/>
      <c r="F71" s="1"/>
      <c r="G71" s="1"/>
      <c r="H71" s="1"/>
      <c r="I71" s="1"/>
      <c r="J71" s="1"/>
      <c r="K71" s="1"/>
      <c r="L71" s="1"/>
      <c r="M71" s="1"/>
      <c r="N71" s="1"/>
      <c r="O71" s="1"/>
      <c r="P71" s="1"/>
      <c r="Q71" s="1"/>
      <c r="R71" s="1"/>
      <c r="S71" s="1"/>
      <c r="T71" s="1"/>
      <c r="U71" s="1"/>
      <c r="V71" s="1"/>
      <c r="W71" s="1"/>
      <c r="X71" s="1"/>
      <c r="Y71" s="1"/>
      <c r="Z71" s="1"/>
    </row>
    <row r="72" customFormat="false" ht="39.75" hidden="false" customHeight="true" outlineLevel="0" collapsed="false">
      <c r="A72" s="60"/>
      <c r="B72" s="54"/>
      <c r="C72" s="55" t="s">
        <v>360</v>
      </c>
      <c r="D72" s="34" t="n">
        <v>1</v>
      </c>
      <c r="E72" s="61"/>
      <c r="F72" s="1"/>
      <c r="G72" s="1"/>
      <c r="H72" s="1"/>
      <c r="I72" s="1"/>
      <c r="J72" s="1"/>
      <c r="K72" s="1"/>
      <c r="L72" s="1"/>
      <c r="M72" s="1"/>
      <c r="N72" s="1"/>
      <c r="O72" s="1"/>
      <c r="P72" s="1"/>
      <c r="Q72" s="1"/>
      <c r="R72" s="1"/>
      <c r="S72" s="1"/>
      <c r="T72" s="1"/>
      <c r="U72" s="1"/>
      <c r="V72" s="1"/>
      <c r="W72" s="1"/>
      <c r="X72" s="1"/>
      <c r="Y72" s="1"/>
      <c r="Z72" s="1"/>
    </row>
    <row r="73" customFormat="false" ht="39.75" hidden="false" customHeight="true" outlineLevel="0" collapsed="false">
      <c r="A73" s="60"/>
      <c r="B73" s="54"/>
      <c r="C73" s="55" t="s">
        <v>361</v>
      </c>
      <c r="D73" s="34" t="n">
        <v>1</v>
      </c>
      <c r="E73" s="61"/>
      <c r="F73" s="1"/>
      <c r="G73" s="1"/>
      <c r="H73" s="1"/>
      <c r="I73" s="1"/>
      <c r="J73" s="1"/>
      <c r="K73" s="1"/>
      <c r="L73" s="1"/>
      <c r="M73" s="1"/>
      <c r="N73" s="1"/>
      <c r="O73" s="1"/>
      <c r="P73" s="1"/>
      <c r="Q73" s="1"/>
      <c r="R73" s="1"/>
      <c r="S73" s="1"/>
      <c r="T73" s="1"/>
      <c r="U73" s="1"/>
      <c r="V73" s="1"/>
      <c r="W73" s="1"/>
      <c r="X73" s="1"/>
      <c r="Y73" s="1"/>
      <c r="Z73" s="1"/>
    </row>
    <row r="74" customFormat="false" ht="39.75" hidden="false" customHeight="true" outlineLevel="0" collapsed="false">
      <c r="A74" s="59"/>
      <c r="B74" s="59"/>
      <c r="C74" s="59"/>
      <c r="D74" s="59"/>
      <c r="E74" s="59"/>
      <c r="F74" s="1"/>
      <c r="G74" s="1"/>
      <c r="H74" s="1"/>
      <c r="I74" s="1"/>
      <c r="J74" s="1"/>
      <c r="K74" s="1"/>
      <c r="L74" s="1"/>
      <c r="M74" s="1"/>
      <c r="N74" s="1"/>
      <c r="O74" s="1"/>
      <c r="P74" s="1"/>
      <c r="Q74" s="1"/>
      <c r="R74" s="1"/>
      <c r="S74" s="1"/>
      <c r="T74" s="1"/>
      <c r="U74" s="1"/>
      <c r="V74" s="1"/>
      <c r="W74" s="1"/>
      <c r="X74" s="1"/>
      <c r="Y74" s="1"/>
      <c r="Z74" s="1"/>
    </row>
    <row r="75" customFormat="false" ht="39.75" hidden="false" customHeight="true" outlineLevel="0" collapsed="false">
      <c r="A75" s="62" t="s">
        <v>5</v>
      </c>
      <c r="B75" s="54" t="s">
        <v>362</v>
      </c>
      <c r="C75" s="55" t="s">
        <v>363</v>
      </c>
      <c r="D75" s="34" t="n">
        <v>1</v>
      </c>
      <c r="E75" s="63" t="n">
        <f aca="false">+AVERAGE(D75:D79)</f>
        <v>1</v>
      </c>
      <c r="F75" s="1"/>
      <c r="G75" s="1"/>
      <c r="H75" s="1"/>
      <c r="I75" s="1"/>
      <c r="J75" s="1"/>
      <c r="K75" s="1"/>
      <c r="L75" s="1"/>
      <c r="M75" s="1"/>
      <c r="N75" s="1"/>
      <c r="O75" s="1"/>
      <c r="P75" s="1"/>
      <c r="Q75" s="1"/>
      <c r="R75" s="1"/>
      <c r="S75" s="1"/>
      <c r="T75" s="1"/>
      <c r="U75" s="1"/>
      <c r="V75" s="1"/>
      <c r="W75" s="1"/>
      <c r="X75" s="1"/>
      <c r="Y75" s="1"/>
      <c r="Z75" s="1"/>
    </row>
    <row r="76" customFormat="false" ht="39.75" hidden="false" customHeight="true" outlineLevel="0" collapsed="false">
      <c r="A76" s="62"/>
      <c r="B76" s="54"/>
      <c r="C76" s="55" t="s">
        <v>364</v>
      </c>
      <c r="D76" s="34" t="n">
        <v>1</v>
      </c>
      <c r="E76" s="63"/>
      <c r="F76" s="1"/>
      <c r="G76" s="1"/>
      <c r="H76" s="1"/>
      <c r="I76" s="1"/>
      <c r="J76" s="1"/>
      <c r="K76" s="1"/>
      <c r="L76" s="1"/>
      <c r="M76" s="1"/>
      <c r="N76" s="1"/>
      <c r="O76" s="1"/>
      <c r="P76" s="1"/>
      <c r="Q76" s="1"/>
      <c r="R76" s="1"/>
      <c r="S76" s="1"/>
      <c r="T76" s="1"/>
      <c r="U76" s="1"/>
      <c r="V76" s="1"/>
      <c r="W76" s="1"/>
      <c r="X76" s="1"/>
      <c r="Y76" s="1"/>
      <c r="Z76" s="1"/>
    </row>
    <row r="77" customFormat="false" ht="39.75" hidden="false" customHeight="true" outlineLevel="0" collapsed="false">
      <c r="A77" s="62"/>
      <c r="B77" s="54"/>
      <c r="C77" s="55" t="s">
        <v>365</v>
      </c>
      <c r="D77" s="34" t="n">
        <v>1</v>
      </c>
      <c r="E77" s="63"/>
      <c r="F77" s="1"/>
      <c r="G77" s="1"/>
      <c r="H77" s="1"/>
      <c r="I77" s="1"/>
      <c r="J77" s="1"/>
      <c r="K77" s="1"/>
      <c r="L77" s="1"/>
      <c r="M77" s="1"/>
      <c r="N77" s="1"/>
      <c r="O77" s="1"/>
      <c r="P77" s="1"/>
      <c r="Q77" s="1"/>
      <c r="R77" s="1"/>
      <c r="S77" s="1"/>
      <c r="T77" s="1"/>
      <c r="U77" s="1"/>
      <c r="V77" s="1"/>
      <c r="W77" s="1"/>
      <c r="X77" s="1"/>
      <c r="Y77" s="1"/>
      <c r="Z77" s="1"/>
    </row>
    <row r="78" customFormat="false" ht="39.75" hidden="false" customHeight="true" outlineLevel="0" collapsed="false">
      <c r="A78" s="62"/>
      <c r="B78" s="54"/>
      <c r="C78" s="55" t="s">
        <v>366</v>
      </c>
      <c r="D78" s="34" t="n">
        <v>1</v>
      </c>
      <c r="E78" s="63"/>
      <c r="F78" s="1"/>
      <c r="G78" s="1"/>
      <c r="H78" s="1"/>
      <c r="I78" s="1"/>
      <c r="J78" s="1"/>
      <c r="K78" s="1"/>
      <c r="L78" s="1"/>
      <c r="M78" s="1"/>
      <c r="N78" s="1"/>
      <c r="O78" s="1"/>
      <c r="P78" s="1"/>
      <c r="Q78" s="1"/>
      <c r="R78" s="1"/>
      <c r="S78" s="1"/>
      <c r="T78" s="1"/>
      <c r="U78" s="1"/>
      <c r="V78" s="1"/>
      <c r="W78" s="1"/>
      <c r="X78" s="1"/>
      <c r="Y78" s="1"/>
      <c r="Z78" s="1"/>
    </row>
    <row r="79" customFormat="false" ht="39.75" hidden="false" customHeight="true" outlineLevel="0" collapsed="false">
      <c r="A79" s="62"/>
      <c r="B79" s="54"/>
      <c r="C79" s="55" t="s">
        <v>367</v>
      </c>
      <c r="D79" s="34" t="n">
        <v>1</v>
      </c>
      <c r="E79" s="63"/>
      <c r="F79" s="1"/>
      <c r="G79" s="1"/>
      <c r="H79" s="1"/>
      <c r="I79" s="1"/>
      <c r="J79" s="1"/>
      <c r="K79" s="1"/>
      <c r="L79" s="1"/>
      <c r="M79" s="1"/>
      <c r="N79" s="1"/>
      <c r="O79" s="1"/>
      <c r="P79" s="1"/>
      <c r="Q79" s="1"/>
      <c r="R79" s="1"/>
      <c r="S79" s="1"/>
      <c r="T79" s="1"/>
      <c r="U79" s="1"/>
      <c r="V79" s="1"/>
      <c r="W79" s="1"/>
      <c r="X79" s="1"/>
      <c r="Y79" s="1"/>
      <c r="Z79" s="1"/>
    </row>
    <row r="80" customFormat="false" ht="39.75" hidden="false" customHeight="true" outlineLevel="0" collapsed="false">
      <c r="A80" s="62"/>
      <c r="B80" s="54" t="s">
        <v>368</v>
      </c>
      <c r="C80" s="55" t="s">
        <v>369</v>
      </c>
      <c r="D80" s="34" t="n">
        <v>1</v>
      </c>
      <c r="E80" s="63" t="n">
        <f aca="false">+AVERAGE(D80:D87)</f>
        <v>0.625</v>
      </c>
      <c r="F80" s="1"/>
      <c r="G80" s="1"/>
      <c r="H80" s="1"/>
      <c r="I80" s="1"/>
      <c r="J80" s="1"/>
      <c r="K80" s="1"/>
      <c r="L80" s="1"/>
      <c r="M80" s="1"/>
      <c r="N80" s="1"/>
      <c r="O80" s="1"/>
      <c r="P80" s="1"/>
      <c r="Q80" s="1"/>
      <c r="R80" s="1"/>
      <c r="S80" s="1"/>
      <c r="T80" s="1"/>
      <c r="U80" s="1"/>
      <c r="V80" s="1"/>
      <c r="W80" s="1"/>
      <c r="X80" s="1"/>
      <c r="Y80" s="1"/>
      <c r="Z80" s="1"/>
    </row>
    <row r="81" customFormat="false" ht="39.75" hidden="false" customHeight="true" outlineLevel="0" collapsed="false">
      <c r="A81" s="62"/>
      <c r="B81" s="54"/>
      <c r="C81" s="55" t="s">
        <v>370</v>
      </c>
      <c r="D81" s="34" t="n">
        <v>0</v>
      </c>
      <c r="E81" s="63"/>
      <c r="F81" s="1"/>
      <c r="G81" s="1"/>
      <c r="H81" s="1"/>
      <c r="I81" s="1"/>
      <c r="J81" s="1"/>
      <c r="K81" s="1"/>
      <c r="L81" s="1"/>
      <c r="M81" s="1"/>
      <c r="N81" s="1"/>
      <c r="O81" s="1"/>
      <c r="P81" s="1"/>
      <c r="Q81" s="1"/>
      <c r="R81" s="1"/>
      <c r="S81" s="1"/>
      <c r="T81" s="1"/>
      <c r="U81" s="1"/>
      <c r="V81" s="1"/>
      <c r="W81" s="1"/>
      <c r="X81" s="1"/>
      <c r="Y81" s="1"/>
      <c r="Z81" s="1"/>
    </row>
    <row r="82" customFormat="false" ht="39.75" hidden="false" customHeight="true" outlineLevel="0" collapsed="false">
      <c r="A82" s="62"/>
      <c r="B82" s="54"/>
      <c r="C82" s="55" t="s">
        <v>371</v>
      </c>
      <c r="D82" s="34" t="n">
        <v>0</v>
      </c>
      <c r="E82" s="63"/>
      <c r="F82" s="1"/>
      <c r="G82" s="1"/>
      <c r="H82" s="1"/>
      <c r="I82" s="1"/>
      <c r="J82" s="1"/>
      <c r="K82" s="1"/>
      <c r="L82" s="1"/>
      <c r="M82" s="1"/>
      <c r="N82" s="1"/>
      <c r="O82" s="1"/>
      <c r="P82" s="1"/>
      <c r="Q82" s="1"/>
      <c r="R82" s="1"/>
      <c r="S82" s="1"/>
      <c r="T82" s="1"/>
      <c r="U82" s="1"/>
      <c r="V82" s="1"/>
      <c r="W82" s="1"/>
      <c r="X82" s="1"/>
      <c r="Y82" s="1"/>
      <c r="Z82" s="1"/>
    </row>
    <row r="83" customFormat="false" ht="39.75" hidden="false" customHeight="true" outlineLevel="0" collapsed="false">
      <c r="A83" s="62"/>
      <c r="B83" s="54"/>
      <c r="C83" s="55" t="s">
        <v>372</v>
      </c>
      <c r="D83" s="34" t="n">
        <v>1</v>
      </c>
      <c r="E83" s="63"/>
      <c r="F83" s="1"/>
      <c r="G83" s="1"/>
      <c r="H83" s="1"/>
      <c r="I83" s="1"/>
      <c r="J83" s="1"/>
      <c r="K83" s="1"/>
      <c r="L83" s="1"/>
      <c r="M83" s="1"/>
      <c r="N83" s="1"/>
      <c r="O83" s="1"/>
      <c r="P83" s="1"/>
      <c r="Q83" s="1"/>
      <c r="R83" s="1"/>
      <c r="S83" s="1"/>
      <c r="T83" s="1"/>
      <c r="U83" s="1"/>
      <c r="V83" s="1"/>
      <c r="W83" s="1"/>
      <c r="X83" s="1"/>
      <c r="Y83" s="1"/>
      <c r="Z83" s="1"/>
    </row>
    <row r="84" customFormat="false" ht="39.75" hidden="false" customHeight="true" outlineLevel="0" collapsed="false">
      <c r="A84" s="62"/>
      <c r="B84" s="54"/>
      <c r="C84" s="55" t="s">
        <v>373</v>
      </c>
      <c r="D84" s="34" t="n">
        <v>1</v>
      </c>
      <c r="E84" s="63"/>
      <c r="F84" s="1"/>
      <c r="G84" s="1"/>
      <c r="H84" s="1"/>
      <c r="I84" s="1"/>
      <c r="J84" s="1"/>
      <c r="K84" s="1"/>
      <c r="L84" s="1"/>
      <c r="M84" s="1"/>
      <c r="N84" s="1"/>
      <c r="O84" s="1"/>
      <c r="P84" s="1"/>
      <c r="Q84" s="1"/>
      <c r="R84" s="1"/>
      <c r="S84" s="1"/>
      <c r="T84" s="1"/>
      <c r="U84" s="1"/>
      <c r="V84" s="1"/>
      <c r="W84" s="1"/>
      <c r="X84" s="1"/>
      <c r="Y84" s="1"/>
      <c r="Z84" s="1"/>
    </row>
    <row r="85" customFormat="false" ht="39.75" hidden="false" customHeight="true" outlineLevel="0" collapsed="false">
      <c r="A85" s="62"/>
      <c r="B85" s="54"/>
      <c r="C85" s="55" t="s">
        <v>374</v>
      </c>
      <c r="D85" s="34" t="n">
        <v>0</v>
      </c>
      <c r="E85" s="63"/>
      <c r="F85" s="1"/>
      <c r="G85" s="1"/>
      <c r="H85" s="1"/>
      <c r="I85" s="1"/>
      <c r="J85" s="1"/>
      <c r="K85" s="1"/>
      <c r="L85" s="1"/>
      <c r="M85" s="1"/>
      <c r="N85" s="1"/>
      <c r="O85" s="1"/>
      <c r="P85" s="1"/>
      <c r="Q85" s="1"/>
      <c r="R85" s="1"/>
      <c r="S85" s="1"/>
      <c r="T85" s="1"/>
      <c r="U85" s="1"/>
      <c r="V85" s="1"/>
      <c r="W85" s="1"/>
      <c r="X85" s="1"/>
      <c r="Y85" s="1"/>
      <c r="Z85" s="1"/>
    </row>
    <row r="86" customFormat="false" ht="39.75" hidden="false" customHeight="true" outlineLevel="0" collapsed="false">
      <c r="A86" s="62"/>
      <c r="B86" s="54"/>
      <c r="C86" s="55" t="s">
        <v>375</v>
      </c>
      <c r="D86" s="34" t="n">
        <v>1</v>
      </c>
      <c r="E86" s="63"/>
      <c r="F86" s="1"/>
      <c r="G86" s="1"/>
      <c r="H86" s="1"/>
      <c r="I86" s="1"/>
      <c r="J86" s="1"/>
      <c r="K86" s="1"/>
      <c r="L86" s="1"/>
      <c r="M86" s="1"/>
      <c r="N86" s="1"/>
      <c r="O86" s="1"/>
      <c r="P86" s="1"/>
      <c r="Q86" s="1"/>
      <c r="R86" s="1"/>
      <c r="S86" s="1"/>
      <c r="T86" s="1"/>
      <c r="U86" s="1"/>
      <c r="V86" s="1"/>
      <c r="W86" s="1"/>
      <c r="X86" s="1"/>
      <c r="Y86" s="1"/>
      <c r="Z86" s="1"/>
    </row>
    <row r="87" customFormat="false" ht="39.75" hidden="false" customHeight="true" outlineLevel="0" collapsed="false">
      <c r="A87" s="62"/>
      <c r="B87" s="54"/>
      <c r="C87" s="55" t="s">
        <v>376</v>
      </c>
      <c r="D87" s="34" t="n">
        <v>1</v>
      </c>
      <c r="E87" s="63"/>
      <c r="F87" s="1"/>
      <c r="G87" s="1"/>
      <c r="H87" s="1"/>
      <c r="I87" s="1"/>
      <c r="J87" s="1"/>
      <c r="K87" s="1"/>
      <c r="L87" s="1"/>
      <c r="M87" s="1"/>
      <c r="N87" s="1"/>
      <c r="O87" s="1"/>
      <c r="P87" s="1"/>
      <c r="Q87" s="1"/>
      <c r="R87" s="1"/>
      <c r="S87" s="1"/>
      <c r="T87" s="1"/>
      <c r="U87" s="1"/>
      <c r="V87" s="1"/>
      <c r="W87" s="1"/>
      <c r="X87" s="1"/>
      <c r="Y87" s="1"/>
      <c r="Z87" s="1"/>
    </row>
    <row r="88" customFormat="false" ht="39.75" hidden="false" customHeight="true" outlineLevel="0" collapsed="false">
      <c r="A88" s="62"/>
      <c r="B88" s="54" t="s">
        <v>377</v>
      </c>
      <c r="C88" s="55" t="s">
        <v>378</v>
      </c>
      <c r="D88" s="34" t="n">
        <v>1</v>
      </c>
      <c r="E88" s="63" t="n">
        <f aca="false">+AVERAGE(D88:D92)</f>
        <v>1</v>
      </c>
      <c r="F88" s="1"/>
      <c r="G88" s="1"/>
      <c r="H88" s="1"/>
      <c r="I88" s="1"/>
      <c r="J88" s="1"/>
      <c r="K88" s="1"/>
      <c r="L88" s="1"/>
      <c r="M88" s="1"/>
      <c r="N88" s="1"/>
      <c r="O88" s="1"/>
      <c r="P88" s="1"/>
      <c r="Q88" s="1"/>
      <c r="R88" s="1"/>
      <c r="S88" s="1"/>
      <c r="T88" s="1"/>
      <c r="U88" s="1"/>
      <c r="V88" s="1"/>
      <c r="W88" s="1"/>
      <c r="X88" s="1"/>
      <c r="Y88" s="1"/>
      <c r="Z88" s="1"/>
    </row>
    <row r="89" customFormat="false" ht="39.75" hidden="false" customHeight="true" outlineLevel="0" collapsed="false">
      <c r="A89" s="62"/>
      <c r="B89" s="54"/>
      <c r="C89" s="55" t="s">
        <v>379</v>
      </c>
      <c r="D89" s="34" t="n">
        <v>1</v>
      </c>
      <c r="E89" s="63"/>
      <c r="F89" s="1"/>
      <c r="G89" s="1"/>
      <c r="H89" s="1"/>
      <c r="I89" s="1"/>
      <c r="J89" s="1"/>
      <c r="K89" s="1"/>
      <c r="L89" s="1"/>
      <c r="M89" s="1"/>
      <c r="N89" s="1"/>
      <c r="O89" s="1"/>
      <c r="P89" s="1"/>
      <c r="Q89" s="1"/>
      <c r="R89" s="1"/>
      <c r="S89" s="1"/>
      <c r="T89" s="1"/>
      <c r="U89" s="1"/>
      <c r="V89" s="1"/>
      <c r="W89" s="1"/>
      <c r="X89" s="1"/>
      <c r="Y89" s="1"/>
      <c r="Z89" s="1"/>
    </row>
    <row r="90" customFormat="false" ht="39.75" hidden="false" customHeight="true" outlineLevel="0" collapsed="false">
      <c r="A90" s="62"/>
      <c r="B90" s="54"/>
      <c r="C90" s="55" t="s">
        <v>380</v>
      </c>
      <c r="D90" s="34" t="n">
        <v>1</v>
      </c>
      <c r="E90" s="63"/>
      <c r="F90" s="1"/>
      <c r="G90" s="1"/>
      <c r="H90" s="1"/>
      <c r="I90" s="1"/>
      <c r="J90" s="1"/>
      <c r="K90" s="1"/>
      <c r="L90" s="1"/>
      <c r="M90" s="1"/>
      <c r="N90" s="1"/>
      <c r="O90" s="1"/>
      <c r="P90" s="1"/>
      <c r="Q90" s="1"/>
      <c r="R90" s="1"/>
      <c r="S90" s="1"/>
      <c r="T90" s="1"/>
      <c r="U90" s="1"/>
      <c r="V90" s="1"/>
      <c r="W90" s="1"/>
      <c r="X90" s="1"/>
      <c r="Y90" s="1"/>
      <c r="Z90" s="1"/>
    </row>
    <row r="91" customFormat="false" ht="39.75" hidden="false" customHeight="true" outlineLevel="0" collapsed="false">
      <c r="A91" s="62"/>
      <c r="B91" s="54"/>
      <c r="C91" s="55" t="s">
        <v>381</v>
      </c>
      <c r="D91" s="34" t="n">
        <v>1</v>
      </c>
      <c r="E91" s="63"/>
      <c r="F91" s="1"/>
      <c r="G91" s="1"/>
      <c r="H91" s="1"/>
      <c r="I91" s="1"/>
      <c r="J91" s="1"/>
      <c r="K91" s="1"/>
      <c r="L91" s="1"/>
      <c r="M91" s="1"/>
      <c r="N91" s="1"/>
      <c r="O91" s="1"/>
      <c r="P91" s="1"/>
      <c r="Q91" s="1"/>
      <c r="R91" s="1"/>
      <c r="S91" s="1"/>
      <c r="T91" s="1"/>
      <c r="U91" s="1"/>
      <c r="V91" s="1"/>
      <c r="W91" s="1"/>
      <c r="X91" s="1"/>
      <c r="Y91" s="1"/>
      <c r="Z91" s="1"/>
    </row>
    <row r="92" customFormat="false" ht="39.75" hidden="false" customHeight="true" outlineLevel="0" collapsed="false">
      <c r="A92" s="62"/>
      <c r="B92" s="54"/>
      <c r="C92" s="55" t="s">
        <v>382</v>
      </c>
      <c r="D92" s="34" t="n">
        <v>1</v>
      </c>
      <c r="E92" s="63"/>
      <c r="F92" s="1"/>
      <c r="G92" s="1"/>
      <c r="H92" s="1"/>
      <c r="I92" s="1"/>
      <c r="J92" s="1"/>
      <c r="K92" s="1"/>
      <c r="L92" s="1"/>
      <c r="M92" s="1"/>
      <c r="N92" s="1"/>
      <c r="O92" s="1"/>
      <c r="P92" s="1"/>
      <c r="Q92" s="1"/>
      <c r="R92" s="1"/>
      <c r="S92" s="1"/>
      <c r="T92" s="1"/>
      <c r="U92" s="1"/>
      <c r="V92" s="1"/>
      <c r="W92" s="1"/>
      <c r="X92" s="1"/>
      <c r="Y92" s="1"/>
      <c r="Z92" s="1"/>
    </row>
    <row r="93" customFormat="false" ht="39.75" hidden="false" customHeight="true" outlineLevel="0" collapsed="false">
      <c r="A93" s="59"/>
      <c r="B93" s="59"/>
      <c r="C93" s="59"/>
      <c r="D93" s="59"/>
      <c r="E93" s="59"/>
      <c r="F93" s="1"/>
      <c r="G93" s="1"/>
      <c r="H93" s="1"/>
      <c r="I93" s="1"/>
      <c r="J93" s="1"/>
      <c r="K93" s="1"/>
      <c r="L93" s="1"/>
      <c r="M93" s="1"/>
      <c r="N93" s="1"/>
      <c r="O93" s="1"/>
      <c r="P93" s="1"/>
      <c r="Q93" s="1"/>
      <c r="R93" s="1"/>
      <c r="S93" s="1"/>
      <c r="T93" s="1"/>
      <c r="U93" s="1"/>
      <c r="V93" s="1"/>
      <c r="W93" s="1"/>
      <c r="X93" s="1"/>
      <c r="Y93" s="1"/>
      <c r="Z93" s="1"/>
    </row>
    <row r="94" customFormat="false" ht="78" hidden="false" customHeight="true" outlineLevel="0" collapsed="false">
      <c r="A94" s="64" t="s">
        <v>6</v>
      </c>
      <c r="B94" s="54" t="s">
        <v>383</v>
      </c>
      <c r="C94" s="55" t="s">
        <v>384</v>
      </c>
      <c r="D94" s="34" t="n">
        <v>1</v>
      </c>
      <c r="E94" s="65" t="n">
        <f aca="false">AVERAGE(D94)</f>
        <v>1</v>
      </c>
      <c r="F94" s="1"/>
      <c r="G94" s="1"/>
      <c r="H94" s="1"/>
      <c r="I94" s="1"/>
      <c r="J94" s="1"/>
      <c r="K94" s="1"/>
      <c r="L94" s="1"/>
      <c r="M94" s="1"/>
      <c r="N94" s="1"/>
      <c r="O94" s="1"/>
      <c r="P94" s="1"/>
      <c r="Q94" s="1"/>
      <c r="R94" s="1"/>
      <c r="S94" s="1"/>
      <c r="T94" s="1"/>
      <c r="U94" s="1"/>
      <c r="V94" s="1"/>
      <c r="W94" s="1"/>
      <c r="X94" s="1"/>
      <c r="Y94" s="1"/>
      <c r="Z94" s="1"/>
    </row>
    <row r="95" customFormat="false" ht="39.75" hidden="false" customHeight="true" outlineLevel="0" collapsed="false">
      <c r="A95" s="64"/>
      <c r="B95" s="54" t="s">
        <v>385</v>
      </c>
      <c r="C95" s="55" t="s">
        <v>386</v>
      </c>
      <c r="D95" s="34" t="n">
        <v>1</v>
      </c>
      <c r="E95" s="65" t="n">
        <f aca="false">AVERAGE(D95:D99)</f>
        <v>0.8</v>
      </c>
      <c r="F95" s="1"/>
      <c r="G95" s="1"/>
      <c r="H95" s="1"/>
      <c r="I95" s="1"/>
      <c r="J95" s="1"/>
      <c r="K95" s="1"/>
      <c r="L95" s="1"/>
      <c r="M95" s="1"/>
      <c r="N95" s="1"/>
      <c r="O95" s="1"/>
      <c r="P95" s="1"/>
      <c r="Q95" s="1"/>
      <c r="R95" s="1"/>
      <c r="S95" s="1"/>
      <c r="T95" s="1"/>
      <c r="U95" s="1"/>
      <c r="V95" s="1"/>
      <c r="W95" s="1"/>
      <c r="X95" s="1"/>
      <c r="Y95" s="1"/>
      <c r="Z95" s="1"/>
    </row>
    <row r="96" customFormat="false" ht="39.75" hidden="false" customHeight="true" outlineLevel="0" collapsed="false">
      <c r="A96" s="64"/>
      <c r="B96" s="54"/>
      <c r="C96" s="55" t="s">
        <v>387</v>
      </c>
      <c r="D96" s="34" t="n">
        <v>1</v>
      </c>
      <c r="E96" s="65"/>
      <c r="F96" s="1"/>
      <c r="G96" s="1"/>
      <c r="H96" s="1"/>
      <c r="I96" s="1"/>
      <c r="J96" s="1"/>
      <c r="K96" s="1"/>
      <c r="L96" s="1"/>
      <c r="M96" s="1"/>
      <c r="N96" s="1"/>
      <c r="O96" s="1"/>
      <c r="P96" s="1"/>
      <c r="Q96" s="1"/>
      <c r="R96" s="1"/>
      <c r="S96" s="1"/>
      <c r="T96" s="1"/>
      <c r="U96" s="1"/>
      <c r="V96" s="1"/>
      <c r="W96" s="1"/>
      <c r="X96" s="1"/>
      <c r="Y96" s="1"/>
      <c r="Z96" s="1"/>
    </row>
    <row r="97" customFormat="false" ht="39.75" hidden="false" customHeight="true" outlineLevel="0" collapsed="false">
      <c r="A97" s="64"/>
      <c r="B97" s="54"/>
      <c r="C97" s="55" t="s">
        <v>388</v>
      </c>
      <c r="D97" s="34" t="n">
        <v>1</v>
      </c>
      <c r="E97" s="65"/>
      <c r="F97" s="1"/>
      <c r="G97" s="1"/>
      <c r="H97" s="1"/>
      <c r="I97" s="1"/>
      <c r="J97" s="1"/>
      <c r="K97" s="1"/>
      <c r="L97" s="1"/>
      <c r="M97" s="1"/>
      <c r="N97" s="1"/>
      <c r="O97" s="1"/>
      <c r="P97" s="1"/>
      <c r="Q97" s="1"/>
      <c r="R97" s="1"/>
      <c r="S97" s="1"/>
      <c r="T97" s="1"/>
      <c r="U97" s="1"/>
      <c r="V97" s="1"/>
      <c r="W97" s="1"/>
      <c r="X97" s="1"/>
      <c r="Y97" s="1"/>
      <c r="Z97" s="1"/>
    </row>
    <row r="98" customFormat="false" ht="39.75" hidden="false" customHeight="true" outlineLevel="0" collapsed="false">
      <c r="A98" s="64"/>
      <c r="B98" s="54"/>
      <c r="C98" s="55" t="s">
        <v>389</v>
      </c>
      <c r="D98" s="34" t="n">
        <v>1</v>
      </c>
      <c r="E98" s="65"/>
      <c r="F98" s="1"/>
      <c r="G98" s="1"/>
      <c r="H98" s="1"/>
      <c r="I98" s="1"/>
      <c r="J98" s="1"/>
      <c r="K98" s="1"/>
      <c r="L98" s="1"/>
      <c r="M98" s="1"/>
      <c r="N98" s="1"/>
      <c r="O98" s="1"/>
      <c r="P98" s="1"/>
      <c r="Q98" s="1"/>
      <c r="R98" s="1"/>
      <c r="S98" s="1"/>
      <c r="T98" s="1"/>
      <c r="U98" s="1"/>
      <c r="V98" s="1"/>
      <c r="W98" s="1"/>
      <c r="X98" s="1"/>
      <c r="Y98" s="1"/>
      <c r="Z98" s="1"/>
    </row>
    <row r="99" customFormat="false" ht="39.75" hidden="false" customHeight="true" outlineLevel="0" collapsed="false">
      <c r="A99" s="64"/>
      <c r="B99" s="54"/>
      <c r="C99" s="55" t="s">
        <v>390</v>
      </c>
      <c r="D99" s="34" t="n">
        <v>0</v>
      </c>
      <c r="E99" s="65"/>
      <c r="F99" s="1"/>
      <c r="G99" s="1"/>
      <c r="H99" s="1"/>
      <c r="I99" s="1"/>
      <c r="J99" s="1"/>
      <c r="K99" s="1"/>
      <c r="L99" s="1"/>
      <c r="M99" s="1"/>
      <c r="N99" s="1"/>
      <c r="O99" s="1"/>
      <c r="P99" s="1"/>
      <c r="Q99" s="1"/>
      <c r="R99" s="1"/>
      <c r="S99" s="1"/>
      <c r="T99" s="1"/>
      <c r="U99" s="1"/>
      <c r="V99" s="1"/>
      <c r="W99" s="1"/>
      <c r="X99" s="1"/>
      <c r="Y99" s="1"/>
      <c r="Z99" s="1"/>
    </row>
    <row r="100" customFormat="false" ht="39.75" hidden="false" customHeight="true" outlineLevel="0" collapsed="false">
      <c r="A100" s="64"/>
      <c r="B100" s="54" t="s">
        <v>391</v>
      </c>
      <c r="C100" s="55" t="s">
        <v>392</v>
      </c>
      <c r="D100" s="34" t="n">
        <v>1</v>
      </c>
      <c r="E100" s="65" t="n">
        <f aca="false">+AVERAGE(D100:D104)</f>
        <v>0.6</v>
      </c>
      <c r="F100" s="1"/>
      <c r="G100" s="1"/>
      <c r="H100" s="1"/>
      <c r="I100" s="1"/>
      <c r="J100" s="1"/>
      <c r="K100" s="1"/>
      <c r="L100" s="1"/>
      <c r="M100" s="1"/>
      <c r="N100" s="1"/>
      <c r="O100" s="1"/>
      <c r="P100" s="1"/>
      <c r="Q100" s="1"/>
      <c r="R100" s="1"/>
      <c r="S100" s="1"/>
      <c r="T100" s="1"/>
      <c r="U100" s="1"/>
      <c r="V100" s="1"/>
      <c r="W100" s="1"/>
      <c r="X100" s="1"/>
      <c r="Y100" s="1"/>
      <c r="Z100" s="1"/>
    </row>
    <row r="101" customFormat="false" ht="39.75" hidden="false" customHeight="true" outlineLevel="0" collapsed="false">
      <c r="A101" s="64"/>
      <c r="B101" s="54"/>
      <c r="C101" s="55" t="s">
        <v>393</v>
      </c>
      <c r="D101" s="34" t="n">
        <v>1</v>
      </c>
      <c r="E101" s="65"/>
      <c r="F101" s="1"/>
      <c r="G101" s="1"/>
      <c r="H101" s="1"/>
      <c r="I101" s="1"/>
      <c r="J101" s="1"/>
      <c r="K101" s="1"/>
      <c r="L101" s="1"/>
      <c r="M101" s="1"/>
      <c r="N101" s="1"/>
      <c r="O101" s="1"/>
      <c r="P101" s="1"/>
      <c r="Q101" s="1"/>
      <c r="R101" s="1"/>
      <c r="S101" s="1"/>
      <c r="T101" s="1"/>
      <c r="U101" s="1"/>
      <c r="V101" s="1"/>
      <c r="W101" s="1"/>
      <c r="X101" s="1"/>
      <c r="Y101" s="1"/>
      <c r="Z101" s="1"/>
    </row>
    <row r="102" customFormat="false" ht="39.75" hidden="false" customHeight="true" outlineLevel="0" collapsed="false">
      <c r="A102" s="64"/>
      <c r="B102" s="54"/>
      <c r="C102" s="55" t="s">
        <v>394</v>
      </c>
      <c r="D102" s="34" t="n">
        <v>0</v>
      </c>
      <c r="E102" s="65"/>
      <c r="F102" s="1"/>
      <c r="G102" s="1"/>
      <c r="H102" s="1"/>
      <c r="I102" s="1"/>
      <c r="J102" s="1"/>
      <c r="K102" s="1"/>
      <c r="L102" s="1"/>
      <c r="M102" s="1"/>
      <c r="N102" s="1"/>
      <c r="O102" s="1"/>
      <c r="P102" s="1"/>
      <c r="Q102" s="1"/>
      <c r="R102" s="1"/>
      <c r="S102" s="1"/>
      <c r="T102" s="1"/>
      <c r="U102" s="1"/>
      <c r="V102" s="1"/>
      <c r="W102" s="1"/>
      <c r="X102" s="1"/>
      <c r="Y102" s="1"/>
      <c r="Z102" s="1"/>
    </row>
    <row r="103" customFormat="false" ht="39.75" hidden="false" customHeight="true" outlineLevel="0" collapsed="false">
      <c r="A103" s="64"/>
      <c r="B103" s="54"/>
      <c r="C103" s="55" t="s">
        <v>395</v>
      </c>
      <c r="D103" s="34" t="n">
        <v>1</v>
      </c>
      <c r="E103" s="65"/>
      <c r="F103" s="1"/>
      <c r="G103" s="1"/>
      <c r="H103" s="1"/>
      <c r="I103" s="1"/>
      <c r="J103" s="1"/>
      <c r="K103" s="1"/>
      <c r="L103" s="1"/>
      <c r="M103" s="1"/>
      <c r="N103" s="1"/>
      <c r="O103" s="1"/>
      <c r="P103" s="1"/>
      <c r="Q103" s="1"/>
      <c r="R103" s="1"/>
      <c r="S103" s="1"/>
      <c r="T103" s="1"/>
      <c r="U103" s="1"/>
      <c r="V103" s="1"/>
      <c r="W103" s="1"/>
      <c r="X103" s="1"/>
      <c r="Y103" s="1"/>
      <c r="Z103" s="1"/>
    </row>
    <row r="104" customFormat="false" ht="39.75" hidden="false" customHeight="true" outlineLevel="0" collapsed="false">
      <c r="A104" s="64"/>
      <c r="B104" s="54"/>
      <c r="C104" s="55" t="s">
        <v>396</v>
      </c>
      <c r="D104" s="34" t="n">
        <v>0</v>
      </c>
      <c r="E104" s="65"/>
      <c r="F104" s="1"/>
      <c r="G104" s="1"/>
      <c r="H104" s="1"/>
      <c r="I104" s="1"/>
      <c r="J104" s="1"/>
      <c r="K104" s="1"/>
      <c r="L104" s="1"/>
      <c r="M104" s="1"/>
      <c r="N104" s="1"/>
      <c r="O104" s="1"/>
      <c r="P104" s="1"/>
      <c r="Q104" s="1"/>
      <c r="R104" s="1"/>
      <c r="S104" s="1"/>
      <c r="T104" s="1"/>
      <c r="U104" s="1"/>
      <c r="V104" s="1"/>
      <c r="W104" s="1"/>
      <c r="X104" s="1"/>
      <c r="Y104" s="1"/>
      <c r="Z104" s="1"/>
    </row>
    <row r="105" customFormat="false" ht="39.75" hidden="false" customHeight="true" outlineLevel="0" collapsed="false">
      <c r="A105" s="64"/>
      <c r="B105" s="54" t="s">
        <v>397</v>
      </c>
      <c r="C105" s="55" t="s">
        <v>398</v>
      </c>
      <c r="D105" s="34" t="n">
        <v>1</v>
      </c>
      <c r="E105" s="65" t="n">
        <f aca="false">+AVERAGE(D105:D107)</f>
        <v>0.6666666667</v>
      </c>
      <c r="F105" s="1"/>
      <c r="G105" s="1"/>
      <c r="H105" s="1"/>
      <c r="I105" s="1"/>
      <c r="J105" s="1"/>
      <c r="K105" s="1"/>
      <c r="L105" s="1"/>
      <c r="M105" s="1"/>
      <c r="N105" s="1"/>
      <c r="O105" s="1"/>
      <c r="P105" s="1"/>
      <c r="Q105" s="1"/>
      <c r="R105" s="1"/>
      <c r="S105" s="1"/>
      <c r="T105" s="1"/>
      <c r="U105" s="1"/>
      <c r="V105" s="1"/>
      <c r="W105" s="1"/>
      <c r="X105" s="1"/>
      <c r="Y105" s="1"/>
      <c r="Z105" s="1"/>
    </row>
    <row r="106" customFormat="false" ht="39.75" hidden="false" customHeight="true" outlineLevel="0" collapsed="false">
      <c r="A106" s="64"/>
      <c r="B106" s="54"/>
      <c r="C106" s="55" t="s">
        <v>399</v>
      </c>
      <c r="D106" s="34" t="n">
        <v>1</v>
      </c>
      <c r="E106" s="65"/>
      <c r="F106" s="1"/>
      <c r="G106" s="1"/>
      <c r="H106" s="1"/>
      <c r="I106" s="1"/>
      <c r="J106" s="1"/>
      <c r="K106" s="1"/>
      <c r="L106" s="1"/>
      <c r="M106" s="1"/>
      <c r="N106" s="1"/>
      <c r="O106" s="1"/>
      <c r="P106" s="1"/>
      <c r="Q106" s="1"/>
      <c r="R106" s="1"/>
      <c r="S106" s="1"/>
      <c r="T106" s="1"/>
      <c r="U106" s="1"/>
      <c r="V106" s="1"/>
      <c r="W106" s="1"/>
      <c r="X106" s="1"/>
      <c r="Y106" s="1"/>
      <c r="Z106" s="1"/>
    </row>
    <row r="107" customFormat="false" ht="39.75" hidden="false" customHeight="true" outlineLevel="0" collapsed="false">
      <c r="A107" s="64"/>
      <c r="B107" s="54"/>
      <c r="C107" s="55" t="s">
        <v>400</v>
      </c>
      <c r="D107" s="34" t="n">
        <v>0</v>
      </c>
      <c r="E107" s="65"/>
      <c r="F107" s="1"/>
      <c r="G107" s="1"/>
      <c r="H107" s="1"/>
      <c r="I107" s="1"/>
      <c r="J107" s="1"/>
      <c r="K107" s="1"/>
      <c r="L107" s="1"/>
      <c r="M107" s="1"/>
      <c r="N107" s="1"/>
      <c r="O107" s="1"/>
      <c r="P107" s="1"/>
      <c r="Q107" s="1"/>
      <c r="R107" s="1"/>
      <c r="S107" s="1"/>
      <c r="T107" s="1"/>
      <c r="U107" s="1"/>
      <c r="V107" s="1"/>
      <c r="W107" s="1"/>
      <c r="X107" s="1"/>
      <c r="Y107" s="1"/>
      <c r="Z107" s="1"/>
    </row>
    <row r="108" customFormat="false" ht="39.75" hidden="false" customHeight="true" outlineLevel="0" collapsed="false">
      <c r="A108" s="64"/>
      <c r="B108" s="54" t="s">
        <v>401</v>
      </c>
      <c r="C108" s="55" t="s">
        <v>402</v>
      </c>
      <c r="D108" s="34" t="n">
        <v>1</v>
      </c>
      <c r="E108" s="65" t="n">
        <f aca="false">+AVERAGE(D108:D109)</f>
        <v>0.5</v>
      </c>
      <c r="F108" s="1"/>
      <c r="G108" s="1"/>
      <c r="H108" s="1"/>
      <c r="I108" s="1"/>
      <c r="J108" s="1"/>
      <c r="K108" s="1"/>
      <c r="L108" s="1"/>
      <c r="M108" s="1"/>
      <c r="N108" s="1"/>
      <c r="O108" s="1"/>
      <c r="P108" s="1"/>
      <c r="Q108" s="1"/>
      <c r="R108" s="1"/>
      <c r="S108" s="1"/>
      <c r="T108" s="1"/>
      <c r="U108" s="1"/>
      <c r="V108" s="1"/>
      <c r="W108" s="1"/>
      <c r="X108" s="1"/>
      <c r="Y108" s="1"/>
      <c r="Z108" s="1"/>
    </row>
    <row r="109" customFormat="false" ht="39.75" hidden="false" customHeight="true" outlineLevel="0" collapsed="false">
      <c r="A109" s="64"/>
      <c r="B109" s="54"/>
      <c r="C109" s="55" t="s">
        <v>403</v>
      </c>
      <c r="D109" s="34" t="n">
        <v>0</v>
      </c>
      <c r="E109" s="65"/>
      <c r="F109" s="1"/>
      <c r="G109" s="1"/>
      <c r="H109" s="1"/>
      <c r="I109" s="1"/>
      <c r="J109" s="1"/>
      <c r="K109" s="1"/>
      <c r="L109" s="1"/>
      <c r="M109" s="1"/>
      <c r="N109" s="1"/>
      <c r="O109" s="1"/>
      <c r="P109" s="1"/>
      <c r="Q109" s="1"/>
      <c r="R109" s="1"/>
      <c r="S109" s="1"/>
      <c r="T109" s="1"/>
      <c r="U109" s="1"/>
      <c r="V109" s="1"/>
      <c r="W109" s="1"/>
      <c r="X109" s="1"/>
      <c r="Y109" s="1"/>
      <c r="Z109" s="1"/>
    </row>
    <row r="110" customFormat="false" ht="39.75" hidden="false" customHeight="true" outlineLevel="0" collapsed="false">
      <c r="A110" s="59"/>
      <c r="B110" s="59"/>
      <c r="C110" s="59"/>
      <c r="D110" s="59"/>
      <c r="E110" s="59"/>
      <c r="F110" s="1"/>
      <c r="G110" s="1"/>
      <c r="H110" s="1"/>
      <c r="I110" s="1"/>
      <c r="J110" s="1"/>
      <c r="K110" s="1"/>
      <c r="L110" s="1"/>
      <c r="M110" s="1"/>
      <c r="N110" s="1"/>
      <c r="O110" s="1"/>
      <c r="P110" s="1"/>
      <c r="Q110" s="1"/>
      <c r="R110" s="1"/>
      <c r="S110" s="1"/>
      <c r="T110" s="1"/>
      <c r="U110" s="1"/>
      <c r="V110" s="1"/>
      <c r="W110" s="1"/>
      <c r="X110" s="1"/>
      <c r="Y110" s="1"/>
      <c r="Z110" s="1"/>
    </row>
    <row r="111" customFormat="false" ht="79.5" hidden="false" customHeight="true" outlineLevel="0" collapsed="false">
      <c r="A111" s="66" t="s">
        <v>7</v>
      </c>
      <c r="B111" s="54" t="s">
        <v>404</v>
      </c>
      <c r="C111" s="55" t="s">
        <v>405</v>
      </c>
      <c r="D111" s="34" t="n">
        <v>1</v>
      </c>
      <c r="E111" s="67" t="n">
        <f aca="false">AVERAGE(D111)</f>
        <v>1</v>
      </c>
      <c r="F111" s="1"/>
      <c r="G111" s="1"/>
      <c r="H111" s="1"/>
      <c r="I111" s="1"/>
      <c r="J111" s="1"/>
      <c r="K111" s="1"/>
      <c r="L111" s="1"/>
      <c r="M111" s="1"/>
      <c r="N111" s="1"/>
      <c r="O111" s="1"/>
      <c r="P111" s="1"/>
      <c r="Q111" s="1"/>
      <c r="R111" s="1"/>
      <c r="S111" s="1"/>
      <c r="T111" s="1"/>
      <c r="U111" s="1"/>
      <c r="V111" s="1"/>
      <c r="W111" s="1"/>
      <c r="X111" s="1"/>
      <c r="Y111" s="1"/>
      <c r="Z111" s="1"/>
    </row>
    <row r="112" customFormat="false" ht="39.75" hidden="false" customHeight="true" outlineLevel="0" collapsed="false">
      <c r="A112" s="66"/>
      <c r="B112" s="54" t="s">
        <v>406</v>
      </c>
      <c r="C112" s="55" t="s">
        <v>407</v>
      </c>
      <c r="D112" s="34" t="n">
        <v>1</v>
      </c>
      <c r="E112" s="67" t="n">
        <f aca="false">AVERAGE(D112:D113)</f>
        <v>1</v>
      </c>
      <c r="F112" s="1"/>
      <c r="G112" s="1"/>
      <c r="H112" s="1"/>
      <c r="I112" s="1"/>
      <c r="J112" s="1"/>
      <c r="K112" s="1"/>
      <c r="L112" s="1"/>
      <c r="M112" s="1"/>
      <c r="N112" s="1"/>
      <c r="O112" s="1"/>
      <c r="P112" s="1"/>
      <c r="Q112" s="1"/>
      <c r="R112" s="1"/>
      <c r="S112" s="1"/>
      <c r="T112" s="1"/>
      <c r="U112" s="1"/>
      <c r="V112" s="1"/>
      <c r="W112" s="1"/>
      <c r="X112" s="1"/>
      <c r="Y112" s="1"/>
      <c r="Z112" s="1"/>
    </row>
    <row r="113" customFormat="false" ht="39.75" hidden="false" customHeight="true" outlineLevel="0" collapsed="false">
      <c r="A113" s="66"/>
      <c r="B113" s="54"/>
      <c r="C113" s="55" t="s">
        <v>408</v>
      </c>
      <c r="D113" s="34" t="n">
        <v>1</v>
      </c>
      <c r="E113" s="67"/>
      <c r="F113" s="1"/>
      <c r="G113" s="1"/>
      <c r="H113" s="1"/>
      <c r="I113" s="1"/>
      <c r="J113" s="1"/>
      <c r="K113" s="1"/>
      <c r="L113" s="1"/>
      <c r="M113" s="1"/>
      <c r="N113" s="1"/>
      <c r="O113" s="1"/>
      <c r="P113" s="1"/>
      <c r="Q113" s="1"/>
      <c r="R113" s="1"/>
      <c r="S113" s="1"/>
      <c r="T113" s="1"/>
      <c r="U113" s="1"/>
      <c r="V113" s="1"/>
      <c r="W113" s="1"/>
      <c r="X113" s="1"/>
      <c r="Y113" s="1"/>
      <c r="Z113" s="1"/>
    </row>
    <row r="114" customFormat="false" ht="39.75" hidden="false" customHeight="true" outlineLevel="0" collapsed="false">
      <c r="A114" s="66"/>
      <c r="B114" s="54" t="s">
        <v>409</v>
      </c>
      <c r="C114" s="55" t="s">
        <v>410</v>
      </c>
      <c r="D114" s="34" t="n">
        <v>1</v>
      </c>
      <c r="E114" s="67" t="n">
        <f aca="false">+AVERAGE(D114:D116)</f>
        <v>1</v>
      </c>
      <c r="F114" s="1"/>
      <c r="G114" s="1"/>
      <c r="H114" s="1"/>
      <c r="I114" s="1"/>
      <c r="J114" s="1"/>
      <c r="K114" s="1"/>
      <c r="L114" s="1"/>
      <c r="M114" s="1"/>
      <c r="N114" s="1"/>
      <c r="O114" s="1"/>
      <c r="P114" s="1"/>
      <c r="Q114" s="1"/>
      <c r="R114" s="1"/>
      <c r="S114" s="1"/>
      <c r="T114" s="1"/>
      <c r="U114" s="1"/>
      <c r="V114" s="1"/>
      <c r="W114" s="1"/>
      <c r="X114" s="1"/>
      <c r="Y114" s="1"/>
      <c r="Z114" s="1"/>
    </row>
    <row r="115" customFormat="false" ht="39.75" hidden="false" customHeight="true" outlineLevel="0" collapsed="false">
      <c r="A115" s="66"/>
      <c r="B115" s="54"/>
      <c r="C115" s="55" t="s">
        <v>411</v>
      </c>
      <c r="D115" s="34" t="n">
        <v>1</v>
      </c>
      <c r="E115" s="67"/>
      <c r="F115" s="1"/>
      <c r="G115" s="1"/>
      <c r="H115" s="1"/>
      <c r="I115" s="1"/>
      <c r="J115" s="1"/>
      <c r="K115" s="1"/>
      <c r="L115" s="1"/>
      <c r="M115" s="1"/>
      <c r="N115" s="1"/>
      <c r="O115" s="1"/>
      <c r="P115" s="1"/>
      <c r="Q115" s="1"/>
      <c r="R115" s="1"/>
      <c r="S115" s="1"/>
      <c r="T115" s="1"/>
      <c r="U115" s="1"/>
      <c r="V115" s="1"/>
      <c r="W115" s="1"/>
      <c r="X115" s="1"/>
      <c r="Y115" s="1"/>
      <c r="Z115" s="1"/>
    </row>
    <row r="116" customFormat="false" ht="39.75" hidden="false" customHeight="true" outlineLevel="0" collapsed="false">
      <c r="A116" s="66"/>
      <c r="B116" s="54"/>
      <c r="C116" s="55" t="s">
        <v>412</v>
      </c>
      <c r="D116" s="34" t="n">
        <v>1</v>
      </c>
      <c r="E116" s="67"/>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8"/>
      <c r="B117" s="51"/>
      <c r="C117" s="51"/>
      <c r="D117" s="51"/>
      <c r="E117" s="18"/>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8"/>
      <c r="B118" s="51"/>
      <c r="C118" s="51"/>
      <c r="D118" s="51"/>
      <c r="E118" s="18"/>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8"/>
      <c r="B119" s="51"/>
      <c r="C119" s="51"/>
      <c r="D119" s="51"/>
      <c r="E119" s="18"/>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8"/>
      <c r="B120" s="51"/>
      <c r="C120" s="51"/>
      <c r="D120" s="51"/>
      <c r="E120" s="18"/>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8"/>
      <c r="B121" s="51"/>
      <c r="C121" s="51"/>
      <c r="D121" s="51"/>
      <c r="E121" s="18"/>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8"/>
      <c r="B122" s="51"/>
      <c r="C122" s="51"/>
      <c r="D122" s="51"/>
      <c r="E122" s="18"/>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8"/>
      <c r="B123" s="51"/>
      <c r="C123" s="51"/>
      <c r="D123" s="51"/>
      <c r="E123" s="18"/>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8"/>
      <c r="B124" s="51"/>
      <c r="C124" s="51"/>
      <c r="D124" s="51"/>
      <c r="E124" s="18"/>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8"/>
      <c r="B125" s="51"/>
      <c r="C125" s="51"/>
      <c r="D125" s="51"/>
      <c r="E125" s="18"/>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8"/>
      <c r="B126" s="51"/>
      <c r="C126" s="51"/>
      <c r="D126" s="51"/>
      <c r="E126" s="18"/>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8"/>
      <c r="B127" s="51"/>
      <c r="C127" s="51"/>
      <c r="D127" s="51"/>
      <c r="E127" s="18"/>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8"/>
      <c r="B128" s="51"/>
      <c r="C128" s="51"/>
      <c r="D128" s="51"/>
      <c r="E128" s="18"/>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8"/>
      <c r="B129" s="51"/>
      <c r="C129" s="51"/>
      <c r="D129" s="51"/>
      <c r="E129" s="18"/>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8"/>
      <c r="B130" s="51"/>
      <c r="C130" s="51"/>
      <c r="D130" s="51"/>
      <c r="E130" s="18"/>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8"/>
      <c r="B131" s="51"/>
      <c r="C131" s="51"/>
      <c r="D131" s="51"/>
      <c r="E131" s="18"/>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8"/>
      <c r="B132" s="51"/>
      <c r="C132" s="51"/>
      <c r="D132" s="51"/>
      <c r="E132" s="18"/>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8"/>
      <c r="B133" s="51"/>
      <c r="C133" s="51"/>
      <c r="D133" s="51"/>
      <c r="E133" s="18"/>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8"/>
      <c r="B134" s="51"/>
      <c r="C134" s="51"/>
      <c r="D134" s="51"/>
      <c r="E134" s="18"/>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8"/>
      <c r="B135" s="51"/>
      <c r="C135" s="51"/>
      <c r="D135" s="51"/>
      <c r="E135" s="18"/>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8"/>
      <c r="B136" s="51"/>
      <c r="C136" s="51"/>
      <c r="D136" s="51"/>
      <c r="E136" s="18"/>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8"/>
      <c r="B137" s="51"/>
      <c r="C137" s="51"/>
      <c r="D137" s="51"/>
      <c r="E137" s="18"/>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8"/>
      <c r="B138" s="51"/>
      <c r="C138" s="51"/>
      <c r="D138" s="51"/>
      <c r="E138" s="18"/>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8"/>
      <c r="B139" s="51"/>
      <c r="C139" s="51"/>
      <c r="D139" s="51"/>
      <c r="E139" s="18"/>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8"/>
      <c r="B140" s="51"/>
      <c r="C140" s="51"/>
      <c r="D140" s="51"/>
      <c r="E140" s="18"/>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8"/>
      <c r="B141" s="51"/>
      <c r="C141" s="51"/>
      <c r="D141" s="51"/>
      <c r="E141" s="18"/>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8"/>
      <c r="B142" s="51"/>
      <c r="C142" s="51"/>
      <c r="D142" s="51"/>
      <c r="E142" s="18"/>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8"/>
      <c r="B143" s="51"/>
      <c r="C143" s="51"/>
      <c r="D143" s="51"/>
      <c r="E143" s="18"/>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8"/>
      <c r="B144" s="51"/>
      <c r="C144" s="51"/>
      <c r="D144" s="51"/>
      <c r="E144" s="18"/>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8"/>
      <c r="B145" s="51"/>
      <c r="C145" s="51"/>
      <c r="D145" s="51"/>
      <c r="E145" s="18"/>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8"/>
      <c r="B146" s="51"/>
      <c r="C146" s="51"/>
      <c r="D146" s="51"/>
      <c r="E146" s="18"/>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8"/>
      <c r="B147" s="51"/>
      <c r="C147" s="51"/>
      <c r="D147" s="51"/>
      <c r="E147" s="18"/>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8"/>
      <c r="B148" s="51"/>
      <c r="C148" s="51"/>
      <c r="D148" s="51"/>
      <c r="E148" s="18"/>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8"/>
      <c r="B149" s="51"/>
      <c r="C149" s="51"/>
      <c r="D149" s="51"/>
      <c r="E149" s="18"/>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8"/>
      <c r="B150" s="51"/>
      <c r="C150" s="51"/>
      <c r="D150" s="51"/>
      <c r="E150" s="18"/>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8"/>
      <c r="B151" s="51"/>
      <c r="C151" s="51"/>
      <c r="D151" s="51"/>
      <c r="E151" s="18"/>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8"/>
      <c r="B152" s="51"/>
      <c r="C152" s="51"/>
      <c r="D152" s="51"/>
      <c r="E152" s="18"/>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8"/>
      <c r="B153" s="51"/>
      <c r="C153" s="51"/>
      <c r="D153" s="51"/>
      <c r="E153" s="18"/>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8"/>
      <c r="B154" s="51"/>
      <c r="C154" s="51"/>
      <c r="D154" s="51"/>
      <c r="E154" s="18"/>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8"/>
      <c r="B155" s="51"/>
      <c r="C155" s="51"/>
      <c r="D155" s="51"/>
      <c r="E155" s="18"/>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8"/>
      <c r="B156" s="51"/>
      <c r="C156" s="51"/>
      <c r="D156" s="51"/>
      <c r="E156" s="18"/>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8"/>
      <c r="B157" s="51"/>
      <c r="C157" s="51"/>
      <c r="D157" s="51"/>
      <c r="E157" s="18"/>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8"/>
      <c r="B158" s="51"/>
      <c r="C158" s="51"/>
      <c r="D158" s="51"/>
      <c r="E158" s="18"/>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8"/>
      <c r="B159" s="51"/>
      <c r="C159" s="51"/>
      <c r="D159" s="51"/>
      <c r="E159" s="18"/>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8"/>
      <c r="B160" s="51"/>
      <c r="C160" s="51"/>
      <c r="D160" s="51"/>
      <c r="E160" s="18"/>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8"/>
      <c r="B161" s="51"/>
      <c r="C161" s="51"/>
      <c r="D161" s="51"/>
      <c r="E161" s="18"/>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8"/>
      <c r="B162" s="51"/>
      <c r="C162" s="51"/>
      <c r="D162" s="51"/>
      <c r="E162" s="18"/>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8"/>
      <c r="B163" s="51"/>
      <c r="C163" s="51"/>
      <c r="D163" s="51"/>
      <c r="E163" s="18"/>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8"/>
      <c r="B164" s="51"/>
      <c r="C164" s="51"/>
      <c r="D164" s="51"/>
      <c r="E164" s="18"/>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8"/>
      <c r="B165" s="51"/>
      <c r="C165" s="51"/>
      <c r="D165" s="51"/>
      <c r="E165" s="18"/>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8"/>
      <c r="B166" s="51"/>
      <c r="C166" s="51"/>
      <c r="D166" s="51"/>
      <c r="E166" s="18"/>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8"/>
      <c r="B167" s="51"/>
      <c r="C167" s="51"/>
      <c r="D167" s="51"/>
      <c r="E167" s="18"/>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8"/>
      <c r="B168" s="51"/>
      <c r="C168" s="51"/>
      <c r="D168" s="51"/>
      <c r="E168" s="18"/>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8"/>
      <c r="B169" s="51"/>
      <c r="C169" s="51"/>
      <c r="D169" s="51"/>
      <c r="E169" s="18"/>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8"/>
      <c r="B170" s="51"/>
      <c r="C170" s="51"/>
      <c r="D170" s="51"/>
      <c r="E170" s="18"/>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8"/>
      <c r="B171" s="51"/>
      <c r="C171" s="51"/>
      <c r="D171" s="51"/>
      <c r="E171" s="18"/>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8"/>
      <c r="B172" s="51"/>
      <c r="C172" s="51"/>
      <c r="D172" s="51"/>
      <c r="E172" s="18"/>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8"/>
      <c r="B173" s="51"/>
      <c r="C173" s="51"/>
      <c r="D173" s="51"/>
      <c r="E173" s="18"/>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8"/>
      <c r="B174" s="51"/>
      <c r="C174" s="51"/>
      <c r="D174" s="51"/>
      <c r="E174" s="18"/>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8"/>
      <c r="B175" s="51"/>
      <c r="C175" s="51"/>
      <c r="D175" s="51"/>
      <c r="E175" s="18"/>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8"/>
      <c r="B176" s="51"/>
      <c r="C176" s="51"/>
      <c r="D176" s="51"/>
      <c r="E176" s="18"/>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8"/>
      <c r="B177" s="51"/>
      <c r="C177" s="51"/>
      <c r="D177" s="51"/>
      <c r="E177" s="18"/>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8"/>
      <c r="B178" s="51"/>
      <c r="C178" s="51"/>
      <c r="D178" s="51"/>
      <c r="E178" s="18"/>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8"/>
      <c r="B179" s="51"/>
      <c r="C179" s="51"/>
      <c r="D179" s="51"/>
      <c r="E179" s="18"/>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8"/>
      <c r="B180" s="51"/>
      <c r="C180" s="51"/>
      <c r="D180" s="51"/>
      <c r="E180" s="18"/>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8"/>
      <c r="B181" s="51"/>
      <c r="C181" s="51"/>
      <c r="D181" s="51"/>
      <c r="E181" s="18"/>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8"/>
      <c r="B182" s="51"/>
      <c r="C182" s="51"/>
      <c r="D182" s="51"/>
      <c r="E182" s="18"/>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8"/>
      <c r="B183" s="51"/>
      <c r="C183" s="51"/>
      <c r="D183" s="51"/>
      <c r="E183" s="18"/>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8"/>
      <c r="B184" s="51"/>
      <c r="C184" s="51"/>
      <c r="D184" s="51"/>
      <c r="E184" s="18"/>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8"/>
      <c r="B185" s="51"/>
      <c r="C185" s="51"/>
      <c r="D185" s="51"/>
      <c r="E185" s="18"/>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8"/>
      <c r="B186" s="51"/>
      <c r="C186" s="51"/>
      <c r="D186" s="51"/>
      <c r="E186" s="18"/>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8"/>
      <c r="B187" s="51"/>
      <c r="C187" s="51"/>
      <c r="D187" s="51"/>
      <c r="E187" s="18"/>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8"/>
      <c r="B188" s="51"/>
      <c r="C188" s="51"/>
      <c r="D188" s="51"/>
      <c r="E188" s="18"/>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8"/>
      <c r="B189" s="51"/>
      <c r="C189" s="51"/>
      <c r="D189" s="51"/>
      <c r="E189" s="18"/>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8"/>
      <c r="B190" s="51"/>
      <c r="C190" s="51"/>
      <c r="D190" s="51"/>
      <c r="E190" s="18"/>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8"/>
      <c r="B191" s="51"/>
      <c r="C191" s="51"/>
      <c r="D191" s="51"/>
      <c r="E191" s="18"/>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8"/>
      <c r="B192" s="51"/>
      <c r="C192" s="51"/>
      <c r="D192" s="51"/>
      <c r="E192" s="18"/>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8"/>
      <c r="B193" s="51"/>
      <c r="C193" s="51"/>
      <c r="D193" s="51"/>
      <c r="E193" s="18"/>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8"/>
      <c r="B194" s="51"/>
      <c r="C194" s="51"/>
      <c r="D194" s="51"/>
      <c r="E194" s="18"/>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8"/>
      <c r="B195" s="51"/>
      <c r="C195" s="51"/>
      <c r="D195" s="51"/>
      <c r="E195" s="18"/>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8"/>
      <c r="B196" s="51"/>
      <c r="C196" s="51"/>
      <c r="D196" s="51"/>
      <c r="E196" s="18"/>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8"/>
      <c r="B197" s="51"/>
      <c r="C197" s="51"/>
      <c r="D197" s="51"/>
      <c r="E197" s="18"/>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8"/>
      <c r="B198" s="51"/>
      <c r="C198" s="51"/>
      <c r="D198" s="51"/>
      <c r="E198" s="18"/>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8"/>
      <c r="B199" s="51"/>
      <c r="C199" s="51"/>
      <c r="D199" s="51"/>
      <c r="E199" s="18"/>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8"/>
      <c r="B200" s="51"/>
      <c r="C200" s="51"/>
      <c r="D200" s="51"/>
      <c r="E200" s="18"/>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8"/>
      <c r="B201" s="51"/>
      <c r="C201" s="51"/>
      <c r="D201" s="51"/>
      <c r="E201" s="18"/>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8"/>
      <c r="B202" s="51"/>
      <c r="C202" s="51"/>
      <c r="D202" s="51"/>
      <c r="E202" s="18"/>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8"/>
      <c r="B203" s="51"/>
      <c r="C203" s="51"/>
      <c r="D203" s="51"/>
      <c r="E203" s="18"/>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8"/>
      <c r="B204" s="51"/>
      <c r="C204" s="51"/>
      <c r="D204" s="51"/>
      <c r="E204" s="18"/>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8"/>
      <c r="B205" s="51"/>
      <c r="C205" s="51"/>
      <c r="D205" s="51"/>
      <c r="E205" s="18"/>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8"/>
      <c r="B206" s="51"/>
      <c r="C206" s="51"/>
      <c r="D206" s="51"/>
      <c r="E206" s="18"/>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8"/>
      <c r="B207" s="51"/>
      <c r="C207" s="51"/>
      <c r="D207" s="51"/>
      <c r="E207" s="18"/>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8"/>
      <c r="B208" s="51"/>
      <c r="C208" s="51"/>
      <c r="D208" s="51"/>
      <c r="E208" s="18"/>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8"/>
      <c r="B209" s="51"/>
      <c r="C209" s="51"/>
      <c r="D209" s="51"/>
      <c r="E209" s="18"/>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8"/>
      <c r="B210" s="51"/>
      <c r="C210" s="51"/>
      <c r="D210" s="51"/>
      <c r="E210" s="18"/>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8"/>
      <c r="B211" s="51"/>
      <c r="C211" s="51"/>
      <c r="D211" s="51"/>
      <c r="E211" s="18"/>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8"/>
      <c r="B212" s="51"/>
      <c r="C212" s="51"/>
      <c r="D212" s="51"/>
      <c r="E212" s="18"/>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8"/>
      <c r="B213" s="51"/>
      <c r="C213" s="51"/>
      <c r="D213" s="51"/>
      <c r="E213" s="18"/>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8"/>
      <c r="B214" s="51"/>
      <c r="C214" s="51"/>
      <c r="D214" s="51"/>
      <c r="E214" s="18"/>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8"/>
      <c r="B215" s="51"/>
      <c r="C215" s="51"/>
      <c r="D215" s="51"/>
      <c r="E215" s="18"/>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8"/>
      <c r="B216" s="51"/>
      <c r="C216" s="51"/>
      <c r="D216" s="51"/>
      <c r="E216" s="18"/>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8"/>
      <c r="B217" s="51"/>
      <c r="C217" s="51"/>
      <c r="D217" s="51"/>
      <c r="E217" s="18"/>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8"/>
      <c r="B218" s="51"/>
      <c r="C218" s="51"/>
      <c r="D218" s="51"/>
      <c r="E218" s="18"/>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8"/>
      <c r="B219" s="51"/>
      <c r="C219" s="51"/>
      <c r="D219" s="51"/>
      <c r="E219" s="18"/>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8"/>
      <c r="B220" s="51"/>
      <c r="C220" s="51"/>
      <c r="D220" s="51"/>
      <c r="E220" s="18"/>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8"/>
      <c r="B221" s="51"/>
      <c r="C221" s="51"/>
      <c r="D221" s="51"/>
      <c r="E221" s="18"/>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8"/>
      <c r="B222" s="51"/>
      <c r="C222" s="51"/>
      <c r="D222" s="51"/>
      <c r="E222" s="18"/>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8"/>
      <c r="B223" s="51"/>
      <c r="C223" s="51"/>
      <c r="D223" s="51"/>
      <c r="E223" s="18"/>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8"/>
      <c r="B224" s="51"/>
      <c r="C224" s="51"/>
      <c r="D224" s="51"/>
      <c r="E224" s="18"/>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8"/>
      <c r="B225" s="51"/>
      <c r="C225" s="51"/>
      <c r="D225" s="51"/>
      <c r="E225" s="18"/>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8"/>
      <c r="B226" s="51"/>
      <c r="C226" s="51"/>
      <c r="D226" s="51"/>
      <c r="E226" s="18"/>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8"/>
      <c r="B227" s="51"/>
      <c r="C227" s="51"/>
      <c r="D227" s="51"/>
      <c r="E227" s="18"/>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8"/>
      <c r="B228" s="51"/>
      <c r="C228" s="51"/>
      <c r="D228" s="51"/>
      <c r="E228" s="18"/>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8"/>
      <c r="B229" s="51"/>
      <c r="C229" s="51"/>
      <c r="D229" s="51"/>
      <c r="E229" s="18"/>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8"/>
      <c r="B230" s="51"/>
      <c r="C230" s="51"/>
      <c r="D230" s="51"/>
      <c r="E230" s="18"/>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8"/>
      <c r="B231" s="51"/>
      <c r="C231" s="51"/>
      <c r="D231" s="51"/>
      <c r="E231" s="18"/>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8"/>
      <c r="B232" s="51"/>
      <c r="C232" s="51"/>
      <c r="D232" s="51"/>
      <c r="E232" s="18"/>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8"/>
      <c r="B233" s="51"/>
      <c r="C233" s="51"/>
      <c r="D233" s="51"/>
      <c r="E233" s="18"/>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8"/>
      <c r="B234" s="51"/>
      <c r="C234" s="51"/>
      <c r="D234" s="51"/>
      <c r="E234" s="18"/>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8"/>
      <c r="B235" s="51"/>
      <c r="C235" s="51"/>
      <c r="D235" s="51"/>
      <c r="E235" s="18"/>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8"/>
      <c r="B236" s="51"/>
      <c r="C236" s="51"/>
      <c r="D236" s="51"/>
      <c r="E236" s="18"/>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8"/>
      <c r="B237" s="51"/>
      <c r="C237" s="51"/>
      <c r="D237" s="51"/>
      <c r="E237" s="18"/>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8"/>
      <c r="B238" s="51"/>
      <c r="C238" s="51"/>
      <c r="D238" s="51"/>
      <c r="E238" s="18"/>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8"/>
      <c r="B239" s="51"/>
      <c r="C239" s="51"/>
      <c r="D239" s="51"/>
      <c r="E239" s="18"/>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8"/>
      <c r="B240" s="51"/>
      <c r="C240" s="51"/>
      <c r="D240" s="51"/>
      <c r="E240" s="18"/>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8"/>
      <c r="B241" s="51"/>
      <c r="C241" s="51"/>
      <c r="D241" s="51"/>
      <c r="E241" s="18"/>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8"/>
      <c r="B242" s="51"/>
      <c r="C242" s="51"/>
      <c r="D242" s="51"/>
      <c r="E242" s="18"/>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8"/>
      <c r="B243" s="51"/>
      <c r="C243" s="51"/>
      <c r="D243" s="51"/>
      <c r="E243" s="18"/>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8"/>
      <c r="B244" s="51"/>
      <c r="C244" s="51"/>
      <c r="D244" s="51"/>
      <c r="E244" s="18"/>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8"/>
      <c r="B245" s="51"/>
      <c r="C245" s="51"/>
      <c r="D245" s="51"/>
      <c r="E245" s="18"/>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8"/>
      <c r="B246" s="51"/>
      <c r="C246" s="51"/>
      <c r="D246" s="51"/>
      <c r="E246" s="18"/>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8"/>
      <c r="B247" s="51"/>
      <c r="C247" s="51"/>
      <c r="D247" s="51"/>
      <c r="E247" s="18"/>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8"/>
      <c r="B248" s="51"/>
      <c r="C248" s="51"/>
      <c r="D248" s="51"/>
      <c r="E248" s="18"/>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8"/>
      <c r="B249" s="51"/>
      <c r="C249" s="51"/>
      <c r="D249" s="51"/>
      <c r="E249" s="18"/>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8"/>
      <c r="B250" s="51"/>
      <c r="C250" s="51"/>
      <c r="D250" s="51"/>
      <c r="E250" s="18"/>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8"/>
      <c r="B251" s="51"/>
      <c r="C251" s="51"/>
      <c r="D251" s="51"/>
      <c r="E251" s="18"/>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8"/>
      <c r="B252" s="51"/>
      <c r="C252" s="51"/>
      <c r="D252" s="51"/>
      <c r="E252" s="18"/>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8"/>
      <c r="B253" s="51"/>
      <c r="C253" s="51"/>
      <c r="D253" s="51"/>
      <c r="E253" s="18"/>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8"/>
      <c r="B254" s="51"/>
      <c r="C254" s="51"/>
      <c r="D254" s="51"/>
      <c r="E254" s="18"/>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8"/>
      <c r="B255" s="51"/>
      <c r="C255" s="51"/>
      <c r="D255" s="51"/>
      <c r="E255" s="18"/>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8"/>
      <c r="B256" s="51"/>
      <c r="C256" s="51"/>
      <c r="D256" s="51"/>
      <c r="E256" s="18"/>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8"/>
      <c r="B257" s="51"/>
      <c r="C257" s="51"/>
      <c r="D257" s="51"/>
      <c r="E257" s="18"/>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8"/>
      <c r="B258" s="51"/>
      <c r="C258" s="51"/>
      <c r="D258" s="51"/>
      <c r="E258" s="18"/>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8"/>
      <c r="B259" s="51"/>
      <c r="C259" s="51"/>
      <c r="D259" s="51"/>
      <c r="E259" s="18"/>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8"/>
      <c r="B260" s="51"/>
      <c r="C260" s="51"/>
      <c r="D260" s="51"/>
      <c r="E260" s="18"/>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8"/>
      <c r="B261" s="51"/>
      <c r="C261" s="51"/>
      <c r="D261" s="51"/>
      <c r="E261" s="18"/>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8"/>
      <c r="B262" s="51"/>
      <c r="C262" s="51"/>
      <c r="D262" s="51"/>
      <c r="E262" s="18"/>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8"/>
      <c r="B263" s="51"/>
      <c r="C263" s="51"/>
      <c r="D263" s="51"/>
      <c r="E263" s="18"/>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8"/>
      <c r="B264" s="51"/>
      <c r="C264" s="51"/>
      <c r="D264" s="51"/>
      <c r="E264" s="18"/>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8"/>
      <c r="B265" s="51"/>
      <c r="C265" s="51"/>
      <c r="D265" s="51"/>
      <c r="E265" s="18"/>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8"/>
      <c r="B266" s="51"/>
      <c r="C266" s="51"/>
      <c r="D266" s="51"/>
      <c r="E266" s="18"/>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8"/>
      <c r="B267" s="51"/>
      <c r="C267" s="51"/>
      <c r="D267" s="51"/>
      <c r="E267" s="18"/>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8"/>
      <c r="B268" s="51"/>
      <c r="C268" s="51"/>
      <c r="D268" s="51"/>
      <c r="E268" s="18"/>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8"/>
      <c r="B269" s="51"/>
      <c r="C269" s="51"/>
      <c r="D269" s="51"/>
      <c r="E269" s="18"/>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8"/>
      <c r="B270" s="51"/>
      <c r="C270" s="51"/>
      <c r="D270" s="51"/>
      <c r="E270" s="18"/>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8"/>
      <c r="B271" s="51"/>
      <c r="C271" s="51"/>
      <c r="D271" s="51"/>
      <c r="E271" s="18"/>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8"/>
      <c r="B272" s="51"/>
      <c r="C272" s="51"/>
      <c r="D272" s="51"/>
      <c r="E272" s="18"/>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8"/>
      <c r="B273" s="51"/>
      <c r="C273" s="51"/>
      <c r="D273" s="51"/>
      <c r="E273" s="18"/>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8"/>
      <c r="B274" s="51"/>
      <c r="C274" s="51"/>
      <c r="D274" s="51"/>
      <c r="E274" s="18"/>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8"/>
      <c r="B275" s="51"/>
      <c r="C275" s="51"/>
      <c r="D275" s="51"/>
      <c r="E275" s="18"/>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8"/>
      <c r="B276" s="51"/>
      <c r="C276" s="51"/>
      <c r="D276" s="51"/>
      <c r="E276" s="18"/>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8"/>
      <c r="B277" s="51"/>
      <c r="C277" s="51"/>
      <c r="D277" s="51"/>
      <c r="E277" s="18"/>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8"/>
      <c r="B278" s="51"/>
      <c r="C278" s="51"/>
      <c r="D278" s="51"/>
      <c r="E278" s="18"/>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8"/>
      <c r="B279" s="51"/>
      <c r="C279" s="51"/>
      <c r="D279" s="51"/>
      <c r="E279" s="18"/>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8"/>
      <c r="B280" s="51"/>
      <c r="C280" s="51"/>
      <c r="D280" s="51"/>
      <c r="E280" s="18"/>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8"/>
      <c r="B281" s="51"/>
      <c r="C281" s="51"/>
      <c r="D281" s="51"/>
      <c r="E281" s="18"/>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8"/>
      <c r="B282" s="51"/>
      <c r="C282" s="51"/>
      <c r="D282" s="51"/>
      <c r="E282" s="18"/>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8"/>
      <c r="B283" s="51"/>
      <c r="C283" s="51"/>
      <c r="D283" s="51"/>
      <c r="E283" s="18"/>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8"/>
      <c r="B284" s="51"/>
      <c r="C284" s="51"/>
      <c r="D284" s="51"/>
      <c r="E284" s="18"/>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8"/>
      <c r="B285" s="51"/>
      <c r="C285" s="51"/>
      <c r="D285" s="51"/>
      <c r="E285" s="18"/>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8"/>
      <c r="B286" s="51"/>
      <c r="C286" s="51"/>
      <c r="D286" s="51"/>
      <c r="E286" s="18"/>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8"/>
      <c r="B287" s="51"/>
      <c r="C287" s="51"/>
      <c r="D287" s="51"/>
      <c r="E287" s="18"/>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8"/>
      <c r="B288" s="51"/>
      <c r="C288" s="51"/>
      <c r="D288" s="51"/>
      <c r="E288" s="18"/>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8"/>
      <c r="B289" s="51"/>
      <c r="C289" s="51"/>
      <c r="D289" s="51"/>
      <c r="E289" s="18"/>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8"/>
      <c r="B290" s="51"/>
      <c r="C290" s="51"/>
      <c r="D290" s="51"/>
      <c r="E290" s="18"/>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8"/>
      <c r="B291" s="51"/>
      <c r="C291" s="51"/>
      <c r="D291" s="51"/>
      <c r="E291" s="18"/>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8"/>
      <c r="B292" s="51"/>
      <c r="C292" s="51"/>
      <c r="D292" s="51"/>
      <c r="E292" s="18"/>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8"/>
      <c r="B293" s="51"/>
      <c r="C293" s="51"/>
      <c r="D293" s="51"/>
      <c r="E293" s="18"/>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8"/>
      <c r="B294" s="51"/>
      <c r="C294" s="51"/>
      <c r="D294" s="51"/>
      <c r="E294" s="18"/>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8"/>
      <c r="B295" s="51"/>
      <c r="C295" s="51"/>
      <c r="D295" s="51"/>
      <c r="E295" s="18"/>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8"/>
      <c r="B296" s="51"/>
      <c r="C296" s="51"/>
      <c r="D296" s="51"/>
      <c r="E296" s="18"/>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8"/>
      <c r="B297" s="51"/>
      <c r="C297" s="51"/>
      <c r="D297" s="51"/>
      <c r="E297" s="18"/>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8"/>
      <c r="B298" s="51"/>
      <c r="C298" s="51"/>
      <c r="D298" s="51"/>
      <c r="E298" s="18"/>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8"/>
      <c r="B299" s="51"/>
      <c r="C299" s="51"/>
      <c r="D299" s="51"/>
      <c r="E299" s="18"/>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8"/>
      <c r="B300" s="51"/>
      <c r="C300" s="51"/>
      <c r="D300" s="51"/>
      <c r="E300" s="18"/>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8"/>
      <c r="B301" s="51"/>
      <c r="C301" s="51"/>
      <c r="D301" s="51"/>
      <c r="E301" s="18"/>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8"/>
      <c r="B302" s="51"/>
      <c r="C302" s="51"/>
      <c r="D302" s="51"/>
      <c r="E302" s="18"/>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8"/>
      <c r="B303" s="51"/>
      <c r="C303" s="51"/>
      <c r="D303" s="51"/>
      <c r="E303" s="18"/>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8"/>
      <c r="B304" s="51"/>
      <c r="C304" s="51"/>
      <c r="D304" s="51"/>
      <c r="E304" s="18"/>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8"/>
      <c r="B305" s="51"/>
      <c r="C305" s="51"/>
      <c r="D305" s="51"/>
      <c r="E305" s="18"/>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8"/>
      <c r="B306" s="51"/>
      <c r="C306" s="51"/>
      <c r="D306" s="51"/>
      <c r="E306" s="18"/>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8"/>
      <c r="B307" s="51"/>
      <c r="C307" s="51"/>
      <c r="D307" s="51"/>
      <c r="E307" s="18"/>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8"/>
      <c r="B308" s="51"/>
      <c r="C308" s="51"/>
      <c r="D308" s="51"/>
      <c r="E308" s="18"/>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8"/>
      <c r="B309" s="51"/>
      <c r="C309" s="51"/>
      <c r="D309" s="51"/>
      <c r="E309" s="18"/>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8"/>
      <c r="B310" s="51"/>
      <c r="C310" s="51"/>
      <c r="D310" s="51"/>
      <c r="E310" s="18"/>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8"/>
      <c r="B311" s="51"/>
      <c r="C311" s="51"/>
      <c r="D311" s="51"/>
      <c r="E311" s="18"/>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8"/>
      <c r="B312" s="51"/>
      <c r="C312" s="51"/>
      <c r="D312" s="51"/>
      <c r="E312" s="18"/>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8"/>
      <c r="B313" s="51"/>
      <c r="C313" s="51"/>
      <c r="D313" s="51"/>
      <c r="E313" s="18"/>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8"/>
      <c r="B314" s="51"/>
      <c r="C314" s="51"/>
      <c r="D314" s="51"/>
      <c r="E314" s="18"/>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8"/>
      <c r="B315" s="51"/>
      <c r="C315" s="51"/>
      <c r="D315" s="51"/>
      <c r="E315" s="18"/>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8"/>
      <c r="B316" s="51"/>
      <c r="C316" s="51"/>
      <c r="D316" s="51"/>
      <c r="E316" s="18"/>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8"/>
      <c r="B317" s="51"/>
      <c r="C317" s="51"/>
      <c r="D317" s="51"/>
      <c r="E317" s="18"/>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8"/>
      <c r="B318" s="51"/>
      <c r="C318" s="51"/>
      <c r="D318" s="51"/>
      <c r="E318" s="18"/>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8"/>
      <c r="B319" s="51"/>
      <c r="C319" s="51"/>
      <c r="D319" s="51"/>
      <c r="E319" s="18"/>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8"/>
      <c r="B320" s="51"/>
      <c r="C320" s="51"/>
      <c r="D320" s="51"/>
      <c r="E320" s="18"/>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8"/>
      <c r="B321" s="51"/>
      <c r="C321" s="51"/>
      <c r="D321" s="51"/>
      <c r="E321" s="18"/>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8"/>
      <c r="B322" s="51"/>
      <c r="C322" s="51"/>
      <c r="D322" s="51"/>
      <c r="E322" s="18"/>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8"/>
      <c r="B323" s="51"/>
      <c r="C323" s="51"/>
      <c r="D323" s="51"/>
      <c r="E323" s="18"/>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8"/>
      <c r="B324" s="51"/>
      <c r="C324" s="51"/>
      <c r="D324" s="51"/>
      <c r="E324" s="18"/>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8"/>
      <c r="B325" s="51"/>
      <c r="C325" s="51"/>
      <c r="D325" s="51"/>
      <c r="E325" s="18"/>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8"/>
      <c r="B326" s="51"/>
      <c r="C326" s="51"/>
      <c r="D326" s="51"/>
      <c r="E326" s="18"/>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8"/>
      <c r="B327" s="51"/>
      <c r="C327" s="51"/>
      <c r="D327" s="51"/>
      <c r="E327" s="18"/>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8"/>
      <c r="B328" s="51"/>
      <c r="C328" s="51"/>
      <c r="D328" s="51"/>
      <c r="E328" s="18"/>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8"/>
      <c r="B329" s="51"/>
      <c r="C329" s="51"/>
      <c r="D329" s="51"/>
      <c r="E329" s="18"/>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8"/>
      <c r="B330" s="51"/>
      <c r="C330" s="51"/>
      <c r="D330" s="51"/>
      <c r="E330" s="18"/>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8"/>
      <c r="B331" s="51"/>
      <c r="C331" s="51"/>
      <c r="D331" s="51"/>
      <c r="E331" s="18"/>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8"/>
      <c r="B332" s="51"/>
      <c r="C332" s="51"/>
      <c r="D332" s="51"/>
      <c r="E332" s="18"/>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8"/>
      <c r="B333" s="51"/>
      <c r="C333" s="51"/>
      <c r="D333" s="51"/>
      <c r="E333" s="18"/>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8"/>
      <c r="B334" s="51"/>
      <c r="C334" s="51"/>
      <c r="D334" s="51"/>
      <c r="E334" s="18"/>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8"/>
      <c r="B335" s="51"/>
      <c r="C335" s="51"/>
      <c r="D335" s="51"/>
      <c r="E335" s="18"/>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8"/>
      <c r="B336" s="51"/>
      <c r="C336" s="51"/>
      <c r="D336" s="51"/>
      <c r="E336" s="18"/>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8"/>
      <c r="B337" s="51"/>
      <c r="C337" s="51"/>
      <c r="D337" s="51"/>
      <c r="E337" s="18"/>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8"/>
      <c r="B338" s="51"/>
      <c r="C338" s="51"/>
      <c r="D338" s="51"/>
      <c r="E338" s="18"/>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8"/>
      <c r="B339" s="51"/>
      <c r="C339" s="51"/>
      <c r="D339" s="51"/>
      <c r="E339" s="18"/>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8"/>
      <c r="B340" s="51"/>
      <c r="C340" s="51"/>
      <c r="D340" s="51"/>
      <c r="E340" s="18"/>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8"/>
      <c r="B341" s="51"/>
      <c r="C341" s="51"/>
      <c r="D341" s="51"/>
      <c r="E341" s="18"/>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8"/>
      <c r="B342" s="51"/>
      <c r="C342" s="51"/>
      <c r="D342" s="51"/>
      <c r="E342" s="18"/>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8"/>
      <c r="B343" s="51"/>
      <c r="C343" s="51"/>
      <c r="D343" s="51"/>
      <c r="E343" s="18"/>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8"/>
      <c r="B344" s="51"/>
      <c r="C344" s="51"/>
      <c r="D344" s="51"/>
      <c r="E344" s="18"/>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8"/>
      <c r="B345" s="51"/>
      <c r="C345" s="51"/>
      <c r="D345" s="51"/>
      <c r="E345" s="18"/>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8"/>
      <c r="B346" s="51"/>
      <c r="C346" s="51"/>
      <c r="D346" s="51"/>
      <c r="E346" s="18"/>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8"/>
      <c r="B347" s="51"/>
      <c r="C347" s="51"/>
      <c r="D347" s="51"/>
      <c r="E347" s="18"/>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8"/>
      <c r="B348" s="51"/>
      <c r="C348" s="51"/>
      <c r="D348" s="51"/>
      <c r="E348" s="18"/>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8"/>
      <c r="B349" s="51"/>
      <c r="C349" s="51"/>
      <c r="D349" s="51"/>
      <c r="E349" s="18"/>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8"/>
      <c r="B350" s="51"/>
      <c r="C350" s="51"/>
      <c r="D350" s="51"/>
      <c r="E350" s="18"/>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8"/>
      <c r="B351" s="51"/>
      <c r="C351" s="51"/>
      <c r="D351" s="51"/>
      <c r="E351" s="18"/>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8"/>
      <c r="B352" s="51"/>
      <c r="C352" s="51"/>
      <c r="D352" s="51"/>
      <c r="E352" s="18"/>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8"/>
      <c r="B353" s="51"/>
      <c r="C353" s="51"/>
      <c r="D353" s="51"/>
      <c r="E353" s="18"/>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8"/>
      <c r="B354" s="51"/>
      <c r="C354" s="51"/>
      <c r="D354" s="51"/>
      <c r="E354" s="18"/>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8"/>
      <c r="B355" s="51"/>
      <c r="C355" s="51"/>
      <c r="D355" s="51"/>
      <c r="E355" s="18"/>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8"/>
      <c r="B356" s="51"/>
      <c r="C356" s="51"/>
      <c r="D356" s="51"/>
      <c r="E356" s="18"/>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8"/>
      <c r="B357" s="51"/>
      <c r="C357" s="51"/>
      <c r="D357" s="51"/>
      <c r="E357" s="18"/>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8"/>
      <c r="B358" s="51"/>
      <c r="C358" s="51"/>
      <c r="D358" s="51"/>
      <c r="E358" s="18"/>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8"/>
      <c r="B359" s="51"/>
      <c r="C359" s="51"/>
      <c r="D359" s="51"/>
      <c r="E359" s="18"/>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8"/>
      <c r="B360" s="51"/>
      <c r="C360" s="51"/>
      <c r="D360" s="51"/>
      <c r="E360" s="18"/>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8"/>
      <c r="B361" s="51"/>
      <c r="C361" s="51"/>
      <c r="D361" s="51"/>
      <c r="E361" s="18"/>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8"/>
      <c r="B362" s="51"/>
      <c r="C362" s="51"/>
      <c r="D362" s="51"/>
      <c r="E362" s="18"/>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8"/>
      <c r="B363" s="51"/>
      <c r="C363" s="51"/>
      <c r="D363" s="51"/>
      <c r="E363" s="18"/>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8"/>
      <c r="B364" s="51"/>
      <c r="C364" s="51"/>
      <c r="D364" s="51"/>
      <c r="E364" s="18"/>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8"/>
      <c r="B365" s="51"/>
      <c r="C365" s="51"/>
      <c r="D365" s="51"/>
      <c r="E365" s="18"/>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8"/>
      <c r="B366" s="51"/>
      <c r="C366" s="51"/>
      <c r="D366" s="51"/>
      <c r="E366" s="18"/>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8"/>
      <c r="B367" s="51"/>
      <c r="C367" s="51"/>
      <c r="D367" s="51"/>
      <c r="E367" s="18"/>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8"/>
      <c r="B368" s="51"/>
      <c r="C368" s="51"/>
      <c r="D368" s="51"/>
      <c r="E368" s="18"/>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8"/>
      <c r="B369" s="51"/>
      <c r="C369" s="51"/>
      <c r="D369" s="51"/>
      <c r="E369" s="18"/>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8"/>
      <c r="B370" s="51"/>
      <c r="C370" s="51"/>
      <c r="D370" s="51"/>
      <c r="E370" s="18"/>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8"/>
      <c r="B371" s="51"/>
      <c r="C371" s="51"/>
      <c r="D371" s="51"/>
      <c r="E371" s="18"/>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8"/>
      <c r="B372" s="51"/>
      <c r="C372" s="51"/>
      <c r="D372" s="51"/>
      <c r="E372" s="18"/>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8"/>
      <c r="B373" s="51"/>
      <c r="C373" s="51"/>
      <c r="D373" s="51"/>
      <c r="E373" s="18"/>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8"/>
      <c r="B374" s="51"/>
      <c r="C374" s="51"/>
      <c r="D374" s="51"/>
      <c r="E374" s="18"/>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8"/>
      <c r="B375" s="51"/>
      <c r="C375" s="51"/>
      <c r="D375" s="51"/>
      <c r="E375" s="18"/>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8"/>
      <c r="B376" s="51"/>
      <c r="C376" s="51"/>
      <c r="D376" s="51"/>
      <c r="E376" s="18"/>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8"/>
      <c r="B377" s="51"/>
      <c r="C377" s="51"/>
      <c r="D377" s="51"/>
      <c r="E377" s="18"/>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8"/>
      <c r="B378" s="51"/>
      <c r="C378" s="51"/>
      <c r="D378" s="51"/>
      <c r="E378" s="18"/>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8"/>
      <c r="B379" s="51"/>
      <c r="C379" s="51"/>
      <c r="D379" s="51"/>
      <c r="E379" s="18"/>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8"/>
      <c r="B380" s="51"/>
      <c r="C380" s="51"/>
      <c r="D380" s="51"/>
      <c r="E380" s="18"/>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8"/>
      <c r="B381" s="51"/>
      <c r="C381" s="51"/>
      <c r="D381" s="51"/>
      <c r="E381" s="18"/>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8"/>
      <c r="B382" s="51"/>
      <c r="C382" s="51"/>
      <c r="D382" s="51"/>
      <c r="E382" s="18"/>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8"/>
      <c r="B383" s="51"/>
      <c r="C383" s="51"/>
      <c r="D383" s="51"/>
      <c r="E383" s="18"/>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8"/>
      <c r="B384" s="51"/>
      <c r="C384" s="51"/>
      <c r="D384" s="51"/>
      <c r="E384" s="18"/>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8"/>
      <c r="B385" s="51"/>
      <c r="C385" s="51"/>
      <c r="D385" s="51"/>
      <c r="E385" s="18"/>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8"/>
      <c r="B386" s="51"/>
      <c r="C386" s="51"/>
      <c r="D386" s="51"/>
      <c r="E386" s="18"/>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8"/>
      <c r="B387" s="51"/>
      <c r="C387" s="51"/>
      <c r="D387" s="51"/>
      <c r="E387" s="18"/>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8"/>
      <c r="B388" s="51"/>
      <c r="C388" s="51"/>
      <c r="D388" s="51"/>
      <c r="E388" s="18"/>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8"/>
      <c r="B389" s="51"/>
      <c r="C389" s="51"/>
      <c r="D389" s="51"/>
      <c r="E389" s="18"/>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8"/>
      <c r="B390" s="51"/>
      <c r="C390" s="51"/>
      <c r="D390" s="51"/>
      <c r="E390" s="18"/>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8"/>
      <c r="B391" s="51"/>
      <c r="C391" s="51"/>
      <c r="D391" s="51"/>
      <c r="E391" s="18"/>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8"/>
      <c r="B392" s="51"/>
      <c r="C392" s="51"/>
      <c r="D392" s="51"/>
      <c r="E392" s="18"/>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8"/>
      <c r="B393" s="51"/>
      <c r="C393" s="51"/>
      <c r="D393" s="51"/>
      <c r="E393" s="18"/>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8"/>
      <c r="B394" s="51"/>
      <c r="C394" s="51"/>
      <c r="D394" s="51"/>
      <c r="E394" s="18"/>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8"/>
      <c r="B395" s="51"/>
      <c r="C395" s="51"/>
      <c r="D395" s="51"/>
      <c r="E395" s="18"/>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8"/>
      <c r="B396" s="51"/>
      <c r="C396" s="51"/>
      <c r="D396" s="51"/>
      <c r="E396" s="18"/>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8"/>
      <c r="B397" s="51"/>
      <c r="C397" s="51"/>
      <c r="D397" s="51"/>
      <c r="E397" s="18"/>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8"/>
      <c r="B398" s="51"/>
      <c r="C398" s="51"/>
      <c r="D398" s="51"/>
      <c r="E398" s="18"/>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8"/>
      <c r="B399" s="51"/>
      <c r="C399" s="51"/>
      <c r="D399" s="51"/>
      <c r="E399" s="18"/>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8"/>
      <c r="B400" s="51"/>
      <c r="C400" s="51"/>
      <c r="D400" s="51"/>
      <c r="E400" s="18"/>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8"/>
      <c r="B401" s="51"/>
      <c r="C401" s="51"/>
      <c r="D401" s="51"/>
      <c r="E401" s="18"/>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8"/>
      <c r="B402" s="51"/>
      <c r="C402" s="51"/>
      <c r="D402" s="51"/>
      <c r="E402" s="18"/>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8"/>
      <c r="B403" s="51"/>
      <c r="C403" s="51"/>
      <c r="D403" s="51"/>
      <c r="E403" s="18"/>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8"/>
      <c r="B404" s="51"/>
      <c r="C404" s="51"/>
      <c r="D404" s="51"/>
      <c r="E404" s="18"/>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8"/>
      <c r="B405" s="51"/>
      <c r="C405" s="51"/>
      <c r="D405" s="51"/>
      <c r="E405" s="18"/>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8"/>
      <c r="B406" s="51"/>
      <c r="C406" s="51"/>
      <c r="D406" s="51"/>
      <c r="E406" s="18"/>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8"/>
      <c r="B407" s="51"/>
      <c r="C407" s="51"/>
      <c r="D407" s="51"/>
      <c r="E407" s="18"/>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8"/>
      <c r="B408" s="51"/>
      <c r="C408" s="51"/>
      <c r="D408" s="51"/>
      <c r="E408" s="18"/>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8"/>
      <c r="B409" s="51"/>
      <c r="C409" s="51"/>
      <c r="D409" s="51"/>
      <c r="E409" s="18"/>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8"/>
      <c r="B410" s="51"/>
      <c r="C410" s="51"/>
      <c r="D410" s="51"/>
      <c r="E410" s="18"/>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8"/>
      <c r="B411" s="51"/>
      <c r="C411" s="51"/>
      <c r="D411" s="51"/>
      <c r="E411" s="18"/>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8"/>
      <c r="B412" s="51"/>
      <c r="C412" s="51"/>
      <c r="D412" s="51"/>
      <c r="E412" s="18"/>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8"/>
      <c r="B413" s="51"/>
      <c r="C413" s="51"/>
      <c r="D413" s="51"/>
      <c r="E413" s="18"/>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8"/>
      <c r="B414" s="51"/>
      <c r="C414" s="51"/>
      <c r="D414" s="51"/>
      <c r="E414" s="18"/>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8"/>
      <c r="B415" s="51"/>
      <c r="C415" s="51"/>
      <c r="D415" s="51"/>
      <c r="E415" s="18"/>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8"/>
      <c r="B416" s="51"/>
      <c r="C416" s="51"/>
      <c r="D416" s="51"/>
      <c r="E416" s="18"/>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8"/>
      <c r="B417" s="51"/>
      <c r="C417" s="51"/>
      <c r="D417" s="51"/>
      <c r="E417" s="18"/>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8"/>
      <c r="B418" s="51"/>
      <c r="C418" s="51"/>
      <c r="D418" s="51"/>
      <c r="E418" s="18"/>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8"/>
      <c r="B419" s="51"/>
      <c r="C419" s="51"/>
      <c r="D419" s="51"/>
      <c r="E419" s="18"/>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8"/>
      <c r="B420" s="51"/>
      <c r="C420" s="51"/>
      <c r="D420" s="51"/>
      <c r="E420" s="18"/>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8"/>
      <c r="B421" s="51"/>
      <c r="C421" s="51"/>
      <c r="D421" s="51"/>
      <c r="E421" s="18"/>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8"/>
      <c r="B422" s="51"/>
      <c r="C422" s="51"/>
      <c r="D422" s="51"/>
      <c r="E422" s="18"/>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8"/>
      <c r="B423" s="51"/>
      <c r="C423" s="51"/>
      <c r="D423" s="51"/>
      <c r="E423" s="18"/>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8"/>
      <c r="B424" s="51"/>
      <c r="C424" s="51"/>
      <c r="D424" s="51"/>
      <c r="E424" s="18"/>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8"/>
      <c r="B425" s="51"/>
      <c r="C425" s="51"/>
      <c r="D425" s="51"/>
      <c r="E425" s="18"/>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8"/>
      <c r="B426" s="51"/>
      <c r="C426" s="51"/>
      <c r="D426" s="51"/>
      <c r="E426" s="18"/>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8"/>
      <c r="B427" s="51"/>
      <c r="C427" s="51"/>
      <c r="D427" s="51"/>
      <c r="E427" s="18"/>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8"/>
      <c r="B428" s="51"/>
      <c r="C428" s="51"/>
      <c r="D428" s="51"/>
      <c r="E428" s="18"/>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8"/>
      <c r="B429" s="51"/>
      <c r="C429" s="51"/>
      <c r="D429" s="51"/>
      <c r="E429" s="18"/>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8"/>
      <c r="B430" s="51"/>
      <c r="C430" s="51"/>
      <c r="D430" s="51"/>
      <c r="E430" s="18"/>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8"/>
      <c r="B431" s="51"/>
      <c r="C431" s="51"/>
      <c r="D431" s="51"/>
      <c r="E431" s="18"/>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8"/>
      <c r="B432" s="51"/>
      <c r="C432" s="51"/>
      <c r="D432" s="51"/>
      <c r="E432" s="18"/>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8"/>
      <c r="B433" s="51"/>
      <c r="C433" s="51"/>
      <c r="D433" s="51"/>
      <c r="E433" s="18"/>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8"/>
      <c r="B434" s="51"/>
      <c r="C434" s="51"/>
      <c r="D434" s="51"/>
      <c r="E434" s="18"/>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8"/>
      <c r="B435" s="51"/>
      <c r="C435" s="51"/>
      <c r="D435" s="51"/>
      <c r="E435" s="18"/>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8"/>
      <c r="B436" s="51"/>
      <c r="C436" s="51"/>
      <c r="D436" s="51"/>
      <c r="E436" s="18"/>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8"/>
      <c r="B437" s="51"/>
      <c r="C437" s="51"/>
      <c r="D437" s="51"/>
      <c r="E437" s="18"/>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8"/>
      <c r="B438" s="51"/>
      <c r="C438" s="51"/>
      <c r="D438" s="51"/>
      <c r="E438" s="18"/>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8"/>
      <c r="B439" s="51"/>
      <c r="C439" s="51"/>
      <c r="D439" s="51"/>
      <c r="E439" s="18"/>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8"/>
      <c r="B440" s="51"/>
      <c r="C440" s="51"/>
      <c r="D440" s="51"/>
      <c r="E440" s="18"/>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8"/>
      <c r="B441" s="51"/>
      <c r="C441" s="51"/>
      <c r="D441" s="51"/>
      <c r="E441" s="18"/>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8"/>
      <c r="B442" s="51"/>
      <c r="C442" s="51"/>
      <c r="D442" s="51"/>
      <c r="E442" s="18"/>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8"/>
      <c r="B443" s="51"/>
      <c r="C443" s="51"/>
      <c r="D443" s="51"/>
      <c r="E443" s="18"/>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8"/>
      <c r="B444" s="51"/>
      <c r="C444" s="51"/>
      <c r="D444" s="51"/>
      <c r="E444" s="18"/>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8"/>
      <c r="B445" s="51"/>
      <c r="C445" s="51"/>
      <c r="D445" s="51"/>
      <c r="E445" s="18"/>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8"/>
      <c r="B446" s="51"/>
      <c r="C446" s="51"/>
      <c r="D446" s="51"/>
      <c r="E446" s="18"/>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8"/>
      <c r="B447" s="51"/>
      <c r="C447" s="51"/>
      <c r="D447" s="51"/>
      <c r="E447" s="18"/>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8"/>
      <c r="B448" s="51"/>
      <c r="C448" s="51"/>
      <c r="D448" s="51"/>
      <c r="E448" s="18"/>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8"/>
      <c r="B449" s="51"/>
      <c r="C449" s="51"/>
      <c r="D449" s="51"/>
      <c r="E449" s="18"/>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8"/>
      <c r="B450" s="51"/>
      <c r="C450" s="51"/>
      <c r="D450" s="51"/>
      <c r="E450" s="18"/>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8"/>
      <c r="B451" s="51"/>
      <c r="C451" s="51"/>
      <c r="D451" s="51"/>
      <c r="E451" s="18"/>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8"/>
      <c r="B452" s="51"/>
      <c r="C452" s="51"/>
      <c r="D452" s="51"/>
      <c r="E452" s="18"/>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8"/>
      <c r="B453" s="51"/>
      <c r="C453" s="51"/>
      <c r="D453" s="51"/>
      <c r="E453" s="18"/>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8"/>
      <c r="B454" s="51"/>
      <c r="C454" s="51"/>
      <c r="D454" s="51"/>
      <c r="E454" s="18"/>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8"/>
      <c r="B455" s="51"/>
      <c r="C455" s="51"/>
      <c r="D455" s="51"/>
      <c r="E455" s="18"/>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8"/>
      <c r="B456" s="51"/>
      <c r="C456" s="51"/>
      <c r="D456" s="51"/>
      <c r="E456" s="18"/>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8"/>
      <c r="B457" s="51"/>
      <c r="C457" s="51"/>
      <c r="D457" s="51"/>
      <c r="E457" s="18"/>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8"/>
      <c r="B458" s="51"/>
      <c r="C458" s="51"/>
      <c r="D458" s="51"/>
      <c r="E458" s="18"/>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8"/>
      <c r="B459" s="51"/>
      <c r="C459" s="51"/>
      <c r="D459" s="51"/>
      <c r="E459" s="18"/>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8"/>
      <c r="B460" s="51"/>
      <c r="C460" s="51"/>
      <c r="D460" s="51"/>
      <c r="E460" s="18"/>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8"/>
      <c r="B461" s="51"/>
      <c r="C461" s="51"/>
      <c r="D461" s="51"/>
      <c r="E461" s="18"/>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8"/>
      <c r="B462" s="51"/>
      <c r="C462" s="51"/>
      <c r="D462" s="51"/>
      <c r="E462" s="18"/>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8"/>
      <c r="B463" s="51"/>
      <c r="C463" s="51"/>
      <c r="D463" s="51"/>
      <c r="E463" s="18"/>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8"/>
      <c r="B464" s="51"/>
      <c r="C464" s="51"/>
      <c r="D464" s="51"/>
      <c r="E464" s="18"/>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8"/>
      <c r="B465" s="51"/>
      <c r="C465" s="51"/>
      <c r="D465" s="51"/>
      <c r="E465" s="18"/>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8"/>
      <c r="B466" s="51"/>
      <c r="C466" s="51"/>
      <c r="D466" s="51"/>
      <c r="E466" s="18"/>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8"/>
      <c r="B467" s="51"/>
      <c r="C467" s="51"/>
      <c r="D467" s="51"/>
      <c r="E467" s="18"/>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8"/>
      <c r="B468" s="51"/>
      <c r="C468" s="51"/>
      <c r="D468" s="51"/>
      <c r="E468" s="18"/>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8"/>
      <c r="B469" s="51"/>
      <c r="C469" s="51"/>
      <c r="D469" s="51"/>
      <c r="E469" s="18"/>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8"/>
      <c r="B470" s="51"/>
      <c r="C470" s="51"/>
      <c r="D470" s="51"/>
      <c r="E470" s="18"/>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8"/>
      <c r="B471" s="51"/>
      <c r="C471" s="51"/>
      <c r="D471" s="51"/>
      <c r="E471" s="18"/>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8"/>
      <c r="B472" s="51"/>
      <c r="C472" s="51"/>
      <c r="D472" s="51"/>
      <c r="E472" s="18"/>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8"/>
      <c r="B473" s="51"/>
      <c r="C473" s="51"/>
      <c r="D473" s="51"/>
      <c r="E473" s="18"/>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8"/>
      <c r="B474" s="51"/>
      <c r="C474" s="51"/>
      <c r="D474" s="51"/>
      <c r="E474" s="18"/>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8"/>
      <c r="B475" s="51"/>
      <c r="C475" s="51"/>
      <c r="D475" s="51"/>
      <c r="E475" s="18"/>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8"/>
      <c r="B476" s="51"/>
      <c r="C476" s="51"/>
      <c r="D476" s="51"/>
      <c r="E476" s="18"/>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8"/>
      <c r="B477" s="51"/>
      <c r="C477" s="51"/>
      <c r="D477" s="51"/>
      <c r="E477" s="18"/>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8"/>
      <c r="B478" s="51"/>
      <c r="C478" s="51"/>
      <c r="D478" s="51"/>
      <c r="E478" s="18"/>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8"/>
      <c r="B479" s="51"/>
      <c r="C479" s="51"/>
      <c r="D479" s="51"/>
      <c r="E479" s="18"/>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8"/>
      <c r="B480" s="51"/>
      <c r="C480" s="51"/>
      <c r="D480" s="51"/>
      <c r="E480" s="18"/>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8"/>
      <c r="B481" s="51"/>
      <c r="C481" s="51"/>
      <c r="D481" s="51"/>
      <c r="E481" s="18"/>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8"/>
      <c r="B482" s="51"/>
      <c r="C482" s="51"/>
      <c r="D482" s="51"/>
      <c r="E482" s="18"/>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8"/>
      <c r="B483" s="51"/>
      <c r="C483" s="51"/>
      <c r="D483" s="51"/>
      <c r="E483" s="18"/>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8"/>
      <c r="B484" s="51"/>
      <c r="C484" s="51"/>
      <c r="D484" s="51"/>
      <c r="E484" s="18"/>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8"/>
      <c r="B485" s="51"/>
      <c r="C485" s="51"/>
      <c r="D485" s="51"/>
      <c r="E485" s="18"/>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8"/>
      <c r="B486" s="51"/>
      <c r="C486" s="51"/>
      <c r="D486" s="51"/>
      <c r="E486" s="18"/>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8"/>
      <c r="B487" s="51"/>
      <c r="C487" s="51"/>
      <c r="D487" s="51"/>
      <c r="E487" s="18"/>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8"/>
      <c r="B488" s="51"/>
      <c r="C488" s="51"/>
      <c r="D488" s="51"/>
      <c r="E488" s="18"/>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8"/>
      <c r="B489" s="51"/>
      <c r="C489" s="51"/>
      <c r="D489" s="51"/>
      <c r="E489" s="18"/>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8"/>
      <c r="B490" s="51"/>
      <c r="C490" s="51"/>
      <c r="D490" s="51"/>
      <c r="E490" s="18"/>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8"/>
      <c r="B491" s="51"/>
      <c r="C491" s="51"/>
      <c r="D491" s="51"/>
      <c r="E491" s="18"/>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8"/>
      <c r="B492" s="51"/>
      <c r="C492" s="51"/>
      <c r="D492" s="51"/>
      <c r="E492" s="18"/>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8"/>
      <c r="B493" s="51"/>
      <c r="C493" s="51"/>
      <c r="D493" s="51"/>
      <c r="E493" s="18"/>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8"/>
      <c r="B494" s="51"/>
      <c r="C494" s="51"/>
      <c r="D494" s="51"/>
      <c r="E494" s="18"/>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8"/>
      <c r="B495" s="51"/>
      <c r="C495" s="51"/>
      <c r="D495" s="51"/>
      <c r="E495" s="18"/>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8"/>
      <c r="B496" s="51"/>
      <c r="C496" s="51"/>
      <c r="D496" s="51"/>
      <c r="E496" s="18"/>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8"/>
      <c r="B497" s="51"/>
      <c r="C497" s="51"/>
      <c r="D497" s="51"/>
      <c r="E497" s="18"/>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8"/>
      <c r="B498" s="51"/>
      <c r="C498" s="51"/>
      <c r="D498" s="51"/>
      <c r="E498" s="18"/>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8"/>
      <c r="B499" s="51"/>
      <c r="C499" s="51"/>
      <c r="D499" s="51"/>
      <c r="E499" s="18"/>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8"/>
      <c r="B500" s="51"/>
      <c r="C500" s="51"/>
      <c r="D500" s="51"/>
      <c r="E500" s="18"/>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8"/>
      <c r="B501" s="51"/>
      <c r="C501" s="51"/>
      <c r="D501" s="51"/>
      <c r="E501" s="18"/>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8"/>
      <c r="B502" s="51"/>
      <c r="C502" s="51"/>
      <c r="D502" s="51"/>
      <c r="E502" s="18"/>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8"/>
      <c r="B503" s="51"/>
      <c r="C503" s="51"/>
      <c r="D503" s="51"/>
      <c r="E503" s="18"/>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8"/>
      <c r="B504" s="51"/>
      <c r="C504" s="51"/>
      <c r="D504" s="51"/>
      <c r="E504" s="18"/>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8"/>
      <c r="B505" s="51"/>
      <c r="C505" s="51"/>
      <c r="D505" s="51"/>
      <c r="E505" s="18"/>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8"/>
      <c r="B506" s="51"/>
      <c r="C506" s="51"/>
      <c r="D506" s="51"/>
      <c r="E506" s="18"/>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8"/>
      <c r="B507" s="51"/>
      <c r="C507" s="51"/>
      <c r="D507" s="51"/>
      <c r="E507" s="18"/>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8"/>
      <c r="B508" s="51"/>
      <c r="C508" s="51"/>
      <c r="D508" s="51"/>
      <c r="E508" s="18"/>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8"/>
      <c r="B509" s="51"/>
      <c r="C509" s="51"/>
      <c r="D509" s="51"/>
      <c r="E509" s="18"/>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8"/>
      <c r="B510" s="51"/>
      <c r="C510" s="51"/>
      <c r="D510" s="51"/>
      <c r="E510" s="18"/>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8"/>
      <c r="B511" s="51"/>
      <c r="C511" s="51"/>
      <c r="D511" s="51"/>
      <c r="E511" s="18"/>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8"/>
      <c r="B512" s="51"/>
      <c r="C512" s="51"/>
      <c r="D512" s="51"/>
      <c r="E512" s="18"/>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8"/>
      <c r="B513" s="51"/>
      <c r="C513" s="51"/>
      <c r="D513" s="51"/>
      <c r="E513" s="18"/>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8"/>
      <c r="B514" s="51"/>
      <c r="C514" s="51"/>
      <c r="D514" s="51"/>
      <c r="E514" s="18"/>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8"/>
      <c r="B515" s="51"/>
      <c r="C515" s="51"/>
      <c r="D515" s="51"/>
      <c r="E515" s="18"/>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8"/>
      <c r="B516" s="51"/>
      <c r="C516" s="51"/>
      <c r="D516" s="51"/>
      <c r="E516" s="18"/>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8"/>
      <c r="B517" s="51"/>
      <c r="C517" s="51"/>
      <c r="D517" s="51"/>
      <c r="E517" s="18"/>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8"/>
      <c r="B518" s="51"/>
      <c r="C518" s="51"/>
      <c r="D518" s="51"/>
      <c r="E518" s="18"/>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8"/>
      <c r="B519" s="51"/>
      <c r="C519" s="51"/>
      <c r="D519" s="51"/>
      <c r="E519" s="18"/>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8"/>
      <c r="B520" s="51"/>
      <c r="C520" s="51"/>
      <c r="D520" s="51"/>
      <c r="E520" s="18"/>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8"/>
      <c r="B521" s="51"/>
      <c r="C521" s="51"/>
      <c r="D521" s="51"/>
      <c r="E521" s="18"/>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8"/>
      <c r="B522" s="51"/>
      <c r="C522" s="51"/>
      <c r="D522" s="51"/>
      <c r="E522" s="18"/>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8"/>
      <c r="B523" s="51"/>
      <c r="C523" s="51"/>
      <c r="D523" s="51"/>
      <c r="E523" s="18"/>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8"/>
      <c r="B524" s="51"/>
      <c r="C524" s="51"/>
      <c r="D524" s="51"/>
      <c r="E524" s="18"/>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8"/>
      <c r="B525" s="51"/>
      <c r="C525" s="51"/>
      <c r="D525" s="51"/>
      <c r="E525" s="18"/>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8"/>
      <c r="B526" s="51"/>
      <c r="C526" s="51"/>
      <c r="D526" s="51"/>
      <c r="E526" s="18"/>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8"/>
      <c r="B527" s="51"/>
      <c r="C527" s="51"/>
      <c r="D527" s="51"/>
      <c r="E527" s="18"/>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8"/>
      <c r="B528" s="51"/>
      <c r="C528" s="51"/>
      <c r="D528" s="51"/>
      <c r="E528" s="18"/>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8"/>
      <c r="B529" s="51"/>
      <c r="C529" s="51"/>
      <c r="D529" s="51"/>
      <c r="E529" s="18"/>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8"/>
      <c r="B530" s="51"/>
      <c r="C530" s="51"/>
      <c r="D530" s="51"/>
      <c r="E530" s="18"/>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8"/>
      <c r="B531" s="51"/>
      <c r="C531" s="51"/>
      <c r="D531" s="51"/>
      <c r="E531" s="18"/>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8"/>
      <c r="B532" s="51"/>
      <c r="C532" s="51"/>
      <c r="D532" s="51"/>
      <c r="E532" s="18"/>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8"/>
      <c r="B533" s="51"/>
      <c r="C533" s="51"/>
      <c r="D533" s="51"/>
      <c r="E533" s="18"/>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8"/>
      <c r="B534" s="51"/>
      <c r="C534" s="51"/>
      <c r="D534" s="51"/>
      <c r="E534" s="18"/>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8"/>
      <c r="B535" s="51"/>
      <c r="C535" s="51"/>
      <c r="D535" s="51"/>
      <c r="E535" s="18"/>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8"/>
      <c r="B536" s="51"/>
      <c r="C536" s="51"/>
      <c r="D536" s="51"/>
      <c r="E536" s="18"/>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8"/>
      <c r="B537" s="51"/>
      <c r="C537" s="51"/>
      <c r="D537" s="51"/>
      <c r="E537" s="18"/>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8"/>
      <c r="B538" s="51"/>
      <c r="C538" s="51"/>
      <c r="D538" s="51"/>
      <c r="E538" s="18"/>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8"/>
      <c r="B539" s="51"/>
      <c r="C539" s="51"/>
      <c r="D539" s="51"/>
      <c r="E539" s="18"/>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8"/>
      <c r="B540" s="51"/>
      <c r="C540" s="51"/>
      <c r="D540" s="51"/>
      <c r="E540" s="18"/>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8"/>
      <c r="B541" s="51"/>
      <c r="C541" s="51"/>
      <c r="D541" s="51"/>
      <c r="E541" s="18"/>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8"/>
      <c r="B542" s="51"/>
      <c r="C542" s="51"/>
      <c r="D542" s="51"/>
      <c r="E542" s="18"/>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8"/>
      <c r="B543" s="51"/>
      <c r="C543" s="51"/>
      <c r="D543" s="51"/>
      <c r="E543" s="18"/>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8"/>
      <c r="B544" s="51"/>
      <c r="C544" s="51"/>
      <c r="D544" s="51"/>
      <c r="E544" s="18"/>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8"/>
      <c r="B545" s="51"/>
      <c r="C545" s="51"/>
      <c r="D545" s="51"/>
      <c r="E545" s="18"/>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8"/>
      <c r="B546" s="51"/>
      <c r="C546" s="51"/>
      <c r="D546" s="51"/>
      <c r="E546" s="18"/>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8"/>
      <c r="B547" s="51"/>
      <c r="C547" s="51"/>
      <c r="D547" s="51"/>
      <c r="E547" s="18"/>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8"/>
      <c r="B548" s="51"/>
      <c r="C548" s="51"/>
      <c r="D548" s="51"/>
      <c r="E548" s="18"/>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8"/>
      <c r="B549" s="51"/>
      <c r="C549" s="51"/>
      <c r="D549" s="51"/>
      <c r="E549" s="18"/>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8"/>
      <c r="B550" s="51"/>
      <c r="C550" s="51"/>
      <c r="D550" s="51"/>
      <c r="E550" s="18"/>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8"/>
      <c r="B551" s="51"/>
      <c r="C551" s="51"/>
      <c r="D551" s="51"/>
      <c r="E551" s="18"/>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8"/>
      <c r="B552" s="51"/>
      <c r="C552" s="51"/>
      <c r="D552" s="51"/>
      <c r="E552" s="18"/>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8"/>
      <c r="B553" s="51"/>
      <c r="C553" s="51"/>
      <c r="D553" s="51"/>
      <c r="E553" s="18"/>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8"/>
      <c r="B554" s="51"/>
      <c r="C554" s="51"/>
      <c r="D554" s="51"/>
      <c r="E554" s="18"/>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8"/>
      <c r="B555" s="51"/>
      <c r="C555" s="51"/>
      <c r="D555" s="51"/>
      <c r="E555" s="18"/>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8"/>
      <c r="B556" s="51"/>
      <c r="C556" s="51"/>
      <c r="D556" s="51"/>
      <c r="E556" s="18"/>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8"/>
      <c r="B557" s="51"/>
      <c r="C557" s="51"/>
      <c r="D557" s="51"/>
      <c r="E557" s="18"/>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8"/>
      <c r="B558" s="51"/>
      <c r="C558" s="51"/>
      <c r="D558" s="51"/>
      <c r="E558" s="18"/>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8"/>
      <c r="B559" s="51"/>
      <c r="C559" s="51"/>
      <c r="D559" s="51"/>
      <c r="E559" s="18"/>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8"/>
      <c r="B560" s="51"/>
      <c r="C560" s="51"/>
      <c r="D560" s="51"/>
      <c r="E560" s="18"/>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8"/>
      <c r="B561" s="51"/>
      <c r="C561" s="51"/>
      <c r="D561" s="51"/>
      <c r="E561" s="18"/>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8"/>
      <c r="B562" s="51"/>
      <c r="C562" s="51"/>
      <c r="D562" s="51"/>
      <c r="E562" s="18"/>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8"/>
      <c r="B563" s="51"/>
      <c r="C563" s="51"/>
      <c r="D563" s="51"/>
      <c r="E563" s="18"/>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8"/>
      <c r="B564" s="51"/>
      <c r="C564" s="51"/>
      <c r="D564" s="51"/>
      <c r="E564" s="18"/>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8"/>
      <c r="B565" s="51"/>
      <c r="C565" s="51"/>
      <c r="D565" s="51"/>
      <c r="E565" s="18"/>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8"/>
      <c r="B566" s="51"/>
      <c r="C566" s="51"/>
      <c r="D566" s="51"/>
      <c r="E566" s="18"/>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8"/>
      <c r="B567" s="51"/>
      <c r="C567" s="51"/>
      <c r="D567" s="51"/>
      <c r="E567" s="18"/>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8"/>
      <c r="B568" s="51"/>
      <c r="C568" s="51"/>
      <c r="D568" s="51"/>
      <c r="E568" s="18"/>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8"/>
      <c r="B569" s="51"/>
      <c r="C569" s="51"/>
      <c r="D569" s="51"/>
      <c r="E569" s="18"/>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8"/>
      <c r="B570" s="51"/>
      <c r="C570" s="51"/>
      <c r="D570" s="51"/>
      <c r="E570" s="18"/>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8"/>
      <c r="B571" s="51"/>
      <c r="C571" s="51"/>
      <c r="D571" s="51"/>
      <c r="E571" s="18"/>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8"/>
      <c r="B572" s="51"/>
      <c r="C572" s="51"/>
      <c r="D572" s="51"/>
      <c r="E572" s="18"/>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8"/>
      <c r="B573" s="51"/>
      <c r="C573" s="51"/>
      <c r="D573" s="51"/>
      <c r="E573" s="18"/>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8"/>
      <c r="B574" s="51"/>
      <c r="C574" s="51"/>
      <c r="D574" s="51"/>
      <c r="E574" s="18"/>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8"/>
      <c r="B575" s="51"/>
      <c r="C575" s="51"/>
      <c r="D575" s="51"/>
      <c r="E575" s="18"/>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8"/>
      <c r="B576" s="51"/>
      <c r="C576" s="51"/>
      <c r="D576" s="51"/>
      <c r="E576" s="18"/>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8"/>
      <c r="B577" s="51"/>
      <c r="C577" s="51"/>
      <c r="D577" s="51"/>
      <c r="E577" s="18"/>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8"/>
      <c r="B578" s="51"/>
      <c r="C578" s="51"/>
      <c r="D578" s="51"/>
      <c r="E578" s="18"/>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8"/>
      <c r="B579" s="51"/>
      <c r="C579" s="51"/>
      <c r="D579" s="51"/>
      <c r="E579" s="18"/>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8"/>
      <c r="B580" s="51"/>
      <c r="C580" s="51"/>
      <c r="D580" s="51"/>
      <c r="E580" s="18"/>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8"/>
      <c r="B581" s="51"/>
      <c r="C581" s="51"/>
      <c r="D581" s="51"/>
      <c r="E581" s="18"/>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8"/>
      <c r="B582" s="51"/>
      <c r="C582" s="51"/>
      <c r="D582" s="51"/>
      <c r="E582" s="18"/>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8"/>
      <c r="B583" s="51"/>
      <c r="C583" s="51"/>
      <c r="D583" s="51"/>
      <c r="E583" s="18"/>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8"/>
      <c r="B584" s="51"/>
      <c r="C584" s="51"/>
      <c r="D584" s="51"/>
      <c r="E584" s="18"/>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8"/>
      <c r="B585" s="51"/>
      <c r="C585" s="51"/>
      <c r="D585" s="51"/>
      <c r="E585" s="18"/>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8"/>
      <c r="B586" s="51"/>
      <c r="C586" s="51"/>
      <c r="D586" s="51"/>
      <c r="E586" s="18"/>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8"/>
      <c r="B587" s="51"/>
      <c r="C587" s="51"/>
      <c r="D587" s="51"/>
      <c r="E587" s="18"/>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8"/>
      <c r="B588" s="51"/>
      <c r="C588" s="51"/>
      <c r="D588" s="51"/>
      <c r="E588" s="18"/>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8"/>
      <c r="B589" s="51"/>
      <c r="C589" s="51"/>
      <c r="D589" s="51"/>
      <c r="E589" s="18"/>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8"/>
      <c r="B590" s="51"/>
      <c r="C590" s="51"/>
      <c r="D590" s="51"/>
      <c r="E590" s="18"/>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8"/>
      <c r="B591" s="51"/>
      <c r="C591" s="51"/>
      <c r="D591" s="51"/>
      <c r="E591" s="18"/>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8"/>
      <c r="B592" s="51"/>
      <c r="C592" s="51"/>
      <c r="D592" s="51"/>
      <c r="E592" s="18"/>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8"/>
      <c r="B593" s="51"/>
      <c r="C593" s="51"/>
      <c r="D593" s="51"/>
      <c r="E593" s="18"/>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8"/>
      <c r="B594" s="51"/>
      <c r="C594" s="51"/>
      <c r="D594" s="51"/>
      <c r="E594" s="18"/>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8"/>
      <c r="B595" s="51"/>
      <c r="C595" s="51"/>
      <c r="D595" s="51"/>
      <c r="E595" s="18"/>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8"/>
      <c r="B596" s="51"/>
      <c r="C596" s="51"/>
      <c r="D596" s="51"/>
      <c r="E596" s="18"/>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8"/>
      <c r="B597" s="51"/>
      <c r="C597" s="51"/>
      <c r="D597" s="51"/>
      <c r="E597" s="18"/>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8"/>
      <c r="B598" s="51"/>
      <c r="C598" s="51"/>
      <c r="D598" s="51"/>
      <c r="E598" s="18"/>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8"/>
      <c r="B599" s="51"/>
      <c r="C599" s="51"/>
      <c r="D599" s="51"/>
      <c r="E599" s="18"/>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8"/>
      <c r="B600" s="51"/>
      <c r="C600" s="51"/>
      <c r="D600" s="51"/>
      <c r="E600" s="18"/>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8"/>
      <c r="B601" s="51"/>
      <c r="C601" s="51"/>
      <c r="D601" s="51"/>
      <c r="E601" s="18"/>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8"/>
      <c r="B602" s="51"/>
      <c r="C602" s="51"/>
      <c r="D602" s="51"/>
      <c r="E602" s="18"/>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8"/>
      <c r="B603" s="51"/>
      <c r="C603" s="51"/>
      <c r="D603" s="51"/>
      <c r="E603" s="18"/>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8"/>
      <c r="B604" s="51"/>
      <c r="C604" s="51"/>
      <c r="D604" s="51"/>
      <c r="E604" s="18"/>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8"/>
      <c r="B605" s="51"/>
      <c r="C605" s="51"/>
      <c r="D605" s="51"/>
      <c r="E605" s="18"/>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8"/>
      <c r="B606" s="51"/>
      <c r="C606" s="51"/>
      <c r="D606" s="51"/>
      <c r="E606" s="18"/>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8"/>
      <c r="B607" s="51"/>
      <c r="C607" s="51"/>
      <c r="D607" s="51"/>
      <c r="E607" s="18"/>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8"/>
      <c r="B608" s="51"/>
      <c r="C608" s="51"/>
      <c r="D608" s="51"/>
      <c r="E608" s="18"/>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8"/>
      <c r="B609" s="51"/>
      <c r="C609" s="51"/>
      <c r="D609" s="51"/>
      <c r="E609" s="18"/>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8"/>
      <c r="B610" s="51"/>
      <c r="C610" s="51"/>
      <c r="D610" s="51"/>
      <c r="E610" s="18"/>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8"/>
      <c r="B611" s="51"/>
      <c r="C611" s="51"/>
      <c r="D611" s="51"/>
      <c r="E611" s="18"/>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8"/>
      <c r="B612" s="51"/>
      <c r="C612" s="51"/>
      <c r="D612" s="51"/>
      <c r="E612" s="18"/>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8"/>
      <c r="B613" s="51"/>
      <c r="C613" s="51"/>
      <c r="D613" s="51"/>
      <c r="E613" s="18"/>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8"/>
      <c r="B614" s="51"/>
      <c r="C614" s="51"/>
      <c r="D614" s="51"/>
      <c r="E614" s="18"/>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8"/>
      <c r="B615" s="51"/>
      <c r="C615" s="51"/>
      <c r="D615" s="51"/>
      <c r="E615" s="18"/>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8"/>
      <c r="B616" s="51"/>
      <c r="C616" s="51"/>
      <c r="D616" s="51"/>
      <c r="E616" s="18"/>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8"/>
      <c r="B617" s="51"/>
      <c r="C617" s="51"/>
      <c r="D617" s="51"/>
      <c r="E617" s="18"/>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8"/>
      <c r="B618" s="51"/>
      <c r="C618" s="51"/>
      <c r="D618" s="51"/>
      <c r="E618" s="18"/>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8"/>
      <c r="B619" s="51"/>
      <c r="C619" s="51"/>
      <c r="D619" s="51"/>
      <c r="E619" s="18"/>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8"/>
      <c r="B620" s="51"/>
      <c r="C620" s="51"/>
      <c r="D620" s="51"/>
      <c r="E620" s="18"/>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8"/>
      <c r="B621" s="51"/>
      <c r="C621" s="51"/>
      <c r="D621" s="51"/>
      <c r="E621" s="18"/>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8"/>
      <c r="B622" s="51"/>
      <c r="C622" s="51"/>
      <c r="D622" s="51"/>
      <c r="E622" s="18"/>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8"/>
      <c r="B623" s="51"/>
      <c r="C623" s="51"/>
      <c r="D623" s="51"/>
      <c r="E623" s="18"/>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8"/>
      <c r="B624" s="51"/>
      <c r="C624" s="51"/>
      <c r="D624" s="51"/>
      <c r="E624" s="18"/>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8"/>
      <c r="B625" s="51"/>
      <c r="C625" s="51"/>
      <c r="D625" s="51"/>
      <c r="E625" s="18"/>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8"/>
      <c r="B626" s="51"/>
      <c r="C626" s="51"/>
      <c r="D626" s="51"/>
      <c r="E626" s="18"/>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8"/>
      <c r="B627" s="51"/>
      <c r="C627" s="51"/>
      <c r="D627" s="51"/>
      <c r="E627" s="18"/>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8"/>
      <c r="B628" s="51"/>
      <c r="C628" s="51"/>
      <c r="D628" s="51"/>
      <c r="E628" s="18"/>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8"/>
      <c r="B629" s="51"/>
      <c r="C629" s="51"/>
      <c r="D629" s="51"/>
      <c r="E629" s="18"/>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8"/>
      <c r="B630" s="51"/>
      <c r="C630" s="51"/>
      <c r="D630" s="51"/>
      <c r="E630" s="18"/>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8"/>
      <c r="B631" s="51"/>
      <c r="C631" s="51"/>
      <c r="D631" s="51"/>
      <c r="E631" s="18"/>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8"/>
      <c r="B632" s="51"/>
      <c r="C632" s="51"/>
      <c r="D632" s="51"/>
      <c r="E632" s="18"/>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8"/>
      <c r="B633" s="51"/>
      <c r="C633" s="51"/>
      <c r="D633" s="51"/>
      <c r="E633" s="18"/>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8"/>
      <c r="B634" s="51"/>
      <c r="C634" s="51"/>
      <c r="D634" s="51"/>
      <c r="E634" s="18"/>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8"/>
      <c r="B635" s="51"/>
      <c r="C635" s="51"/>
      <c r="D635" s="51"/>
      <c r="E635" s="18"/>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8"/>
      <c r="B636" s="51"/>
      <c r="C636" s="51"/>
      <c r="D636" s="51"/>
      <c r="E636" s="18"/>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8"/>
      <c r="B637" s="51"/>
      <c r="C637" s="51"/>
      <c r="D637" s="51"/>
      <c r="E637" s="18"/>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8"/>
      <c r="B638" s="51"/>
      <c r="C638" s="51"/>
      <c r="D638" s="51"/>
      <c r="E638" s="18"/>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8"/>
      <c r="B639" s="51"/>
      <c r="C639" s="51"/>
      <c r="D639" s="51"/>
      <c r="E639" s="18"/>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8"/>
      <c r="B640" s="51"/>
      <c r="C640" s="51"/>
      <c r="D640" s="51"/>
      <c r="E640" s="18"/>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8"/>
      <c r="B641" s="51"/>
      <c r="C641" s="51"/>
      <c r="D641" s="51"/>
      <c r="E641" s="18"/>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8"/>
      <c r="B642" s="51"/>
      <c r="C642" s="51"/>
      <c r="D642" s="51"/>
      <c r="E642" s="18"/>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8"/>
      <c r="B643" s="51"/>
      <c r="C643" s="51"/>
      <c r="D643" s="51"/>
      <c r="E643" s="18"/>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8"/>
      <c r="B644" s="51"/>
      <c r="C644" s="51"/>
      <c r="D644" s="51"/>
      <c r="E644" s="18"/>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8"/>
      <c r="B645" s="51"/>
      <c r="C645" s="51"/>
      <c r="D645" s="51"/>
      <c r="E645" s="18"/>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8"/>
      <c r="B646" s="51"/>
      <c r="C646" s="51"/>
      <c r="D646" s="51"/>
      <c r="E646" s="18"/>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8"/>
      <c r="B647" s="51"/>
      <c r="C647" s="51"/>
      <c r="D647" s="51"/>
      <c r="E647" s="18"/>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8"/>
      <c r="B648" s="51"/>
      <c r="C648" s="51"/>
      <c r="D648" s="51"/>
      <c r="E648" s="18"/>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8"/>
      <c r="B649" s="51"/>
      <c r="C649" s="51"/>
      <c r="D649" s="51"/>
      <c r="E649" s="18"/>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8"/>
      <c r="B650" s="51"/>
      <c r="C650" s="51"/>
      <c r="D650" s="51"/>
      <c r="E650" s="18"/>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8"/>
      <c r="B651" s="51"/>
      <c r="C651" s="51"/>
      <c r="D651" s="51"/>
      <c r="E651" s="18"/>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8"/>
      <c r="B652" s="51"/>
      <c r="C652" s="51"/>
      <c r="D652" s="51"/>
      <c r="E652" s="18"/>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8"/>
      <c r="B653" s="51"/>
      <c r="C653" s="51"/>
      <c r="D653" s="51"/>
      <c r="E653" s="18"/>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8"/>
      <c r="B654" s="51"/>
      <c r="C654" s="51"/>
      <c r="D654" s="51"/>
      <c r="E654" s="18"/>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8"/>
      <c r="B655" s="51"/>
      <c r="C655" s="51"/>
      <c r="D655" s="51"/>
      <c r="E655" s="18"/>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8"/>
      <c r="B656" s="51"/>
      <c r="C656" s="51"/>
      <c r="D656" s="51"/>
      <c r="E656" s="18"/>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8"/>
      <c r="B657" s="51"/>
      <c r="C657" s="51"/>
      <c r="D657" s="51"/>
      <c r="E657" s="18"/>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8"/>
      <c r="B658" s="51"/>
      <c r="C658" s="51"/>
      <c r="D658" s="51"/>
      <c r="E658" s="18"/>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8"/>
      <c r="B659" s="51"/>
      <c r="C659" s="51"/>
      <c r="D659" s="51"/>
      <c r="E659" s="18"/>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8"/>
      <c r="B660" s="51"/>
      <c r="C660" s="51"/>
      <c r="D660" s="51"/>
      <c r="E660" s="18"/>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8"/>
      <c r="B661" s="51"/>
      <c r="C661" s="51"/>
      <c r="D661" s="51"/>
      <c r="E661" s="18"/>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8"/>
      <c r="B662" s="51"/>
      <c r="C662" s="51"/>
      <c r="D662" s="51"/>
      <c r="E662" s="18"/>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8"/>
      <c r="B663" s="51"/>
      <c r="C663" s="51"/>
      <c r="D663" s="51"/>
      <c r="E663" s="18"/>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8"/>
      <c r="B664" s="51"/>
      <c r="C664" s="51"/>
      <c r="D664" s="51"/>
      <c r="E664" s="18"/>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8"/>
      <c r="B665" s="51"/>
      <c r="C665" s="51"/>
      <c r="D665" s="51"/>
      <c r="E665" s="18"/>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8"/>
      <c r="B666" s="51"/>
      <c r="C666" s="51"/>
      <c r="D666" s="51"/>
      <c r="E666" s="18"/>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8"/>
      <c r="B667" s="51"/>
      <c r="C667" s="51"/>
      <c r="D667" s="51"/>
      <c r="E667" s="18"/>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8"/>
      <c r="B668" s="51"/>
      <c r="C668" s="51"/>
      <c r="D668" s="51"/>
      <c r="E668" s="18"/>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8"/>
      <c r="B669" s="51"/>
      <c r="C669" s="51"/>
      <c r="D669" s="51"/>
      <c r="E669" s="18"/>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8"/>
      <c r="B670" s="51"/>
      <c r="C670" s="51"/>
      <c r="D670" s="51"/>
      <c r="E670" s="18"/>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8"/>
      <c r="B671" s="51"/>
      <c r="C671" s="51"/>
      <c r="D671" s="51"/>
      <c r="E671" s="18"/>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8"/>
      <c r="B672" s="51"/>
      <c r="C672" s="51"/>
      <c r="D672" s="51"/>
      <c r="E672" s="18"/>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8"/>
      <c r="B673" s="51"/>
      <c r="C673" s="51"/>
      <c r="D673" s="51"/>
      <c r="E673" s="18"/>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8"/>
      <c r="B674" s="51"/>
      <c r="C674" s="51"/>
      <c r="D674" s="51"/>
      <c r="E674" s="18"/>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8"/>
      <c r="B675" s="51"/>
      <c r="C675" s="51"/>
      <c r="D675" s="51"/>
      <c r="E675" s="18"/>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8"/>
      <c r="B676" s="51"/>
      <c r="C676" s="51"/>
      <c r="D676" s="51"/>
      <c r="E676" s="18"/>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8"/>
      <c r="B677" s="51"/>
      <c r="C677" s="51"/>
      <c r="D677" s="51"/>
      <c r="E677" s="18"/>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8"/>
      <c r="B678" s="51"/>
      <c r="C678" s="51"/>
      <c r="D678" s="51"/>
      <c r="E678" s="18"/>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8"/>
      <c r="B679" s="51"/>
      <c r="C679" s="51"/>
      <c r="D679" s="51"/>
      <c r="E679" s="18"/>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8"/>
      <c r="B680" s="51"/>
      <c r="C680" s="51"/>
      <c r="D680" s="51"/>
      <c r="E680" s="18"/>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8"/>
      <c r="B681" s="51"/>
      <c r="C681" s="51"/>
      <c r="D681" s="51"/>
      <c r="E681" s="18"/>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8"/>
      <c r="B682" s="51"/>
      <c r="C682" s="51"/>
      <c r="D682" s="51"/>
      <c r="E682" s="18"/>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8"/>
      <c r="B683" s="51"/>
      <c r="C683" s="51"/>
      <c r="D683" s="51"/>
      <c r="E683" s="18"/>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8"/>
      <c r="B684" s="51"/>
      <c r="C684" s="51"/>
      <c r="D684" s="51"/>
      <c r="E684" s="18"/>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8"/>
      <c r="B685" s="51"/>
      <c r="C685" s="51"/>
      <c r="D685" s="51"/>
      <c r="E685" s="18"/>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8"/>
      <c r="B686" s="51"/>
      <c r="C686" s="51"/>
      <c r="D686" s="51"/>
      <c r="E686" s="18"/>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8"/>
      <c r="B687" s="51"/>
      <c r="C687" s="51"/>
      <c r="D687" s="51"/>
      <c r="E687" s="18"/>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8"/>
      <c r="B688" s="51"/>
      <c r="C688" s="51"/>
      <c r="D688" s="51"/>
      <c r="E688" s="18"/>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8"/>
      <c r="B689" s="51"/>
      <c r="C689" s="51"/>
      <c r="D689" s="51"/>
      <c r="E689" s="18"/>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8"/>
      <c r="B690" s="51"/>
      <c r="C690" s="51"/>
      <c r="D690" s="51"/>
      <c r="E690" s="18"/>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8"/>
      <c r="B691" s="51"/>
      <c r="C691" s="51"/>
      <c r="D691" s="51"/>
      <c r="E691" s="18"/>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8"/>
      <c r="B692" s="51"/>
      <c r="C692" s="51"/>
      <c r="D692" s="51"/>
      <c r="E692" s="18"/>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8"/>
      <c r="B693" s="51"/>
      <c r="C693" s="51"/>
      <c r="D693" s="51"/>
      <c r="E693" s="18"/>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8"/>
      <c r="B694" s="51"/>
      <c r="C694" s="51"/>
      <c r="D694" s="51"/>
      <c r="E694" s="18"/>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8"/>
      <c r="B695" s="51"/>
      <c r="C695" s="51"/>
      <c r="D695" s="51"/>
      <c r="E695" s="18"/>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8"/>
      <c r="B696" s="51"/>
      <c r="C696" s="51"/>
      <c r="D696" s="51"/>
      <c r="E696" s="18"/>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8"/>
      <c r="B697" s="51"/>
      <c r="C697" s="51"/>
      <c r="D697" s="51"/>
      <c r="E697" s="18"/>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8"/>
      <c r="B698" s="51"/>
      <c r="C698" s="51"/>
      <c r="D698" s="51"/>
      <c r="E698" s="18"/>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8"/>
      <c r="B699" s="51"/>
      <c r="C699" s="51"/>
      <c r="D699" s="51"/>
      <c r="E699" s="18"/>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8"/>
      <c r="B700" s="51"/>
      <c r="C700" s="51"/>
      <c r="D700" s="51"/>
      <c r="E700" s="18"/>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8"/>
      <c r="B701" s="51"/>
      <c r="C701" s="51"/>
      <c r="D701" s="51"/>
      <c r="E701" s="18"/>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8"/>
      <c r="B702" s="51"/>
      <c r="C702" s="51"/>
      <c r="D702" s="51"/>
      <c r="E702" s="18"/>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8"/>
      <c r="B703" s="51"/>
      <c r="C703" s="51"/>
      <c r="D703" s="51"/>
      <c r="E703" s="18"/>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8"/>
      <c r="B704" s="51"/>
      <c r="C704" s="51"/>
      <c r="D704" s="51"/>
      <c r="E704" s="18"/>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8"/>
      <c r="B705" s="51"/>
      <c r="C705" s="51"/>
      <c r="D705" s="51"/>
      <c r="E705" s="18"/>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8"/>
      <c r="B706" s="51"/>
      <c r="C706" s="51"/>
      <c r="D706" s="51"/>
      <c r="E706" s="18"/>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8"/>
      <c r="B707" s="51"/>
      <c r="C707" s="51"/>
      <c r="D707" s="51"/>
      <c r="E707" s="18"/>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8"/>
      <c r="B708" s="51"/>
      <c r="C708" s="51"/>
      <c r="D708" s="51"/>
      <c r="E708" s="18"/>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8"/>
      <c r="B709" s="51"/>
      <c r="C709" s="51"/>
      <c r="D709" s="51"/>
      <c r="E709" s="18"/>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8"/>
      <c r="B710" s="51"/>
      <c r="C710" s="51"/>
      <c r="D710" s="51"/>
      <c r="E710" s="18"/>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8"/>
      <c r="B711" s="51"/>
      <c r="C711" s="51"/>
      <c r="D711" s="51"/>
      <c r="E711" s="18"/>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8"/>
      <c r="B712" s="51"/>
      <c r="C712" s="51"/>
      <c r="D712" s="51"/>
      <c r="E712" s="18"/>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8"/>
      <c r="B713" s="51"/>
      <c r="C713" s="51"/>
      <c r="D713" s="51"/>
      <c r="E713" s="18"/>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8"/>
      <c r="B714" s="51"/>
      <c r="C714" s="51"/>
      <c r="D714" s="51"/>
      <c r="E714" s="18"/>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8"/>
      <c r="B715" s="51"/>
      <c r="C715" s="51"/>
      <c r="D715" s="51"/>
      <c r="E715" s="18"/>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8"/>
      <c r="B716" s="51"/>
      <c r="C716" s="51"/>
      <c r="D716" s="51"/>
      <c r="E716" s="18"/>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8"/>
      <c r="B717" s="51"/>
      <c r="C717" s="51"/>
      <c r="D717" s="51"/>
      <c r="E717" s="18"/>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8"/>
      <c r="B718" s="51"/>
      <c r="C718" s="51"/>
      <c r="D718" s="51"/>
      <c r="E718" s="18"/>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8"/>
      <c r="B719" s="51"/>
      <c r="C719" s="51"/>
      <c r="D719" s="51"/>
      <c r="E719" s="18"/>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8"/>
      <c r="B720" s="51"/>
      <c r="C720" s="51"/>
      <c r="D720" s="51"/>
      <c r="E720" s="18"/>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8"/>
      <c r="B721" s="51"/>
      <c r="C721" s="51"/>
      <c r="D721" s="51"/>
      <c r="E721" s="18"/>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8"/>
      <c r="B722" s="51"/>
      <c r="C722" s="51"/>
      <c r="D722" s="51"/>
      <c r="E722" s="18"/>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8"/>
      <c r="B723" s="51"/>
      <c r="C723" s="51"/>
      <c r="D723" s="51"/>
      <c r="E723" s="18"/>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8"/>
      <c r="B724" s="51"/>
      <c r="C724" s="51"/>
      <c r="D724" s="51"/>
      <c r="E724" s="18"/>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8"/>
      <c r="B725" s="51"/>
      <c r="C725" s="51"/>
      <c r="D725" s="51"/>
      <c r="E725" s="18"/>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8"/>
      <c r="B726" s="51"/>
      <c r="C726" s="51"/>
      <c r="D726" s="51"/>
      <c r="E726" s="18"/>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8"/>
      <c r="B727" s="51"/>
      <c r="C727" s="51"/>
      <c r="D727" s="51"/>
      <c r="E727" s="18"/>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8"/>
      <c r="B728" s="51"/>
      <c r="C728" s="51"/>
      <c r="D728" s="51"/>
      <c r="E728" s="18"/>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8"/>
      <c r="B729" s="51"/>
      <c r="C729" s="51"/>
      <c r="D729" s="51"/>
      <c r="E729" s="18"/>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8"/>
      <c r="B730" s="51"/>
      <c r="C730" s="51"/>
      <c r="D730" s="51"/>
      <c r="E730" s="18"/>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8"/>
      <c r="B731" s="51"/>
      <c r="C731" s="51"/>
      <c r="D731" s="51"/>
      <c r="E731" s="18"/>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8"/>
      <c r="B732" s="51"/>
      <c r="C732" s="51"/>
      <c r="D732" s="51"/>
      <c r="E732" s="18"/>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8"/>
      <c r="B733" s="51"/>
      <c r="C733" s="51"/>
      <c r="D733" s="51"/>
      <c r="E733" s="18"/>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8"/>
      <c r="B734" s="51"/>
      <c r="C734" s="51"/>
      <c r="D734" s="51"/>
      <c r="E734" s="18"/>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8"/>
      <c r="B735" s="51"/>
      <c r="C735" s="51"/>
      <c r="D735" s="51"/>
      <c r="E735" s="18"/>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8"/>
      <c r="B736" s="51"/>
      <c r="C736" s="51"/>
      <c r="D736" s="51"/>
      <c r="E736" s="18"/>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8"/>
      <c r="B737" s="51"/>
      <c r="C737" s="51"/>
      <c r="D737" s="51"/>
      <c r="E737" s="18"/>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8"/>
      <c r="B738" s="51"/>
      <c r="C738" s="51"/>
      <c r="D738" s="51"/>
      <c r="E738" s="18"/>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8"/>
      <c r="B739" s="51"/>
      <c r="C739" s="51"/>
      <c r="D739" s="51"/>
      <c r="E739" s="18"/>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8"/>
      <c r="B740" s="51"/>
      <c r="C740" s="51"/>
      <c r="D740" s="51"/>
      <c r="E740" s="18"/>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8"/>
      <c r="B741" s="51"/>
      <c r="C741" s="51"/>
      <c r="D741" s="51"/>
      <c r="E741" s="18"/>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8"/>
      <c r="B742" s="51"/>
      <c r="C742" s="51"/>
      <c r="D742" s="51"/>
      <c r="E742" s="18"/>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8"/>
      <c r="B743" s="51"/>
      <c r="C743" s="51"/>
      <c r="D743" s="51"/>
      <c r="E743" s="18"/>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8"/>
      <c r="B744" s="51"/>
      <c r="C744" s="51"/>
      <c r="D744" s="51"/>
      <c r="E744" s="18"/>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8"/>
      <c r="B745" s="51"/>
      <c r="C745" s="51"/>
      <c r="D745" s="51"/>
      <c r="E745" s="18"/>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8"/>
      <c r="B746" s="51"/>
      <c r="C746" s="51"/>
      <c r="D746" s="51"/>
      <c r="E746" s="18"/>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8"/>
      <c r="B747" s="51"/>
      <c r="C747" s="51"/>
      <c r="D747" s="51"/>
      <c r="E747" s="18"/>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8"/>
      <c r="B748" s="51"/>
      <c r="C748" s="51"/>
      <c r="D748" s="51"/>
      <c r="E748" s="18"/>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8"/>
      <c r="B749" s="51"/>
      <c r="C749" s="51"/>
      <c r="D749" s="51"/>
      <c r="E749" s="18"/>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8"/>
      <c r="B750" s="51"/>
      <c r="C750" s="51"/>
      <c r="D750" s="51"/>
      <c r="E750" s="18"/>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8"/>
      <c r="B751" s="51"/>
      <c r="C751" s="51"/>
      <c r="D751" s="51"/>
      <c r="E751" s="18"/>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8"/>
      <c r="B752" s="51"/>
      <c r="C752" s="51"/>
      <c r="D752" s="51"/>
      <c r="E752" s="18"/>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8"/>
      <c r="B753" s="51"/>
      <c r="C753" s="51"/>
      <c r="D753" s="51"/>
      <c r="E753" s="18"/>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8"/>
      <c r="B754" s="51"/>
      <c r="C754" s="51"/>
      <c r="D754" s="51"/>
      <c r="E754" s="18"/>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8"/>
      <c r="B755" s="51"/>
      <c r="C755" s="51"/>
      <c r="D755" s="51"/>
      <c r="E755" s="18"/>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8"/>
      <c r="B756" s="51"/>
      <c r="C756" s="51"/>
      <c r="D756" s="51"/>
      <c r="E756" s="18"/>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8"/>
      <c r="B757" s="51"/>
      <c r="C757" s="51"/>
      <c r="D757" s="51"/>
      <c r="E757" s="18"/>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8"/>
      <c r="B758" s="51"/>
      <c r="C758" s="51"/>
      <c r="D758" s="51"/>
      <c r="E758" s="18"/>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8"/>
      <c r="B759" s="51"/>
      <c r="C759" s="51"/>
      <c r="D759" s="51"/>
      <c r="E759" s="18"/>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8"/>
      <c r="B760" s="51"/>
      <c r="C760" s="51"/>
      <c r="D760" s="51"/>
      <c r="E760" s="18"/>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8"/>
      <c r="B761" s="51"/>
      <c r="C761" s="51"/>
      <c r="D761" s="51"/>
      <c r="E761" s="18"/>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8"/>
      <c r="B762" s="51"/>
      <c r="C762" s="51"/>
      <c r="D762" s="51"/>
      <c r="E762" s="18"/>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8"/>
      <c r="B763" s="51"/>
      <c r="C763" s="51"/>
      <c r="D763" s="51"/>
      <c r="E763" s="18"/>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8"/>
      <c r="B764" s="51"/>
      <c r="C764" s="51"/>
      <c r="D764" s="51"/>
      <c r="E764" s="18"/>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8"/>
      <c r="B765" s="51"/>
      <c r="C765" s="51"/>
      <c r="D765" s="51"/>
      <c r="E765" s="18"/>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8"/>
      <c r="B766" s="51"/>
      <c r="C766" s="51"/>
      <c r="D766" s="51"/>
      <c r="E766" s="18"/>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8"/>
      <c r="B767" s="51"/>
      <c r="C767" s="51"/>
      <c r="D767" s="51"/>
      <c r="E767" s="18"/>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8"/>
      <c r="B768" s="51"/>
      <c r="C768" s="51"/>
      <c r="D768" s="51"/>
      <c r="E768" s="18"/>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8"/>
      <c r="B769" s="51"/>
      <c r="C769" s="51"/>
      <c r="D769" s="51"/>
      <c r="E769" s="18"/>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8"/>
      <c r="B770" s="51"/>
      <c r="C770" s="51"/>
      <c r="D770" s="51"/>
      <c r="E770" s="18"/>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8"/>
      <c r="B771" s="51"/>
      <c r="C771" s="51"/>
      <c r="D771" s="51"/>
      <c r="E771" s="18"/>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8"/>
      <c r="B772" s="51"/>
      <c r="C772" s="51"/>
      <c r="D772" s="51"/>
      <c r="E772" s="18"/>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8"/>
      <c r="B773" s="51"/>
      <c r="C773" s="51"/>
      <c r="D773" s="51"/>
      <c r="E773" s="18"/>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8"/>
      <c r="B774" s="51"/>
      <c r="C774" s="51"/>
      <c r="D774" s="51"/>
      <c r="E774" s="18"/>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8"/>
      <c r="B775" s="51"/>
      <c r="C775" s="51"/>
      <c r="D775" s="51"/>
      <c r="E775" s="18"/>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8"/>
      <c r="B776" s="51"/>
      <c r="C776" s="51"/>
      <c r="D776" s="51"/>
      <c r="E776" s="18"/>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8"/>
      <c r="B777" s="51"/>
      <c r="C777" s="51"/>
      <c r="D777" s="51"/>
      <c r="E777" s="18"/>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8"/>
      <c r="B778" s="51"/>
      <c r="C778" s="51"/>
      <c r="D778" s="51"/>
      <c r="E778" s="18"/>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8"/>
      <c r="B779" s="51"/>
      <c r="C779" s="51"/>
      <c r="D779" s="51"/>
      <c r="E779" s="18"/>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8"/>
      <c r="B780" s="51"/>
      <c r="C780" s="51"/>
      <c r="D780" s="51"/>
      <c r="E780" s="18"/>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8"/>
      <c r="B781" s="51"/>
      <c r="C781" s="51"/>
      <c r="D781" s="51"/>
      <c r="E781" s="18"/>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8"/>
      <c r="B782" s="51"/>
      <c r="C782" s="51"/>
      <c r="D782" s="51"/>
      <c r="E782" s="18"/>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8"/>
      <c r="B783" s="51"/>
      <c r="C783" s="51"/>
      <c r="D783" s="51"/>
      <c r="E783" s="18"/>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8"/>
      <c r="B784" s="51"/>
      <c r="C784" s="51"/>
      <c r="D784" s="51"/>
      <c r="E784" s="18"/>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8"/>
      <c r="B785" s="51"/>
      <c r="C785" s="51"/>
      <c r="D785" s="51"/>
      <c r="E785" s="18"/>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8"/>
      <c r="B786" s="51"/>
      <c r="C786" s="51"/>
      <c r="D786" s="51"/>
      <c r="E786" s="18"/>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8"/>
      <c r="B787" s="51"/>
      <c r="C787" s="51"/>
      <c r="D787" s="51"/>
      <c r="E787" s="18"/>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8"/>
      <c r="B788" s="51"/>
      <c r="C788" s="51"/>
      <c r="D788" s="51"/>
      <c r="E788" s="18"/>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8"/>
      <c r="B789" s="51"/>
      <c r="C789" s="51"/>
      <c r="D789" s="51"/>
      <c r="E789" s="18"/>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8"/>
      <c r="B790" s="51"/>
      <c r="C790" s="51"/>
      <c r="D790" s="51"/>
      <c r="E790" s="18"/>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8"/>
      <c r="B791" s="51"/>
      <c r="C791" s="51"/>
      <c r="D791" s="51"/>
      <c r="E791" s="18"/>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8"/>
      <c r="B792" s="51"/>
      <c r="C792" s="51"/>
      <c r="D792" s="51"/>
      <c r="E792" s="18"/>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8"/>
      <c r="B793" s="51"/>
      <c r="C793" s="51"/>
      <c r="D793" s="51"/>
      <c r="E793" s="18"/>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8"/>
      <c r="B794" s="51"/>
      <c r="C794" s="51"/>
      <c r="D794" s="51"/>
      <c r="E794" s="18"/>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8"/>
      <c r="B795" s="51"/>
      <c r="C795" s="51"/>
      <c r="D795" s="51"/>
      <c r="E795" s="18"/>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8"/>
      <c r="B796" s="51"/>
      <c r="C796" s="51"/>
      <c r="D796" s="51"/>
      <c r="E796" s="18"/>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8"/>
      <c r="B797" s="51"/>
      <c r="C797" s="51"/>
      <c r="D797" s="51"/>
      <c r="E797" s="18"/>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8"/>
      <c r="B798" s="51"/>
      <c r="C798" s="51"/>
      <c r="D798" s="51"/>
      <c r="E798" s="18"/>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8"/>
      <c r="B799" s="51"/>
      <c r="C799" s="51"/>
      <c r="D799" s="51"/>
      <c r="E799" s="18"/>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8"/>
      <c r="B800" s="51"/>
      <c r="C800" s="51"/>
      <c r="D800" s="51"/>
      <c r="E800" s="18"/>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8"/>
      <c r="B801" s="51"/>
      <c r="C801" s="51"/>
      <c r="D801" s="51"/>
      <c r="E801" s="18"/>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8"/>
      <c r="B802" s="51"/>
      <c r="C802" s="51"/>
      <c r="D802" s="51"/>
      <c r="E802" s="18"/>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8"/>
      <c r="B803" s="51"/>
      <c r="C803" s="51"/>
      <c r="D803" s="51"/>
      <c r="E803" s="18"/>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8"/>
      <c r="B804" s="51"/>
      <c r="C804" s="51"/>
      <c r="D804" s="51"/>
      <c r="E804" s="18"/>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8"/>
      <c r="B805" s="51"/>
      <c r="C805" s="51"/>
      <c r="D805" s="51"/>
      <c r="E805" s="18"/>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8"/>
      <c r="B806" s="51"/>
      <c r="C806" s="51"/>
      <c r="D806" s="51"/>
      <c r="E806" s="18"/>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8"/>
      <c r="B807" s="51"/>
      <c r="C807" s="51"/>
      <c r="D807" s="51"/>
      <c r="E807" s="18"/>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8"/>
      <c r="B808" s="51"/>
      <c r="C808" s="51"/>
      <c r="D808" s="51"/>
      <c r="E808" s="18"/>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8"/>
      <c r="B809" s="51"/>
      <c r="C809" s="51"/>
      <c r="D809" s="51"/>
      <c r="E809" s="18"/>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8"/>
      <c r="B810" s="51"/>
      <c r="C810" s="51"/>
      <c r="D810" s="51"/>
      <c r="E810" s="18"/>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8"/>
      <c r="B811" s="51"/>
      <c r="C811" s="51"/>
      <c r="D811" s="51"/>
      <c r="E811" s="18"/>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8"/>
      <c r="B812" s="51"/>
      <c r="C812" s="51"/>
      <c r="D812" s="51"/>
      <c r="E812" s="18"/>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8"/>
      <c r="B813" s="51"/>
      <c r="C813" s="51"/>
      <c r="D813" s="51"/>
      <c r="E813" s="18"/>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8"/>
      <c r="B814" s="51"/>
      <c r="C814" s="51"/>
      <c r="D814" s="51"/>
      <c r="E814" s="18"/>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8"/>
      <c r="B815" s="51"/>
      <c r="C815" s="51"/>
      <c r="D815" s="51"/>
      <c r="E815" s="18"/>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8"/>
      <c r="B816" s="51"/>
      <c r="C816" s="51"/>
      <c r="D816" s="51"/>
      <c r="E816" s="18"/>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8"/>
      <c r="B817" s="51"/>
      <c r="C817" s="51"/>
      <c r="D817" s="51"/>
      <c r="E817" s="18"/>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8"/>
      <c r="B818" s="51"/>
      <c r="C818" s="51"/>
      <c r="D818" s="51"/>
      <c r="E818" s="18"/>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8"/>
      <c r="B819" s="51"/>
      <c r="C819" s="51"/>
      <c r="D819" s="51"/>
      <c r="E819" s="18"/>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8"/>
      <c r="B820" s="51"/>
      <c r="C820" s="51"/>
      <c r="D820" s="51"/>
      <c r="E820" s="18"/>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8"/>
      <c r="B821" s="51"/>
      <c r="C821" s="51"/>
      <c r="D821" s="51"/>
      <c r="E821" s="18"/>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8"/>
      <c r="B822" s="51"/>
      <c r="C822" s="51"/>
      <c r="D822" s="51"/>
      <c r="E822" s="18"/>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8"/>
      <c r="B823" s="51"/>
      <c r="C823" s="51"/>
      <c r="D823" s="51"/>
      <c r="E823" s="18"/>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8"/>
      <c r="B824" s="51"/>
      <c r="C824" s="51"/>
      <c r="D824" s="51"/>
      <c r="E824" s="18"/>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8"/>
      <c r="B825" s="51"/>
      <c r="C825" s="51"/>
      <c r="D825" s="51"/>
      <c r="E825" s="18"/>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8"/>
      <c r="B826" s="51"/>
      <c r="C826" s="51"/>
      <c r="D826" s="51"/>
      <c r="E826" s="18"/>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8"/>
      <c r="B827" s="51"/>
      <c r="C827" s="51"/>
      <c r="D827" s="51"/>
      <c r="E827" s="18"/>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8"/>
      <c r="B828" s="51"/>
      <c r="C828" s="51"/>
      <c r="D828" s="51"/>
      <c r="E828" s="18"/>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8"/>
      <c r="B829" s="51"/>
      <c r="C829" s="51"/>
      <c r="D829" s="51"/>
      <c r="E829" s="18"/>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8"/>
      <c r="B830" s="51"/>
      <c r="C830" s="51"/>
      <c r="D830" s="51"/>
      <c r="E830" s="18"/>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8"/>
      <c r="B831" s="51"/>
      <c r="C831" s="51"/>
      <c r="D831" s="51"/>
      <c r="E831" s="18"/>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8"/>
      <c r="B832" s="51"/>
      <c r="C832" s="51"/>
      <c r="D832" s="51"/>
      <c r="E832" s="18"/>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8"/>
      <c r="B833" s="51"/>
      <c r="C833" s="51"/>
      <c r="D833" s="51"/>
      <c r="E833" s="18"/>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8"/>
      <c r="B834" s="51"/>
      <c r="C834" s="51"/>
      <c r="D834" s="51"/>
      <c r="E834" s="18"/>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8"/>
      <c r="B835" s="51"/>
      <c r="C835" s="51"/>
      <c r="D835" s="51"/>
      <c r="E835" s="18"/>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8"/>
      <c r="B836" s="51"/>
      <c r="C836" s="51"/>
      <c r="D836" s="51"/>
      <c r="E836" s="18"/>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8"/>
      <c r="B837" s="51"/>
      <c r="C837" s="51"/>
      <c r="D837" s="51"/>
      <c r="E837" s="18"/>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8"/>
      <c r="B838" s="51"/>
      <c r="C838" s="51"/>
      <c r="D838" s="51"/>
      <c r="E838" s="18"/>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8"/>
      <c r="B839" s="51"/>
      <c r="C839" s="51"/>
      <c r="D839" s="51"/>
      <c r="E839" s="18"/>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8"/>
      <c r="B840" s="51"/>
      <c r="C840" s="51"/>
      <c r="D840" s="51"/>
      <c r="E840" s="18"/>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8"/>
      <c r="B841" s="51"/>
      <c r="C841" s="51"/>
      <c r="D841" s="51"/>
      <c r="E841" s="18"/>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8"/>
      <c r="B842" s="51"/>
      <c r="C842" s="51"/>
      <c r="D842" s="51"/>
      <c r="E842" s="18"/>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8"/>
      <c r="B843" s="51"/>
      <c r="C843" s="51"/>
      <c r="D843" s="51"/>
      <c r="E843" s="18"/>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8"/>
      <c r="B844" s="51"/>
      <c r="C844" s="51"/>
      <c r="D844" s="51"/>
      <c r="E844" s="18"/>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8"/>
      <c r="B845" s="51"/>
      <c r="C845" s="51"/>
      <c r="D845" s="51"/>
      <c r="E845" s="18"/>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8"/>
      <c r="B846" s="51"/>
      <c r="C846" s="51"/>
      <c r="D846" s="51"/>
      <c r="E846" s="18"/>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8"/>
      <c r="B847" s="51"/>
      <c r="C847" s="51"/>
      <c r="D847" s="51"/>
      <c r="E847" s="18"/>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8"/>
      <c r="B848" s="51"/>
      <c r="C848" s="51"/>
      <c r="D848" s="51"/>
      <c r="E848" s="18"/>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8"/>
      <c r="B849" s="51"/>
      <c r="C849" s="51"/>
      <c r="D849" s="51"/>
      <c r="E849" s="18"/>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8"/>
      <c r="B850" s="51"/>
      <c r="C850" s="51"/>
      <c r="D850" s="51"/>
      <c r="E850" s="18"/>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8"/>
      <c r="B851" s="51"/>
      <c r="C851" s="51"/>
      <c r="D851" s="51"/>
      <c r="E851" s="18"/>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8"/>
      <c r="B852" s="51"/>
      <c r="C852" s="51"/>
      <c r="D852" s="51"/>
      <c r="E852" s="18"/>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8"/>
      <c r="B853" s="51"/>
      <c r="C853" s="51"/>
      <c r="D853" s="51"/>
      <c r="E853" s="18"/>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8"/>
      <c r="B854" s="51"/>
      <c r="C854" s="51"/>
      <c r="D854" s="51"/>
      <c r="E854" s="18"/>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8"/>
      <c r="B855" s="51"/>
      <c r="C855" s="51"/>
      <c r="D855" s="51"/>
      <c r="E855" s="18"/>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8"/>
      <c r="B856" s="51"/>
      <c r="C856" s="51"/>
      <c r="D856" s="51"/>
      <c r="E856" s="18"/>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8"/>
      <c r="B857" s="51"/>
      <c r="C857" s="51"/>
      <c r="D857" s="51"/>
      <c r="E857" s="18"/>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8"/>
      <c r="B858" s="51"/>
      <c r="C858" s="51"/>
      <c r="D858" s="51"/>
      <c r="E858" s="18"/>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8"/>
      <c r="B859" s="51"/>
      <c r="C859" s="51"/>
      <c r="D859" s="51"/>
      <c r="E859" s="18"/>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8"/>
      <c r="B860" s="51"/>
      <c r="C860" s="51"/>
      <c r="D860" s="51"/>
      <c r="E860" s="18"/>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8"/>
      <c r="B861" s="51"/>
      <c r="C861" s="51"/>
      <c r="D861" s="51"/>
      <c r="E861" s="18"/>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8"/>
      <c r="B862" s="51"/>
      <c r="C862" s="51"/>
      <c r="D862" s="51"/>
      <c r="E862" s="18"/>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8"/>
      <c r="B863" s="51"/>
      <c r="C863" s="51"/>
      <c r="D863" s="51"/>
      <c r="E863" s="18"/>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8"/>
      <c r="B864" s="51"/>
      <c r="C864" s="51"/>
      <c r="D864" s="51"/>
      <c r="E864" s="18"/>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8"/>
      <c r="B865" s="51"/>
      <c r="C865" s="51"/>
      <c r="D865" s="51"/>
      <c r="E865" s="18"/>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8"/>
      <c r="B866" s="51"/>
      <c r="C866" s="51"/>
      <c r="D866" s="51"/>
      <c r="E866" s="18"/>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8"/>
      <c r="B867" s="51"/>
      <c r="C867" s="51"/>
      <c r="D867" s="51"/>
      <c r="E867" s="18"/>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8"/>
      <c r="B868" s="51"/>
      <c r="C868" s="51"/>
      <c r="D868" s="51"/>
      <c r="E868" s="18"/>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8"/>
      <c r="B869" s="51"/>
      <c r="C869" s="51"/>
      <c r="D869" s="51"/>
      <c r="E869" s="18"/>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8"/>
      <c r="B870" s="51"/>
      <c r="C870" s="51"/>
      <c r="D870" s="51"/>
      <c r="E870" s="18"/>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8"/>
      <c r="B871" s="51"/>
      <c r="C871" s="51"/>
      <c r="D871" s="51"/>
      <c r="E871" s="18"/>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8"/>
      <c r="B872" s="51"/>
      <c r="C872" s="51"/>
      <c r="D872" s="51"/>
      <c r="E872" s="18"/>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8"/>
      <c r="B873" s="51"/>
      <c r="C873" s="51"/>
      <c r="D873" s="51"/>
      <c r="E873" s="18"/>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8"/>
      <c r="B874" s="51"/>
      <c r="C874" s="51"/>
      <c r="D874" s="51"/>
      <c r="E874" s="18"/>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8"/>
      <c r="B875" s="51"/>
      <c r="C875" s="51"/>
      <c r="D875" s="51"/>
      <c r="E875" s="18"/>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8"/>
      <c r="B876" s="51"/>
      <c r="C876" s="51"/>
      <c r="D876" s="51"/>
      <c r="E876" s="18"/>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8"/>
      <c r="B877" s="51"/>
      <c r="C877" s="51"/>
      <c r="D877" s="51"/>
      <c r="E877" s="18"/>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8"/>
      <c r="B878" s="51"/>
      <c r="C878" s="51"/>
      <c r="D878" s="51"/>
      <c r="E878" s="18"/>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8"/>
      <c r="B879" s="51"/>
      <c r="C879" s="51"/>
      <c r="D879" s="51"/>
      <c r="E879" s="18"/>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8"/>
      <c r="B880" s="51"/>
      <c r="C880" s="51"/>
      <c r="D880" s="51"/>
      <c r="E880" s="18"/>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8"/>
      <c r="B881" s="51"/>
      <c r="C881" s="51"/>
      <c r="D881" s="51"/>
      <c r="E881" s="18"/>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8"/>
      <c r="B882" s="51"/>
      <c r="C882" s="51"/>
      <c r="D882" s="51"/>
      <c r="E882" s="18"/>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8"/>
      <c r="B883" s="51"/>
      <c r="C883" s="51"/>
      <c r="D883" s="51"/>
      <c r="E883" s="18"/>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8"/>
      <c r="B884" s="51"/>
      <c r="C884" s="51"/>
      <c r="D884" s="51"/>
      <c r="E884" s="18"/>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8"/>
      <c r="B885" s="51"/>
      <c r="C885" s="51"/>
      <c r="D885" s="51"/>
      <c r="E885" s="18"/>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8"/>
      <c r="B886" s="51"/>
      <c r="C886" s="51"/>
      <c r="D886" s="51"/>
      <c r="E886" s="18"/>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8"/>
      <c r="B887" s="51"/>
      <c r="C887" s="51"/>
      <c r="D887" s="51"/>
      <c r="E887" s="18"/>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8"/>
      <c r="B888" s="51"/>
      <c r="C888" s="51"/>
      <c r="D888" s="51"/>
      <c r="E888" s="18"/>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8"/>
      <c r="B889" s="51"/>
      <c r="C889" s="51"/>
      <c r="D889" s="51"/>
      <c r="E889" s="18"/>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8"/>
      <c r="B890" s="51"/>
      <c r="C890" s="51"/>
      <c r="D890" s="51"/>
      <c r="E890" s="18"/>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8"/>
      <c r="B891" s="51"/>
      <c r="C891" s="51"/>
      <c r="D891" s="51"/>
      <c r="E891" s="18"/>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8"/>
      <c r="B892" s="51"/>
      <c r="C892" s="51"/>
      <c r="D892" s="51"/>
      <c r="E892" s="18"/>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8"/>
      <c r="B893" s="51"/>
      <c r="C893" s="51"/>
      <c r="D893" s="51"/>
      <c r="E893" s="18"/>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8"/>
      <c r="B894" s="51"/>
      <c r="C894" s="51"/>
      <c r="D894" s="51"/>
      <c r="E894" s="18"/>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8"/>
      <c r="B895" s="51"/>
      <c r="C895" s="51"/>
      <c r="D895" s="51"/>
      <c r="E895" s="18"/>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8"/>
      <c r="B896" s="51"/>
      <c r="C896" s="51"/>
      <c r="D896" s="51"/>
      <c r="E896" s="18"/>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8"/>
      <c r="B897" s="51"/>
      <c r="C897" s="51"/>
      <c r="D897" s="51"/>
      <c r="E897" s="18"/>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8"/>
      <c r="B898" s="51"/>
      <c r="C898" s="51"/>
      <c r="D898" s="51"/>
      <c r="E898" s="18"/>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8"/>
      <c r="B899" s="51"/>
      <c r="C899" s="51"/>
      <c r="D899" s="51"/>
      <c r="E899" s="18"/>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8"/>
      <c r="B900" s="51"/>
      <c r="C900" s="51"/>
      <c r="D900" s="51"/>
      <c r="E900" s="18"/>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8"/>
      <c r="B901" s="51"/>
      <c r="C901" s="51"/>
      <c r="D901" s="51"/>
      <c r="E901" s="18"/>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8"/>
      <c r="B902" s="51"/>
      <c r="C902" s="51"/>
      <c r="D902" s="51"/>
      <c r="E902" s="18"/>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8"/>
      <c r="B903" s="51"/>
      <c r="C903" s="51"/>
      <c r="D903" s="51"/>
      <c r="E903" s="18"/>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8"/>
      <c r="B904" s="51"/>
      <c r="C904" s="51"/>
      <c r="D904" s="51"/>
      <c r="E904" s="18"/>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8"/>
      <c r="B905" s="51"/>
      <c r="C905" s="51"/>
      <c r="D905" s="51"/>
      <c r="E905" s="18"/>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8"/>
      <c r="B906" s="51"/>
      <c r="C906" s="51"/>
      <c r="D906" s="51"/>
      <c r="E906" s="18"/>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8"/>
      <c r="B907" s="51"/>
      <c r="C907" s="51"/>
      <c r="D907" s="51"/>
      <c r="E907" s="18"/>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8"/>
      <c r="B908" s="51"/>
      <c r="C908" s="51"/>
      <c r="D908" s="51"/>
      <c r="E908" s="18"/>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8"/>
      <c r="B909" s="51"/>
      <c r="C909" s="51"/>
      <c r="D909" s="51"/>
      <c r="E909" s="18"/>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8"/>
      <c r="B910" s="51"/>
      <c r="C910" s="51"/>
      <c r="D910" s="51"/>
      <c r="E910" s="18"/>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8"/>
      <c r="B911" s="51"/>
      <c r="C911" s="51"/>
      <c r="D911" s="51"/>
      <c r="E911" s="18"/>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8"/>
      <c r="B912" s="51"/>
      <c r="C912" s="51"/>
      <c r="D912" s="51"/>
      <c r="E912" s="18"/>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8"/>
      <c r="B913" s="51"/>
      <c r="C913" s="51"/>
      <c r="D913" s="51"/>
      <c r="E913" s="18"/>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8"/>
      <c r="B914" s="51"/>
      <c r="C914" s="51"/>
      <c r="D914" s="51"/>
      <c r="E914" s="18"/>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8"/>
      <c r="B915" s="51"/>
      <c r="C915" s="51"/>
      <c r="D915" s="51"/>
      <c r="E915" s="18"/>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8"/>
      <c r="B916" s="51"/>
      <c r="C916" s="51"/>
      <c r="D916" s="51"/>
      <c r="E916" s="18"/>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8"/>
      <c r="B917" s="51"/>
      <c r="C917" s="51"/>
      <c r="D917" s="51"/>
      <c r="E917" s="18"/>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8"/>
      <c r="B918" s="51"/>
      <c r="C918" s="51"/>
      <c r="D918" s="51"/>
      <c r="E918" s="18"/>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8"/>
      <c r="B919" s="51"/>
      <c r="C919" s="51"/>
      <c r="D919" s="51"/>
      <c r="E919" s="18"/>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8"/>
      <c r="B920" s="51"/>
      <c r="C920" s="51"/>
      <c r="D920" s="51"/>
      <c r="E920" s="18"/>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8"/>
      <c r="B921" s="51"/>
      <c r="C921" s="51"/>
      <c r="D921" s="51"/>
      <c r="E921" s="18"/>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8"/>
      <c r="B922" s="51"/>
      <c r="C922" s="51"/>
      <c r="D922" s="51"/>
      <c r="E922" s="18"/>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8"/>
      <c r="B923" s="51"/>
      <c r="C923" s="51"/>
      <c r="D923" s="51"/>
      <c r="E923" s="18"/>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8"/>
      <c r="B924" s="51"/>
      <c r="C924" s="51"/>
      <c r="D924" s="51"/>
      <c r="E924" s="18"/>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8"/>
      <c r="B925" s="51"/>
      <c r="C925" s="51"/>
      <c r="D925" s="51"/>
      <c r="E925" s="18"/>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8"/>
      <c r="B926" s="51"/>
      <c r="C926" s="51"/>
      <c r="D926" s="51"/>
      <c r="E926" s="18"/>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8"/>
      <c r="B927" s="51"/>
      <c r="C927" s="51"/>
      <c r="D927" s="51"/>
      <c r="E927" s="18"/>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8"/>
      <c r="B928" s="51"/>
      <c r="C928" s="51"/>
      <c r="D928" s="51"/>
      <c r="E928" s="18"/>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8"/>
      <c r="B929" s="51"/>
      <c r="C929" s="51"/>
      <c r="D929" s="51"/>
      <c r="E929" s="18"/>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8"/>
      <c r="B930" s="51"/>
      <c r="C930" s="51"/>
      <c r="D930" s="51"/>
      <c r="E930" s="18"/>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8"/>
      <c r="B931" s="51"/>
      <c r="C931" s="51"/>
      <c r="D931" s="51"/>
      <c r="E931" s="18"/>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8"/>
      <c r="B932" s="51"/>
      <c r="C932" s="51"/>
      <c r="D932" s="51"/>
      <c r="E932" s="18"/>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8"/>
      <c r="B933" s="51"/>
      <c r="C933" s="51"/>
      <c r="D933" s="51"/>
      <c r="E933" s="18"/>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8"/>
      <c r="B934" s="51"/>
      <c r="C934" s="51"/>
      <c r="D934" s="51"/>
      <c r="E934" s="18"/>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8"/>
      <c r="B935" s="51"/>
      <c r="C935" s="51"/>
      <c r="D935" s="51"/>
      <c r="E935" s="18"/>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8"/>
      <c r="B936" s="51"/>
      <c r="C936" s="51"/>
      <c r="D936" s="51"/>
      <c r="E936" s="18"/>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8"/>
      <c r="B937" s="51"/>
      <c r="C937" s="51"/>
      <c r="D937" s="51"/>
      <c r="E937" s="18"/>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8"/>
      <c r="B938" s="51"/>
      <c r="C938" s="51"/>
      <c r="D938" s="51"/>
      <c r="E938" s="18"/>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8"/>
      <c r="B939" s="51"/>
      <c r="C939" s="51"/>
      <c r="D939" s="51"/>
      <c r="E939" s="18"/>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8"/>
      <c r="B940" s="51"/>
      <c r="C940" s="51"/>
      <c r="D940" s="51"/>
      <c r="E940" s="18"/>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8"/>
      <c r="B941" s="51"/>
      <c r="C941" s="51"/>
      <c r="D941" s="51"/>
      <c r="E941" s="18"/>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8"/>
      <c r="B942" s="51"/>
      <c r="C942" s="51"/>
      <c r="D942" s="51"/>
      <c r="E942" s="18"/>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8"/>
      <c r="B943" s="51"/>
      <c r="C943" s="51"/>
      <c r="D943" s="51"/>
      <c r="E943" s="18"/>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8"/>
      <c r="B944" s="51"/>
      <c r="C944" s="51"/>
      <c r="D944" s="51"/>
      <c r="E944" s="18"/>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8"/>
      <c r="B945" s="51"/>
      <c r="C945" s="51"/>
      <c r="D945" s="51"/>
      <c r="E945" s="18"/>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8"/>
      <c r="B946" s="51"/>
      <c r="C946" s="51"/>
      <c r="D946" s="51"/>
      <c r="E946" s="18"/>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8"/>
      <c r="B947" s="51"/>
      <c r="C947" s="51"/>
      <c r="D947" s="51"/>
      <c r="E947" s="18"/>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8"/>
      <c r="B948" s="51"/>
      <c r="C948" s="51"/>
      <c r="D948" s="51"/>
      <c r="E948" s="18"/>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8"/>
      <c r="B949" s="51"/>
      <c r="C949" s="51"/>
      <c r="D949" s="51"/>
      <c r="E949" s="18"/>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8"/>
      <c r="B950" s="51"/>
      <c r="C950" s="51"/>
      <c r="D950" s="51"/>
      <c r="E950" s="18"/>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8"/>
      <c r="B951" s="51"/>
      <c r="C951" s="51"/>
      <c r="D951" s="51"/>
      <c r="E951" s="18"/>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8"/>
      <c r="B952" s="51"/>
      <c r="C952" s="51"/>
      <c r="D952" s="51"/>
      <c r="E952" s="18"/>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8"/>
      <c r="B953" s="51"/>
      <c r="C953" s="51"/>
      <c r="D953" s="51"/>
      <c r="E953" s="18"/>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8"/>
      <c r="B954" s="51"/>
      <c r="C954" s="51"/>
      <c r="D954" s="51"/>
      <c r="E954" s="18"/>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8"/>
      <c r="B955" s="51"/>
      <c r="C955" s="51"/>
      <c r="D955" s="51"/>
      <c r="E955" s="18"/>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8"/>
      <c r="B956" s="51"/>
      <c r="C956" s="51"/>
      <c r="D956" s="51"/>
      <c r="E956" s="18"/>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8"/>
      <c r="B957" s="51"/>
      <c r="C957" s="51"/>
      <c r="D957" s="51"/>
      <c r="E957" s="18"/>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8"/>
      <c r="B958" s="51"/>
      <c r="C958" s="51"/>
      <c r="D958" s="51"/>
      <c r="E958" s="18"/>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8"/>
      <c r="B959" s="51"/>
      <c r="C959" s="51"/>
      <c r="D959" s="51"/>
      <c r="E959" s="18"/>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8"/>
      <c r="B960" s="51"/>
      <c r="C960" s="51"/>
      <c r="D960" s="51"/>
      <c r="E960" s="18"/>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8"/>
      <c r="B961" s="51"/>
      <c r="C961" s="51"/>
      <c r="D961" s="51"/>
      <c r="E961" s="18"/>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8"/>
      <c r="B962" s="51"/>
      <c r="C962" s="51"/>
      <c r="D962" s="51"/>
      <c r="E962" s="18"/>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8"/>
      <c r="B963" s="51"/>
      <c r="C963" s="51"/>
      <c r="D963" s="51"/>
      <c r="E963" s="18"/>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8"/>
      <c r="B964" s="51"/>
      <c r="C964" s="51"/>
      <c r="D964" s="51"/>
      <c r="E964" s="18"/>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8"/>
      <c r="B965" s="51"/>
      <c r="C965" s="51"/>
      <c r="D965" s="51"/>
      <c r="E965" s="18"/>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8"/>
      <c r="B966" s="51"/>
      <c r="C966" s="51"/>
      <c r="D966" s="51"/>
      <c r="E966" s="18"/>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8"/>
      <c r="B967" s="51"/>
      <c r="C967" s="51"/>
      <c r="D967" s="51"/>
      <c r="E967" s="18"/>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8"/>
      <c r="B968" s="51"/>
      <c r="C968" s="51"/>
      <c r="D968" s="51"/>
      <c r="E968" s="18"/>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8"/>
      <c r="B969" s="51"/>
      <c r="C969" s="51"/>
      <c r="D969" s="51"/>
      <c r="E969" s="18"/>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8"/>
      <c r="B970" s="51"/>
      <c r="C970" s="51"/>
      <c r="D970" s="51"/>
      <c r="E970" s="18"/>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8"/>
      <c r="B971" s="51"/>
      <c r="C971" s="51"/>
      <c r="D971" s="51"/>
      <c r="E971" s="18"/>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8"/>
      <c r="B972" s="51"/>
      <c r="C972" s="51"/>
      <c r="D972" s="51"/>
      <c r="E972" s="18"/>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8"/>
      <c r="B973" s="51"/>
      <c r="C973" s="51"/>
      <c r="D973" s="51"/>
      <c r="E973" s="18"/>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8"/>
      <c r="B974" s="51"/>
      <c r="C974" s="51"/>
      <c r="D974" s="51"/>
      <c r="E974" s="18"/>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8"/>
      <c r="B975" s="51"/>
      <c r="C975" s="51"/>
      <c r="D975" s="51"/>
      <c r="E975" s="18"/>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8"/>
      <c r="B976" s="51"/>
      <c r="C976" s="51"/>
      <c r="D976" s="51"/>
      <c r="E976" s="18"/>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8"/>
      <c r="B977" s="51"/>
      <c r="C977" s="51"/>
      <c r="D977" s="51"/>
      <c r="E977" s="18"/>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8"/>
      <c r="B978" s="51"/>
      <c r="C978" s="51"/>
      <c r="D978" s="51"/>
      <c r="E978" s="18"/>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8"/>
      <c r="B979" s="51"/>
      <c r="C979" s="51"/>
      <c r="D979" s="51"/>
      <c r="E979" s="18"/>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8"/>
      <c r="B980" s="51"/>
      <c r="C980" s="51"/>
      <c r="D980" s="51"/>
      <c r="E980" s="18"/>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8"/>
      <c r="B981" s="51"/>
      <c r="C981" s="51"/>
      <c r="D981" s="51"/>
      <c r="E981" s="18"/>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8"/>
      <c r="B982" s="51"/>
      <c r="C982" s="51"/>
      <c r="D982" s="51"/>
      <c r="E982" s="18"/>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8"/>
      <c r="B983" s="51"/>
      <c r="C983" s="51"/>
      <c r="D983" s="51"/>
      <c r="E983" s="18"/>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8"/>
      <c r="B984" s="51"/>
      <c r="C984" s="51"/>
      <c r="D984" s="51"/>
      <c r="E984" s="18"/>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8"/>
      <c r="B985" s="51"/>
      <c r="C985" s="51"/>
      <c r="D985" s="51"/>
      <c r="E985" s="18"/>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8"/>
      <c r="B986" s="51"/>
      <c r="C986" s="51"/>
      <c r="D986" s="51"/>
      <c r="E986" s="18"/>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8"/>
      <c r="B987" s="51"/>
      <c r="C987" s="51"/>
      <c r="D987" s="51"/>
      <c r="E987" s="18"/>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8"/>
      <c r="B988" s="51"/>
      <c r="C988" s="51"/>
      <c r="D988" s="51"/>
      <c r="E988" s="18"/>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8"/>
      <c r="B989" s="51"/>
      <c r="C989" s="51"/>
      <c r="D989" s="51"/>
      <c r="E989" s="18"/>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8"/>
      <c r="B990" s="51"/>
      <c r="C990" s="51"/>
      <c r="D990" s="51"/>
      <c r="E990" s="18"/>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8"/>
      <c r="B991" s="51"/>
      <c r="C991" s="51"/>
      <c r="D991" s="51"/>
      <c r="E991" s="18"/>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8"/>
      <c r="B992" s="51"/>
      <c r="C992" s="51"/>
      <c r="D992" s="51"/>
      <c r="E992" s="18"/>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8"/>
      <c r="B993" s="51"/>
      <c r="C993" s="51"/>
      <c r="D993" s="51"/>
      <c r="E993" s="18"/>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8"/>
      <c r="B994" s="51"/>
      <c r="C994" s="51"/>
      <c r="D994" s="51"/>
      <c r="E994" s="18"/>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8"/>
      <c r="B995" s="51"/>
      <c r="C995" s="51"/>
      <c r="D995" s="51"/>
      <c r="E995" s="18"/>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8"/>
      <c r="B996" s="51"/>
      <c r="C996" s="51"/>
      <c r="D996" s="51"/>
      <c r="E996" s="18"/>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8"/>
      <c r="B997" s="51"/>
      <c r="C997" s="51"/>
      <c r="D997" s="51"/>
      <c r="E997" s="18"/>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8"/>
      <c r="B998" s="51"/>
      <c r="C998" s="51"/>
      <c r="D998" s="51"/>
      <c r="E998" s="18"/>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8"/>
      <c r="B999" s="51"/>
      <c r="C999" s="51"/>
      <c r="D999" s="51"/>
      <c r="E999" s="18"/>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8"/>
      <c r="B1000" s="51"/>
      <c r="C1000" s="51"/>
      <c r="D1000" s="51"/>
      <c r="E1000" s="18"/>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2:E116"/>
  <mergeCells count="4">
    <mergeCell ref="A34:E34"/>
    <mergeCell ref="A74:E74"/>
    <mergeCell ref="A93:E93"/>
    <mergeCell ref="A110:E110"/>
  </mergeCells>
  <printOptions headings="false" gridLines="false" gridLinesSet="true" horizontalCentered="false" verticalCentered="false"/>
  <pageMargins left="0.25" right="0.25" top="0.75" bottom="0.75" header="0.511811023622047" footer="0"/>
  <pageSetup paperSize="9" scale="100" fitToWidth="1" fitToHeight="0" pageOrder="downThenOver" orientation="portrait" blackAndWhite="false" draft="false" cellComments="none" horizontalDpi="300" verticalDpi="300" copies="1"/>
  <headerFooter differentFirst="false" differentOddEven="false">
    <oddHeader/>
    <oddFooter>&amp;CPágina &amp;P de</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3" min="1" style="0" width="5.75"/>
    <col collapsed="false" customWidth="true" hidden="false" outlineLevel="0" max="4" min="4" style="0" width="6.25"/>
    <col collapsed="false" customWidth="true" hidden="false" outlineLevel="0" max="5" min="5" style="0" width="130.25"/>
    <col collapsed="false" customWidth="true" hidden="false" outlineLevel="0" max="6" min="6" style="0" width="21"/>
    <col collapsed="false" customWidth="true" hidden="false" outlineLevel="0" max="7" min="7" style="0" width="14.13"/>
    <col collapsed="false" customWidth="true" hidden="false" outlineLevel="0" max="9" min="8" style="0" width="13.75"/>
    <col collapsed="false" customWidth="true" hidden="false" outlineLevel="0" max="26" min="10" style="0" width="11.38"/>
  </cols>
  <sheetData>
    <row r="1" customFormat="false" ht="12.75" hidden="false" customHeight="true" outlineLevel="0" collapsed="false">
      <c r="A1" s="18"/>
      <c r="B1" s="18"/>
      <c r="C1" s="18"/>
      <c r="D1" s="18"/>
      <c r="E1" s="18"/>
      <c r="F1" s="68"/>
      <c r="G1" s="18"/>
      <c r="H1" s="18"/>
      <c r="I1" s="18"/>
      <c r="J1" s="1"/>
      <c r="K1" s="1"/>
      <c r="L1" s="1"/>
      <c r="M1" s="1"/>
      <c r="N1" s="1"/>
      <c r="O1" s="1"/>
      <c r="P1" s="1"/>
      <c r="Q1" s="1"/>
      <c r="R1" s="1"/>
      <c r="S1" s="1"/>
      <c r="T1" s="1"/>
      <c r="U1" s="1"/>
      <c r="V1" s="1"/>
      <c r="W1" s="1"/>
      <c r="X1" s="1"/>
      <c r="Y1" s="1"/>
      <c r="Z1" s="1"/>
    </row>
    <row r="2" customFormat="false" ht="81.75" hidden="false" customHeight="true" outlineLevel="0" collapsed="false">
      <c r="A2" s="69" t="s">
        <v>277</v>
      </c>
      <c r="B2" s="70" t="s">
        <v>8</v>
      </c>
      <c r="C2" s="70" t="s">
        <v>413</v>
      </c>
      <c r="D2" s="70" t="s">
        <v>188</v>
      </c>
      <c r="E2" s="71" t="s">
        <v>414</v>
      </c>
      <c r="F2" s="72" t="s">
        <v>415</v>
      </c>
      <c r="G2" s="73" t="s">
        <v>416</v>
      </c>
      <c r="H2" s="74" t="s">
        <v>417</v>
      </c>
      <c r="I2" s="74" t="s">
        <v>418</v>
      </c>
      <c r="J2" s="1"/>
      <c r="K2" s="1"/>
      <c r="L2" s="1"/>
      <c r="M2" s="1"/>
      <c r="N2" s="1"/>
      <c r="O2" s="1"/>
      <c r="P2" s="1"/>
      <c r="Q2" s="1"/>
      <c r="R2" s="1"/>
      <c r="S2" s="1"/>
      <c r="T2" s="1"/>
      <c r="U2" s="1"/>
      <c r="V2" s="1"/>
      <c r="W2" s="1"/>
      <c r="X2" s="1"/>
      <c r="Y2" s="1"/>
      <c r="Z2" s="1"/>
    </row>
    <row r="3" customFormat="false" ht="28.5" hidden="false" customHeight="true" outlineLevel="0" collapsed="false">
      <c r="A3" s="75" t="s">
        <v>419</v>
      </c>
      <c r="B3" s="76" t="s">
        <v>420</v>
      </c>
      <c r="C3" s="76" t="n">
        <v>1</v>
      </c>
      <c r="D3" s="76" t="s">
        <v>80</v>
      </c>
      <c r="E3" s="77" t="str">
        <f aca="false">VLOOKUP($D3,REQUISITOS,2,FALSE())</f>
        <v>Identificar formalmente los activos de la organización junto con la definición de su responsable.</v>
      </c>
      <c r="F3" s="78" t="str">
        <f aca="false">GA.1</f>
        <v>No cumple</v>
      </c>
      <c r="G3" s="79" t="n">
        <f aca="false">Madurez!D5</f>
        <v>0</v>
      </c>
      <c r="H3" s="80" t="n">
        <f aca="false">AVERAGE(G3:G13)</f>
        <v>0.333333333333333</v>
      </c>
      <c r="I3" s="80" t="n">
        <f aca="false">AVERAGE(H3:H53)</f>
        <v>0.688888888888889</v>
      </c>
      <c r="J3" s="1"/>
      <c r="K3" s="1"/>
      <c r="L3" s="1"/>
      <c r="M3" s="1"/>
      <c r="N3" s="1"/>
      <c r="O3" s="1"/>
      <c r="P3" s="1"/>
      <c r="Q3" s="1"/>
      <c r="R3" s="1"/>
      <c r="S3" s="1"/>
      <c r="T3" s="1"/>
      <c r="U3" s="1"/>
      <c r="V3" s="1"/>
      <c r="W3" s="1"/>
      <c r="X3" s="1"/>
      <c r="Y3" s="1"/>
      <c r="Z3" s="1"/>
    </row>
    <row r="4" customFormat="false" ht="27" hidden="false" customHeight="true" outlineLevel="0" collapsed="false">
      <c r="A4" s="81" t="s">
        <v>419</v>
      </c>
      <c r="B4" s="82" t="s">
        <v>420</v>
      </c>
      <c r="C4" s="82" t="n">
        <v>1</v>
      </c>
      <c r="D4" s="82" t="s">
        <v>84</v>
      </c>
      <c r="E4" s="83" t="str">
        <f aca="false">VLOOKUP($D4,REQUISITOS,2,FALSE())</f>
        <v>Pautar el uso aceptable de los activos.</v>
      </c>
      <c r="F4" s="84" t="str">
        <f aca="false">GA.3</f>
        <v>Cumple</v>
      </c>
      <c r="G4" s="79"/>
      <c r="H4" s="80"/>
      <c r="I4" s="80"/>
      <c r="J4" s="1"/>
      <c r="K4" s="1"/>
      <c r="L4" s="1"/>
      <c r="M4" s="1"/>
      <c r="N4" s="1"/>
      <c r="O4" s="1"/>
      <c r="P4" s="1"/>
      <c r="Q4" s="1"/>
      <c r="R4" s="1"/>
      <c r="S4" s="1"/>
      <c r="T4" s="1"/>
      <c r="U4" s="1"/>
      <c r="V4" s="1"/>
      <c r="W4" s="1"/>
      <c r="X4" s="1"/>
      <c r="Y4" s="1"/>
      <c r="Z4" s="1"/>
    </row>
    <row r="5" customFormat="false" ht="27" hidden="false" customHeight="true" outlineLevel="0" collapsed="false">
      <c r="A5" s="85" t="s">
        <v>419</v>
      </c>
      <c r="B5" s="86" t="s">
        <v>420</v>
      </c>
      <c r="C5" s="86" t="n">
        <v>1</v>
      </c>
      <c r="D5" s="86" t="s">
        <v>120</v>
      </c>
      <c r="E5" s="87" t="str">
        <f aca="false">VLOOKUP($D5,REQUISITOS,2,FALSE())</f>
        <v>Pautar el uso de dispositivos móviles.</v>
      </c>
      <c r="F5" s="88" t="str">
        <f aca="false">OR.5</f>
        <v>No cumple</v>
      </c>
      <c r="G5" s="79"/>
      <c r="H5" s="80"/>
      <c r="I5" s="80"/>
      <c r="J5" s="1"/>
      <c r="K5" s="1"/>
      <c r="L5" s="1"/>
      <c r="M5" s="1"/>
      <c r="N5" s="1"/>
      <c r="O5" s="1"/>
      <c r="P5" s="1"/>
      <c r="Q5" s="1"/>
      <c r="R5" s="1"/>
      <c r="S5" s="1"/>
      <c r="T5" s="1"/>
      <c r="U5" s="1"/>
      <c r="V5" s="1"/>
      <c r="W5" s="1"/>
      <c r="X5" s="1"/>
      <c r="Y5" s="1"/>
      <c r="Z5" s="1"/>
    </row>
    <row r="6" customFormat="false" ht="30" hidden="false" customHeight="true" outlineLevel="0" collapsed="false">
      <c r="A6" s="75" t="s">
        <v>419</v>
      </c>
      <c r="B6" s="76" t="s">
        <v>420</v>
      </c>
      <c r="C6" s="76" t="n">
        <v>2</v>
      </c>
      <c r="D6" s="76" t="s">
        <v>80</v>
      </c>
      <c r="E6" s="77" t="str">
        <f aca="false">VLOOKUP($D6,REQUISITOS,2,FALSE())</f>
        <v>Identificar formalmente los activos de la organización junto con la definición de su responsable.</v>
      </c>
      <c r="F6" s="78" t="str">
        <f aca="false">GA.1</f>
        <v>No cumple</v>
      </c>
      <c r="G6" s="79" t="n">
        <f aca="false">Madurez!D6</f>
        <v>0</v>
      </c>
      <c r="H6" s="80"/>
      <c r="I6" s="80"/>
      <c r="J6" s="1"/>
      <c r="K6" s="1"/>
      <c r="L6" s="1"/>
      <c r="M6" s="1"/>
      <c r="N6" s="1"/>
      <c r="O6" s="1"/>
      <c r="P6" s="1"/>
      <c r="Q6" s="1"/>
      <c r="R6" s="1"/>
      <c r="S6" s="1"/>
      <c r="T6" s="1"/>
      <c r="U6" s="1"/>
      <c r="V6" s="1"/>
      <c r="W6" s="1"/>
      <c r="X6" s="1"/>
      <c r="Y6" s="1"/>
      <c r="Z6" s="1"/>
    </row>
    <row r="7" customFormat="false" ht="30.75" hidden="false" customHeight="true" outlineLevel="0" collapsed="false">
      <c r="A7" s="81" t="s">
        <v>419</v>
      </c>
      <c r="B7" s="82" t="s">
        <v>420</v>
      </c>
      <c r="C7" s="82" t="n">
        <v>2</v>
      </c>
      <c r="D7" s="82" t="s">
        <v>84</v>
      </c>
      <c r="E7" s="83" t="str">
        <f aca="false">VLOOKUP($D7,REQUISITOS,2,FALSE())</f>
        <v>Pautar el uso aceptable de los activos.</v>
      </c>
      <c r="F7" s="84" t="str">
        <f aca="false">GA.3</f>
        <v>Cumple</v>
      </c>
      <c r="G7" s="79"/>
      <c r="H7" s="80"/>
      <c r="I7" s="80"/>
      <c r="J7" s="1"/>
      <c r="K7" s="1"/>
      <c r="L7" s="1"/>
      <c r="M7" s="1"/>
      <c r="N7" s="1"/>
      <c r="O7" s="1"/>
      <c r="P7" s="1"/>
      <c r="Q7" s="1"/>
      <c r="R7" s="1"/>
      <c r="S7" s="1"/>
      <c r="T7" s="1"/>
      <c r="U7" s="1"/>
      <c r="V7" s="1"/>
      <c r="W7" s="1"/>
      <c r="X7" s="1"/>
      <c r="Y7" s="1"/>
      <c r="Z7" s="1"/>
    </row>
    <row r="8" customFormat="false" ht="33" hidden="false" customHeight="true" outlineLevel="0" collapsed="false">
      <c r="A8" s="85" t="s">
        <v>419</v>
      </c>
      <c r="B8" s="86" t="s">
        <v>420</v>
      </c>
      <c r="C8" s="86" t="n">
        <v>2</v>
      </c>
      <c r="D8" s="86" t="s">
        <v>66</v>
      </c>
      <c r="E8" s="87" t="str">
        <f aca="false">VLOOKUP($D8,REQUISITOS,2,FALSE())</f>
        <v>Gestionar las licencias de software.</v>
      </c>
      <c r="F8" s="88" t="str">
        <f aca="false">CN.4</f>
        <v>Cumple</v>
      </c>
      <c r="G8" s="79"/>
      <c r="H8" s="80"/>
      <c r="I8" s="80"/>
      <c r="J8" s="1"/>
      <c r="K8" s="1"/>
      <c r="L8" s="1"/>
      <c r="M8" s="1"/>
      <c r="N8" s="1"/>
      <c r="O8" s="1"/>
      <c r="P8" s="1"/>
      <c r="Q8" s="1"/>
      <c r="R8" s="1"/>
      <c r="S8" s="1"/>
      <c r="T8" s="1"/>
      <c r="U8" s="1"/>
      <c r="V8" s="1"/>
      <c r="W8" s="1"/>
      <c r="X8" s="1"/>
      <c r="Y8" s="1"/>
      <c r="Z8" s="1"/>
    </row>
    <row r="9" customFormat="false" ht="43.5" hidden="false" customHeight="true" outlineLevel="0" collapsed="false">
      <c r="A9" s="89" t="s">
        <v>419</v>
      </c>
      <c r="B9" s="90" t="s">
        <v>420</v>
      </c>
      <c r="C9" s="90" t="n">
        <v>3</v>
      </c>
      <c r="D9" s="90" t="s">
        <v>160</v>
      </c>
      <c r="E9" s="91" t="str">
        <f aca="false">VLOOKUP($D9,REQUISITOS,2,FALSE())</f>
        <v>Mantener la seguridad de la información durante su intercambio dentro o fuera de la organización.</v>
      </c>
      <c r="F9" s="92" t="str">
        <f aca="false">SC.14</f>
        <v>Cumple</v>
      </c>
      <c r="G9" s="79" t="n">
        <f aca="false">Madurez!D7</f>
        <v>1</v>
      </c>
      <c r="H9" s="80"/>
      <c r="I9" s="80"/>
      <c r="J9" s="1"/>
      <c r="K9" s="1"/>
      <c r="L9" s="1"/>
      <c r="M9" s="1"/>
      <c r="N9" s="1"/>
      <c r="O9" s="1"/>
      <c r="P9" s="1"/>
      <c r="Q9" s="1"/>
      <c r="R9" s="1"/>
      <c r="S9" s="1"/>
      <c r="T9" s="1"/>
      <c r="U9" s="1"/>
      <c r="V9" s="1"/>
      <c r="W9" s="1"/>
      <c r="X9" s="1"/>
      <c r="Y9" s="1"/>
      <c r="Z9" s="1"/>
    </row>
    <row r="10" customFormat="false" ht="34.5" hidden="false" customHeight="true" outlineLevel="0" collapsed="false">
      <c r="A10" s="89" t="s">
        <v>419</v>
      </c>
      <c r="B10" s="90" t="s">
        <v>420</v>
      </c>
      <c r="C10" s="90" t="n">
        <v>4</v>
      </c>
      <c r="D10" s="90" t="s">
        <v>84</v>
      </c>
      <c r="E10" s="91" t="str">
        <f aca="false">VLOOKUP($D10,REQUISITOS,2,FALSE())</f>
        <v>Pautar el uso aceptable de los activos.</v>
      </c>
      <c r="F10" s="92" t="str">
        <f aca="false">GA.3</f>
        <v>Cumple</v>
      </c>
      <c r="G10" s="79" t="n">
        <f aca="false">Madurez!D8</f>
        <v>0</v>
      </c>
      <c r="H10" s="80"/>
      <c r="I10" s="80"/>
      <c r="J10" s="1"/>
      <c r="K10" s="1"/>
      <c r="L10" s="1"/>
      <c r="M10" s="1"/>
      <c r="N10" s="1"/>
      <c r="O10" s="1"/>
      <c r="P10" s="1"/>
      <c r="Q10" s="1"/>
      <c r="R10" s="1"/>
      <c r="S10" s="1"/>
      <c r="T10" s="1"/>
      <c r="U10" s="1"/>
      <c r="V10" s="1"/>
      <c r="W10" s="1"/>
      <c r="X10" s="1"/>
      <c r="Y10" s="1"/>
      <c r="Z10" s="1"/>
    </row>
    <row r="11" customFormat="false" ht="44.25" hidden="false" customHeight="true" outlineLevel="0" collapsed="false">
      <c r="A11" s="89" t="s">
        <v>419</v>
      </c>
      <c r="B11" s="90" t="s">
        <v>420</v>
      </c>
      <c r="C11" s="90" t="n">
        <v>5</v>
      </c>
      <c r="D11" s="90" t="s">
        <v>82</v>
      </c>
      <c r="E11" s="91" t="str">
        <f aca="false">VLOOKUP($D11,REQUISITOS,2,FALSE())</f>
        <v>Clasificar y proteger la información de acuerdo a la normativa y a los criterios de valoración definidos.</v>
      </c>
      <c r="F11" s="92" t="str">
        <f aca="false">GA.2</f>
        <v>Cumple</v>
      </c>
      <c r="G11" s="79" t="n">
        <f aca="false">Madurez!D9</f>
        <v>1</v>
      </c>
      <c r="H11" s="80"/>
      <c r="I11" s="80"/>
      <c r="J11" s="1"/>
      <c r="K11" s="1"/>
      <c r="L11" s="1"/>
      <c r="M11" s="1"/>
      <c r="N11" s="1"/>
      <c r="O11" s="1"/>
      <c r="P11" s="1"/>
      <c r="Q11" s="1"/>
      <c r="R11" s="1"/>
      <c r="S11" s="1"/>
      <c r="T11" s="1"/>
      <c r="U11" s="1"/>
      <c r="V11" s="1"/>
      <c r="W11" s="1"/>
      <c r="X11" s="1"/>
      <c r="Y11" s="1"/>
      <c r="Z11" s="1"/>
    </row>
    <row r="12" customFormat="false" ht="33" hidden="false" customHeight="true" outlineLevel="0" collapsed="false">
      <c r="A12" s="93" t="s">
        <v>419</v>
      </c>
      <c r="B12" s="94" t="s">
        <v>420</v>
      </c>
      <c r="C12" s="94" t="n">
        <v>6</v>
      </c>
      <c r="D12" s="94" t="s">
        <v>112</v>
      </c>
      <c r="E12" s="95" t="str">
        <f aca="false">VLOOKUP($D12,REQUISITOS,2,FALSE())</f>
        <v>Designar un Responsable de la Seguridad de la Información.</v>
      </c>
      <c r="F12" s="96" t="n">
        <f aca="false">OR.1</f>
        <v>0</v>
      </c>
      <c r="G12" s="97" t="n">
        <f aca="false">Madurez!D10</f>
        <v>0</v>
      </c>
      <c r="H12" s="80"/>
      <c r="I12" s="80"/>
      <c r="J12" s="1"/>
      <c r="K12" s="1"/>
      <c r="L12" s="1"/>
      <c r="M12" s="1"/>
      <c r="N12" s="1"/>
      <c r="O12" s="1"/>
      <c r="P12" s="1"/>
      <c r="Q12" s="1"/>
      <c r="R12" s="1"/>
      <c r="S12" s="1"/>
      <c r="T12" s="1"/>
      <c r="U12" s="1"/>
      <c r="V12" s="1"/>
      <c r="W12" s="1"/>
      <c r="X12" s="1"/>
      <c r="Y12" s="1"/>
      <c r="Z12" s="1"/>
    </row>
    <row r="13" customFormat="false" ht="35.25" hidden="false" customHeight="true" outlineLevel="0" collapsed="false">
      <c r="A13" s="85" t="s">
        <v>419</v>
      </c>
      <c r="B13" s="86" t="s">
        <v>420</v>
      </c>
      <c r="C13" s="86" t="n">
        <v>6</v>
      </c>
      <c r="D13" s="86" t="s">
        <v>114</v>
      </c>
      <c r="E13" s="87" t="str">
        <f aca="false">VLOOKUP($D13,REQUISITOS,2,FALSE())</f>
        <v>Conformar un Comité de Seguridad de la Información.</v>
      </c>
      <c r="F13" s="88" t="n">
        <f aca="false">OR.2</f>
        <v>0</v>
      </c>
      <c r="G13" s="97"/>
      <c r="H13" s="80"/>
      <c r="I13" s="80"/>
      <c r="J13" s="1"/>
      <c r="K13" s="1"/>
      <c r="L13" s="1"/>
      <c r="M13" s="1"/>
      <c r="N13" s="1"/>
      <c r="O13" s="1"/>
      <c r="P13" s="1"/>
      <c r="Q13" s="1"/>
      <c r="R13" s="1"/>
      <c r="S13" s="1"/>
      <c r="T13" s="1"/>
      <c r="U13" s="1"/>
      <c r="V13" s="1"/>
      <c r="W13" s="1"/>
      <c r="X13" s="1"/>
      <c r="Y13" s="1"/>
      <c r="Z13" s="1"/>
    </row>
    <row r="14" customFormat="false" ht="30" hidden="false" customHeight="true" outlineLevel="0" collapsed="false">
      <c r="A14" s="89" t="s">
        <v>419</v>
      </c>
      <c r="B14" s="90" t="s">
        <v>421</v>
      </c>
      <c r="C14" s="90" t="n">
        <v>1</v>
      </c>
      <c r="D14" s="90"/>
      <c r="E14" s="98"/>
      <c r="F14" s="98"/>
      <c r="G14" s="99"/>
      <c r="H14" s="80" t="n">
        <f aca="false">AVERAGE(G14:G24)</f>
        <v>1</v>
      </c>
      <c r="I14" s="80"/>
      <c r="J14" s="1"/>
      <c r="K14" s="1"/>
      <c r="L14" s="1"/>
      <c r="M14" s="1"/>
      <c r="N14" s="1"/>
      <c r="O14" s="1"/>
      <c r="P14" s="1"/>
      <c r="Q14" s="1"/>
      <c r="R14" s="1"/>
      <c r="S14" s="1"/>
      <c r="T14" s="1"/>
      <c r="U14" s="1"/>
      <c r="V14" s="1"/>
      <c r="W14" s="1"/>
      <c r="X14" s="1"/>
      <c r="Y14" s="1"/>
      <c r="Z14" s="1"/>
    </row>
    <row r="15" customFormat="false" ht="30" hidden="false" customHeight="true" outlineLevel="0" collapsed="false">
      <c r="A15" s="93" t="s">
        <v>419</v>
      </c>
      <c r="B15" s="94" t="s">
        <v>421</v>
      </c>
      <c r="C15" s="94" t="n">
        <v>2</v>
      </c>
      <c r="D15" s="94"/>
      <c r="E15" s="100"/>
      <c r="F15" s="100"/>
      <c r="G15" s="101"/>
      <c r="H15" s="80"/>
      <c r="I15" s="80"/>
      <c r="J15" s="1"/>
      <c r="K15" s="1"/>
      <c r="L15" s="1"/>
      <c r="M15" s="1"/>
      <c r="N15" s="1"/>
      <c r="O15" s="1"/>
      <c r="P15" s="1"/>
      <c r="Q15" s="1"/>
      <c r="R15" s="1"/>
      <c r="S15" s="1"/>
      <c r="T15" s="1"/>
      <c r="U15" s="1"/>
      <c r="V15" s="1"/>
      <c r="W15" s="1"/>
      <c r="X15" s="1"/>
      <c r="Y15" s="1"/>
      <c r="Z15" s="1"/>
    </row>
    <row r="16" customFormat="false" ht="30" hidden="false" customHeight="true" outlineLevel="0" collapsed="false">
      <c r="A16" s="85" t="s">
        <v>419</v>
      </c>
      <c r="B16" s="86" t="s">
        <v>421</v>
      </c>
      <c r="C16" s="86" t="n">
        <v>3</v>
      </c>
      <c r="D16" s="86" t="s">
        <v>124</v>
      </c>
      <c r="E16" s="87" t="str">
        <f aca="false">VLOOKUP($D16,REQUISITOS,2,FALSE())</f>
        <v>Establecer objetivos anuales con relación a la seguridad de la información.</v>
      </c>
      <c r="F16" s="88" t="n">
        <f aca="false">PL.1</f>
        <v>0</v>
      </c>
      <c r="G16" s="102" t="n">
        <f aca="false">Madurez!D13</f>
        <v>1</v>
      </c>
      <c r="H16" s="80"/>
      <c r="I16" s="80"/>
      <c r="J16" s="1"/>
      <c r="K16" s="1"/>
      <c r="L16" s="1"/>
      <c r="M16" s="1"/>
      <c r="N16" s="1"/>
      <c r="O16" s="1"/>
      <c r="P16" s="1"/>
      <c r="Q16" s="1"/>
      <c r="R16" s="1"/>
      <c r="S16" s="1"/>
      <c r="T16" s="1"/>
      <c r="U16" s="1"/>
      <c r="V16" s="1"/>
      <c r="W16" s="1"/>
      <c r="X16" s="1"/>
      <c r="Y16" s="1"/>
      <c r="Z16" s="1"/>
    </row>
    <row r="17" customFormat="false" ht="30" hidden="false" customHeight="true" outlineLevel="0" collapsed="false">
      <c r="A17" s="75" t="s">
        <v>419</v>
      </c>
      <c r="B17" s="76" t="s">
        <v>421</v>
      </c>
      <c r="C17" s="76" t="n">
        <v>4</v>
      </c>
      <c r="D17" s="76" t="s">
        <v>166</v>
      </c>
      <c r="E17" s="77" t="str">
        <f aca="false">VLOOKUP($D17,REQUISITOS,2,FALSE())</f>
        <v>Implementar controles ambientales en los centros de datos y áreas relacionadas.</v>
      </c>
      <c r="F17" s="103" t="n">
        <f aca="false">SF.2</f>
        <v>0</v>
      </c>
      <c r="G17" s="79" t="n">
        <f aca="false">Madurez!D14</f>
        <v>1</v>
      </c>
      <c r="H17" s="80"/>
      <c r="I17" s="80"/>
      <c r="J17" s="1"/>
      <c r="K17" s="1"/>
      <c r="L17" s="1"/>
      <c r="M17" s="1"/>
      <c r="N17" s="1"/>
      <c r="O17" s="1"/>
      <c r="P17" s="1"/>
      <c r="Q17" s="1"/>
      <c r="R17" s="1"/>
      <c r="S17" s="1"/>
      <c r="T17" s="1"/>
      <c r="U17" s="1"/>
      <c r="V17" s="1"/>
      <c r="W17" s="1"/>
      <c r="X17" s="1"/>
      <c r="Y17" s="1"/>
      <c r="Z17" s="1"/>
    </row>
    <row r="18" customFormat="false" ht="30" hidden="false" customHeight="true" outlineLevel="0" collapsed="false">
      <c r="A18" s="81" t="s">
        <v>419</v>
      </c>
      <c r="B18" s="82" t="s">
        <v>421</v>
      </c>
      <c r="C18" s="82" t="n">
        <v>4</v>
      </c>
      <c r="D18" s="82" t="s">
        <v>168</v>
      </c>
      <c r="E18" s="83" t="str">
        <f aca="false">VLOOKUP($D18,REQUISITOS,2,FALSE())</f>
        <v>Contar con un sistema de gestión y monitoreo centralizado capaz de alertar fallas sobre el equipamiento y establecer el mantenimiento de los componentes críticos.</v>
      </c>
      <c r="F18" s="84" t="n">
        <f aca="false">SF.3</f>
        <v>0</v>
      </c>
      <c r="G18" s="79"/>
      <c r="H18" s="80"/>
      <c r="I18" s="80"/>
      <c r="J18" s="1"/>
      <c r="K18" s="1"/>
      <c r="L18" s="1"/>
      <c r="M18" s="1"/>
      <c r="N18" s="1"/>
      <c r="O18" s="1"/>
      <c r="P18" s="1"/>
      <c r="Q18" s="1"/>
      <c r="R18" s="1"/>
      <c r="S18" s="1"/>
      <c r="T18" s="1"/>
      <c r="U18" s="1"/>
      <c r="V18" s="1"/>
      <c r="W18" s="1"/>
      <c r="X18" s="1"/>
      <c r="Y18" s="1"/>
      <c r="Z18" s="1"/>
    </row>
    <row r="19" customFormat="false" ht="30" hidden="false" customHeight="true" outlineLevel="0" collapsed="false">
      <c r="A19" s="85" t="s">
        <v>419</v>
      </c>
      <c r="B19" s="86" t="s">
        <v>421</v>
      </c>
      <c r="C19" s="86" t="n">
        <v>4</v>
      </c>
      <c r="D19" s="86" t="s">
        <v>174</v>
      </c>
      <c r="E19" s="87" t="str">
        <f aca="false">VLOOKUP($D19,REQUISITOS,2,FALSE())</f>
        <v>Gestionar la capacidad de los servicios y recursos que se encuentran operativos.</v>
      </c>
      <c r="F19" s="88" t="n">
        <f aca="false">SO.3</f>
        <v>0</v>
      </c>
      <c r="G19" s="79"/>
      <c r="H19" s="80"/>
      <c r="I19" s="80"/>
      <c r="J19" s="1"/>
      <c r="K19" s="1"/>
      <c r="L19" s="1"/>
      <c r="M19" s="1"/>
      <c r="N19" s="1"/>
      <c r="O19" s="1"/>
      <c r="P19" s="1"/>
      <c r="Q19" s="1"/>
      <c r="R19" s="1"/>
      <c r="S19" s="1"/>
      <c r="T19" s="1"/>
      <c r="U19" s="1"/>
      <c r="V19" s="1"/>
      <c r="W19" s="1"/>
      <c r="X19" s="1"/>
      <c r="Y19" s="1"/>
      <c r="Z19" s="1"/>
    </row>
    <row r="20" customFormat="false" ht="30" hidden="false" customHeight="true" outlineLevel="0" collapsed="false">
      <c r="A20" s="93" t="s">
        <v>419</v>
      </c>
      <c r="B20" s="94" t="s">
        <v>421</v>
      </c>
      <c r="C20" s="94" t="n">
        <v>5</v>
      </c>
      <c r="D20" s="94" t="s">
        <v>68</v>
      </c>
      <c r="E20" s="95" t="str">
        <f aca="false">VLOOKUP($D20,REQUISITOS,2,FALSE())</f>
        <v>Contar con componentes redundantes que contribuyan al normal funcionamiento del centro de datos.</v>
      </c>
      <c r="F20" s="96" t="n">
        <f aca="false">CO.1</f>
        <v>0</v>
      </c>
      <c r="G20" s="97" t="n">
        <f aca="false">Madurez!D15</f>
        <v>1</v>
      </c>
      <c r="H20" s="80"/>
      <c r="I20" s="80"/>
      <c r="J20" s="1"/>
      <c r="K20" s="1"/>
      <c r="L20" s="1"/>
      <c r="M20" s="1"/>
      <c r="N20" s="1"/>
      <c r="O20" s="1"/>
      <c r="P20" s="1"/>
      <c r="Q20" s="1"/>
      <c r="R20" s="1"/>
      <c r="S20" s="1"/>
      <c r="T20" s="1"/>
      <c r="U20" s="1"/>
      <c r="V20" s="1"/>
      <c r="W20" s="1"/>
      <c r="X20" s="1"/>
      <c r="Y20" s="1"/>
      <c r="Z20" s="1"/>
    </row>
    <row r="21" customFormat="false" ht="30" hidden="false" customHeight="true" outlineLevel="0" collapsed="false">
      <c r="A21" s="81" t="s">
        <v>419</v>
      </c>
      <c r="B21" s="82" t="s">
        <v>421</v>
      </c>
      <c r="C21" s="82" t="n">
        <v>5</v>
      </c>
      <c r="D21" s="82" t="s">
        <v>70</v>
      </c>
      <c r="E21" s="83" t="str">
        <f aca="false">VLOOKUP($D21,REQUISITOS,2,FALSE())</f>
        <v>Los sistemas críticos de la infraestructura de telecomunicaciones, como el cableado, routers y switches (LAN, SAN, etc.), deben contar con redundancia.</v>
      </c>
      <c r="F21" s="84" t="n">
        <f aca="false">CO.2</f>
        <v>0</v>
      </c>
      <c r="G21" s="97"/>
      <c r="H21" s="80"/>
      <c r="I21" s="80"/>
      <c r="J21" s="1"/>
      <c r="K21" s="1"/>
      <c r="L21" s="1"/>
      <c r="M21" s="1"/>
      <c r="N21" s="1"/>
      <c r="O21" s="1"/>
      <c r="P21" s="1"/>
      <c r="Q21" s="1"/>
      <c r="R21" s="1"/>
      <c r="S21" s="1"/>
      <c r="T21" s="1"/>
      <c r="U21" s="1"/>
      <c r="V21" s="1"/>
      <c r="W21" s="1"/>
      <c r="X21" s="1"/>
      <c r="Y21" s="1"/>
      <c r="Z21" s="1"/>
    </row>
    <row r="22" customFormat="false" ht="30" hidden="false" customHeight="true" outlineLevel="0" collapsed="false">
      <c r="A22" s="81" t="s">
        <v>419</v>
      </c>
      <c r="B22" s="82" t="s">
        <v>421</v>
      </c>
      <c r="C22" s="82" t="n">
        <v>5</v>
      </c>
      <c r="D22" s="82" t="s">
        <v>72</v>
      </c>
      <c r="E22" s="83" t="str">
        <f aca="false">VLOOKUP($D22,REQUISITOS,2,FALSE())</f>
        <v>Establecer los medios necesarios para garantizar la continuidad de las operaciones.</v>
      </c>
      <c r="F22" s="84" t="n">
        <f aca="false">CO.3</f>
        <v>0</v>
      </c>
      <c r="G22" s="97"/>
      <c r="H22" s="80"/>
      <c r="I22" s="80"/>
      <c r="J22" s="1"/>
      <c r="K22" s="1"/>
      <c r="L22" s="1"/>
      <c r="M22" s="1"/>
      <c r="N22" s="1"/>
      <c r="O22" s="1"/>
      <c r="P22" s="1"/>
      <c r="Q22" s="1"/>
      <c r="R22" s="1"/>
      <c r="S22" s="1"/>
      <c r="T22" s="1"/>
      <c r="U22" s="1"/>
      <c r="V22" s="1"/>
      <c r="W22" s="1"/>
      <c r="X22" s="1"/>
      <c r="Y22" s="1"/>
      <c r="Z22" s="1"/>
    </row>
    <row r="23" customFormat="false" ht="30" hidden="false" customHeight="true" outlineLevel="0" collapsed="false">
      <c r="A23" s="81" t="s">
        <v>419</v>
      </c>
      <c r="B23" s="82" t="s">
        <v>421</v>
      </c>
      <c r="C23" s="82" t="n">
        <v>5</v>
      </c>
      <c r="D23" s="82" t="s">
        <v>74</v>
      </c>
      <c r="E23" s="83" t="str">
        <f aca="false">VLOOKUP($D23,REQUISITOS,2,FALSE())</f>
        <v>Planificar la continuidad de las operaciones y recuperación ante desastres.</v>
      </c>
      <c r="F23" s="84" t="n">
        <f aca="false">CO.4</f>
        <v>0</v>
      </c>
      <c r="G23" s="97"/>
      <c r="H23" s="80"/>
      <c r="I23" s="80"/>
      <c r="J23" s="1"/>
      <c r="K23" s="1"/>
      <c r="L23" s="1"/>
      <c r="M23" s="1"/>
      <c r="N23" s="1"/>
      <c r="O23" s="1"/>
      <c r="P23" s="1"/>
      <c r="Q23" s="1"/>
      <c r="R23" s="1"/>
      <c r="S23" s="1"/>
      <c r="T23" s="1"/>
      <c r="U23" s="1"/>
      <c r="V23" s="1"/>
      <c r="W23" s="1"/>
      <c r="X23" s="1"/>
      <c r="Y23" s="1"/>
      <c r="Z23" s="1"/>
    </row>
    <row r="24" customFormat="false" ht="30" hidden="false" customHeight="true" outlineLevel="0" collapsed="false">
      <c r="A24" s="85" t="s">
        <v>419</v>
      </c>
      <c r="B24" s="86" t="s">
        <v>421</v>
      </c>
      <c r="C24" s="86" t="n">
        <v>5</v>
      </c>
      <c r="D24" s="86" t="s">
        <v>76</v>
      </c>
      <c r="E24" s="87" t="str">
        <f aca="false">VLOOKUP($D24,REQUISITOS,2,FALSE())</f>
        <v>Definir las ventanas de tiempo soportadas para la continuidad de las operaciones.</v>
      </c>
      <c r="F24" s="88" t="n">
        <f aca="false">CO.5</f>
        <v>0</v>
      </c>
      <c r="G24" s="97"/>
      <c r="H24" s="80"/>
      <c r="I24" s="80"/>
      <c r="J24" s="1"/>
      <c r="K24" s="1"/>
      <c r="L24" s="1"/>
      <c r="M24" s="1"/>
      <c r="N24" s="1"/>
      <c r="O24" s="1"/>
      <c r="P24" s="1"/>
      <c r="Q24" s="1"/>
      <c r="R24" s="1"/>
      <c r="S24" s="1"/>
      <c r="T24" s="1"/>
      <c r="U24" s="1"/>
      <c r="V24" s="1"/>
      <c r="W24" s="1"/>
      <c r="X24" s="1"/>
      <c r="Y24" s="1"/>
      <c r="Z24" s="1"/>
    </row>
    <row r="25" customFormat="false" ht="30" hidden="false" customHeight="true" outlineLevel="0" collapsed="false">
      <c r="A25" s="89" t="s">
        <v>419</v>
      </c>
      <c r="B25" s="90" t="s">
        <v>422</v>
      </c>
      <c r="C25" s="90" t="n">
        <v>1</v>
      </c>
      <c r="D25" s="90" t="s">
        <v>128</v>
      </c>
      <c r="E25" s="91" t="str">
        <f aca="false">VLOOKUP($D25,REQUISITOS,2,FALSE())</f>
        <v>Adoptar una Política de Seguridad de la Información.</v>
      </c>
      <c r="F25" s="92" t="n">
        <f aca="false">PS.1</f>
        <v>0</v>
      </c>
      <c r="G25" s="79" t="n">
        <f aca="false">Madurez!D16</f>
        <v>0</v>
      </c>
      <c r="H25" s="80" t="n">
        <f aca="false">AVERAGE(G25:G36)</f>
        <v>0.5</v>
      </c>
      <c r="I25" s="80"/>
      <c r="J25" s="1"/>
      <c r="K25" s="1"/>
      <c r="L25" s="1"/>
      <c r="M25" s="1"/>
      <c r="N25" s="1"/>
      <c r="O25" s="1"/>
      <c r="P25" s="1"/>
      <c r="Q25" s="1"/>
      <c r="R25" s="1"/>
      <c r="S25" s="1"/>
      <c r="T25" s="1"/>
      <c r="U25" s="1"/>
      <c r="V25" s="1"/>
      <c r="W25" s="1"/>
      <c r="X25" s="1"/>
      <c r="Y25" s="1"/>
      <c r="Z25" s="1"/>
    </row>
    <row r="26" customFormat="false" ht="30" hidden="false" customHeight="true" outlineLevel="0" collapsed="false">
      <c r="A26" s="93" t="s">
        <v>419</v>
      </c>
      <c r="B26" s="94" t="s">
        <v>422</v>
      </c>
      <c r="C26" s="94" t="n">
        <v>2</v>
      </c>
      <c r="D26" s="94" t="s">
        <v>112</v>
      </c>
      <c r="E26" s="95" t="str">
        <f aca="false">VLOOKUP($D26,REQUISITOS,2,FALSE())</f>
        <v>Designar un Responsable de la Seguridad de la Información.</v>
      </c>
      <c r="F26" s="96" t="n">
        <f aca="false">OR.1</f>
        <v>0</v>
      </c>
      <c r="G26" s="97" t="n">
        <f aca="false">Madurez!D17</f>
        <v>0</v>
      </c>
      <c r="H26" s="80"/>
      <c r="I26" s="80"/>
      <c r="J26" s="1"/>
      <c r="K26" s="1"/>
      <c r="L26" s="1"/>
      <c r="M26" s="1"/>
      <c r="N26" s="1"/>
      <c r="O26" s="1"/>
      <c r="P26" s="1"/>
      <c r="Q26" s="1"/>
      <c r="R26" s="1"/>
      <c r="S26" s="1"/>
      <c r="T26" s="1"/>
      <c r="U26" s="1"/>
      <c r="V26" s="1"/>
      <c r="W26" s="1"/>
      <c r="X26" s="1"/>
      <c r="Y26" s="1"/>
      <c r="Z26" s="1"/>
    </row>
    <row r="27" customFormat="false" ht="30" hidden="false" customHeight="true" outlineLevel="0" collapsed="false">
      <c r="A27" s="85" t="s">
        <v>419</v>
      </c>
      <c r="B27" s="86" t="s">
        <v>422</v>
      </c>
      <c r="C27" s="86" t="n">
        <v>2</v>
      </c>
      <c r="D27" s="86" t="s">
        <v>114</v>
      </c>
      <c r="E27" s="87" t="str">
        <f aca="false">VLOOKUP($D27,REQUISITOS,2,FALSE())</f>
        <v>Conformar un Comité de Seguridad de la Información.</v>
      </c>
      <c r="F27" s="88" t="n">
        <f aca="false">OR.2</f>
        <v>0</v>
      </c>
      <c r="G27" s="97"/>
      <c r="H27" s="80"/>
      <c r="I27" s="80"/>
      <c r="J27" s="1"/>
      <c r="K27" s="1"/>
      <c r="L27" s="1"/>
      <c r="M27" s="1"/>
      <c r="N27" s="1"/>
      <c r="O27" s="1"/>
      <c r="P27" s="1"/>
      <c r="Q27" s="1"/>
      <c r="R27" s="1"/>
      <c r="S27" s="1"/>
      <c r="T27" s="1"/>
      <c r="U27" s="1"/>
      <c r="V27" s="1"/>
      <c r="W27" s="1"/>
      <c r="X27" s="1"/>
      <c r="Y27" s="1"/>
      <c r="Z27" s="1"/>
    </row>
    <row r="28" customFormat="false" ht="30" hidden="false" customHeight="true" outlineLevel="0" collapsed="false">
      <c r="A28" s="75" t="s">
        <v>419</v>
      </c>
      <c r="B28" s="76" t="s">
        <v>422</v>
      </c>
      <c r="C28" s="76" t="n">
        <v>3</v>
      </c>
      <c r="D28" s="76" t="s">
        <v>60</v>
      </c>
      <c r="E28" s="77" t="str">
        <f aca="false">VLOOKUP($D28,REQUISITOS,2,FALSE())</f>
        <v>Cumplir con los requisitos normativos.</v>
      </c>
      <c r="F28" s="78" t="n">
        <f aca="false">CN.1</f>
        <v>0</v>
      </c>
      <c r="G28" s="79" t="n">
        <f aca="false">Madurez!D18</f>
        <v>1</v>
      </c>
      <c r="H28" s="80"/>
      <c r="I28" s="80"/>
      <c r="J28" s="1"/>
      <c r="K28" s="1"/>
      <c r="L28" s="1"/>
      <c r="M28" s="1"/>
      <c r="N28" s="1"/>
      <c r="O28" s="1"/>
      <c r="P28" s="1"/>
      <c r="Q28" s="1"/>
      <c r="R28" s="1"/>
      <c r="S28" s="1"/>
      <c r="T28" s="1"/>
      <c r="U28" s="1"/>
      <c r="V28" s="1"/>
      <c r="W28" s="1"/>
      <c r="X28" s="1"/>
      <c r="Y28" s="1"/>
      <c r="Z28" s="1"/>
    </row>
    <row r="29" customFormat="false" ht="30" hidden="false" customHeight="true" outlineLevel="0" collapsed="false">
      <c r="A29" s="81" t="s">
        <v>419</v>
      </c>
      <c r="B29" s="82" t="s">
        <v>422</v>
      </c>
      <c r="C29" s="82" t="n">
        <v>3</v>
      </c>
      <c r="D29" s="82" t="s">
        <v>134</v>
      </c>
      <c r="E29" s="83" t="str">
        <f aca="false">VLOOKUP($D29,REQUISITOS,2,FALSE())</f>
        <v>Los portales Web institucionales de los organismos de la Administración Central y sus dependencias deben identificarse con la extensión “gub.uy” y “mil.uy”, según corresponda.</v>
      </c>
      <c r="F29" s="84" t="n">
        <f aca="false">SC.1</f>
        <v>0</v>
      </c>
      <c r="G29" s="79"/>
      <c r="H29" s="80"/>
      <c r="I29" s="80"/>
      <c r="J29" s="1"/>
      <c r="K29" s="1"/>
      <c r="L29" s="1"/>
      <c r="M29" s="1"/>
      <c r="N29" s="1"/>
      <c r="O29" s="1"/>
      <c r="P29" s="1"/>
      <c r="Q29" s="1"/>
      <c r="R29" s="1"/>
      <c r="S29" s="1"/>
      <c r="T29" s="1"/>
      <c r="U29" s="1"/>
      <c r="V29" s="1"/>
      <c r="W29" s="1"/>
      <c r="X29" s="1"/>
      <c r="Y29" s="1"/>
      <c r="Z29" s="1"/>
    </row>
    <row r="30" customFormat="false" ht="30" hidden="false" customHeight="true" outlineLevel="0" collapsed="false">
      <c r="A30" s="81" t="s">
        <v>419</v>
      </c>
      <c r="B30" s="82" t="s">
        <v>422</v>
      </c>
      <c r="C30" s="82" t="n">
        <v>3</v>
      </c>
      <c r="D30" s="82" t="s">
        <v>136</v>
      </c>
      <c r="E30" s="83" t="str">
        <f aca="false">VLOOKUP($D30,REQUISITOS,2,FALSE())</f>
        <v>Los portales Web institucionales de Unidades Ejecutoras, aplicaciones, portales y sitios Web correspondientes a proyectos y programas, sitios promocionales y temáticos, incluyendo zonas restringidas de acceso mediante usuario y contraseña disponibles para ciudadanos y funcionarios del organismo (contenidos Web), deberán ser subdominios del dominio del inciso correspondiente.</v>
      </c>
      <c r="F30" s="84" t="n">
        <f aca="false">SC.2</f>
        <v>0</v>
      </c>
      <c r="G30" s="79"/>
      <c r="H30" s="80"/>
      <c r="I30" s="80"/>
      <c r="J30" s="1"/>
      <c r="K30" s="1"/>
      <c r="L30" s="1"/>
      <c r="M30" s="1"/>
      <c r="N30" s="1"/>
      <c r="O30" s="1"/>
      <c r="P30" s="1"/>
      <c r="Q30" s="1"/>
      <c r="R30" s="1"/>
      <c r="S30" s="1"/>
      <c r="T30" s="1"/>
      <c r="U30" s="1"/>
      <c r="V30" s="1"/>
      <c r="W30" s="1"/>
      <c r="X30" s="1"/>
      <c r="Y30" s="1"/>
      <c r="Z30" s="1"/>
    </row>
    <row r="31" customFormat="false" ht="30" hidden="false" customHeight="true" outlineLevel="0" collapsed="false">
      <c r="A31" s="81" t="s">
        <v>419</v>
      </c>
      <c r="B31" s="82" t="s">
        <v>422</v>
      </c>
      <c r="C31" s="82" t="n">
        <v>3</v>
      </c>
      <c r="D31" s="82" t="s">
        <v>138</v>
      </c>
      <c r="E31" s="83" t="str">
        <f aca="false">VLOOKUP($D31,REQUISITOS,2,FALSE())</f>
        <v>El portal del organismo jerarca deberá hacer referencia a todos los dominios y subdominios que se correspondan con todos los contenidos Web que le reporten.</v>
      </c>
      <c r="F31" s="84" t="n">
        <f aca="false">SC.3</f>
        <v>0</v>
      </c>
      <c r="G31" s="79"/>
      <c r="H31" s="80"/>
      <c r="I31" s="80"/>
      <c r="J31" s="1"/>
      <c r="K31" s="1"/>
      <c r="L31" s="1"/>
      <c r="M31" s="1"/>
      <c r="N31" s="1"/>
      <c r="O31" s="1"/>
      <c r="P31" s="1"/>
      <c r="Q31" s="1"/>
      <c r="R31" s="1"/>
      <c r="S31" s="1"/>
      <c r="T31" s="1"/>
      <c r="U31" s="1"/>
      <c r="V31" s="1"/>
      <c r="W31" s="1"/>
      <c r="X31" s="1"/>
      <c r="Y31" s="1"/>
      <c r="Z31" s="1"/>
    </row>
    <row r="32" customFormat="false" ht="30" hidden="false" customHeight="true" outlineLevel="0" collapsed="false">
      <c r="A32" s="81" t="s">
        <v>419</v>
      </c>
      <c r="B32" s="82" t="s">
        <v>422</v>
      </c>
      <c r="C32" s="82" t="n">
        <v>3</v>
      </c>
      <c r="D32" s="82" t="s">
        <v>140</v>
      </c>
      <c r="E32" s="83" t="str">
        <f aca="false">VLOOKUP($D32,REQUISITOS,2,FALSE())</f>
        <v>Los nombres de dominio del organismo o dependencias serán sus iniciales, su acrónimo, o el nombre con el cual se los conoce públicamente. Deberá justificarse que la denominación elegida sea la más representativa.</v>
      </c>
      <c r="F32" s="84" t="n">
        <f aca="false">SC.4</f>
        <v>0</v>
      </c>
      <c r="G32" s="79"/>
      <c r="H32" s="80"/>
      <c r="I32" s="80"/>
      <c r="J32" s="1"/>
      <c r="K32" s="1"/>
      <c r="L32" s="1"/>
      <c r="M32" s="1"/>
      <c r="N32" s="1"/>
      <c r="O32" s="1"/>
      <c r="P32" s="1"/>
      <c r="Q32" s="1"/>
      <c r="R32" s="1"/>
      <c r="S32" s="1"/>
      <c r="T32" s="1"/>
      <c r="U32" s="1"/>
      <c r="V32" s="1"/>
      <c r="W32" s="1"/>
      <c r="X32" s="1"/>
      <c r="Y32" s="1"/>
      <c r="Z32" s="1"/>
    </row>
    <row r="33" customFormat="false" ht="30" hidden="false" customHeight="true" outlineLevel="0" collapsed="false">
      <c r="A33" s="81" t="s">
        <v>419</v>
      </c>
      <c r="B33" s="82" t="s">
        <v>422</v>
      </c>
      <c r="C33" s="82" t="n">
        <v>3</v>
      </c>
      <c r="D33" s="82" t="s">
        <v>142</v>
      </c>
      <c r="E33" s="83" t="str">
        <f aca="false">VLOOKUP($D33,REQUISITOS,2,FALSE())</f>
        <v>La información de contacto de los responsables de los dominios y subdominios deberá ser comunicada a Agesic y actualizada en períodos de seis meses.</v>
      </c>
      <c r="F33" s="84" t="n">
        <f aca="false">SC.5</f>
        <v>0</v>
      </c>
      <c r="G33" s="79"/>
      <c r="H33" s="80"/>
      <c r="I33" s="80"/>
      <c r="J33" s="1"/>
      <c r="K33" s="1"/>
      <c r="L33" s="1"/>
      <c r="M33" s="1"/>
      <c r="N33" s="1"/>
      <c r="O33" s="1"/>
      <c r="P33" s="1"/>
      <c r="Q33" s="1"/>
      <c r="R33" s="1"/>
      <c r="S33" s="1"/>
      <c r="T33" s="1"/>
      <c r="U33" s="1"/>
      <c r="V33" s="1"/>
      <c r="W33" s="1"/>
      <c r="X33" s="1"/>
      <c r="Y33" s="1"/>
      <c r="Z33" s="1"/>
    </row>
    <row r="34" customFormat="false" ht="30" hidden="false" customHeight="true" outlineLevel="0" collapsed="false">
      <c r="A34" s="85" t="s">
        <v>419</v>
      </c>
      <c r="B34" s="86" t="s">
        <v>422</v>
      </c>
      <c r="C34" s="86" t="n">
        <v>3</v>
      </c>
      <c r="D34" s="86" t="s">
        <v>146</v>
      </c>
      <c r="E34" s="87" t="str">
        <f aca="false">VLOOKUP($D34,REQUISITOS,2,FALSE())</f>
        <v>Los servidores de correo electrónico (MTA) de dominios gubernamentales deben alojarse dentro del territorio nacional, y no se permite su implementación sobre tecnologías que no garanticen dicho requerimiento.</v>
      </c>
      <c r="F34" s="88" t="n">
        <f aca="false">SC.7</f>
        <v>0</v>
      </c>
      <c r="G34" s="79"/>
      <c r="H34" s="80"/>
      <c r="I34" s="80"/>
      <c r="J34" s="1"/>
      <c r="K34" s="1"/>
      <c r="L34" s="1"/>
      <c r="M34" s="1"/>
      <c r="N34" s="1"/>
      <c r="O34" s="1"/>
      <c r="P34" s="1"/>
      <c r="Q34" s="1"/>
      <c r="R34" s="1"/>
      <c r="S34" s="1"/>
      <c r="T34" s="1"/>
      <c r="U34" s="1"/>
      <c r="V34" s="1"/>
      <c r="W34" s="1"/>
      <c r="X34" s="1"/>
      <c r="Y34" s="1"/>
      <c r="Z34" s="1"/>
    </row>
    <row r="35" customFormat="false" ht="30" hidden="false" customHeight="true" outlineLevel="0" collapsed="false">
      <c r="A35" s="93" t="s">
        <v>419</v>
      </c>
      <c r="B35" s="94" t="s">
        <v>422</v>
      </c>
      <c r="C35" s="94" t="n">
        <v>4</v>
      </c>
      <c r="D35" s="94" t="s">
        <v>106</v>
      </c>
      <c r="E35" s="95" t="str">
        <f aca="false">VLOOKUP($D35,REQUISITOS,2,FALSE())</f>
        <v>Adoptar una metodología de Evaluación de Riesgo alineada a las necesidades del SGSI.</v>
      </c>
      <c r="F35" s="96" t="str">
        <f aca="false">GR.1</f>
        <v>Cumple</v>
      </c>
      <c r="G35" s="97" t="n">
        <f aca="false">Madurez!D19</f>
        <v>1</v>
      </c>
      <c r="H35" s="80"/>
      <c r="I35" s="80"/>
      <c r="J35" s="1"/>
      <c r="K35" s="1"/>
      <c r="L35" s="1"/>
      <c r="M35" s="1"/>
      <c r="N35" s="1"/>
      <c r="O35" s="1"/>
      <c r="P35" s="1"/>
      <c r="Q35" s="1"/>
      <c r="R35" s="1"/>
      <c r="S35" s="1"/>
      <c r="T35" s="1"/>
      <c r="U35" s="1"/>
      <c r="V35" s="1"/>
      <c r="W35" s="1"/>
      <c r="X35" s="1"/>
      <c r="Y35" s="1"/>
      <c r="Z35" s="1"/>
    </row>
    <row r="36" customFormat="false" ht="30" hidden="false" customHeight="true" outlineLevel="0" collapsed="false">
      <c r="A36" s="85" t="s">
        <v>419</v>
      </c>
      <c r="B36" s="86" t="s">
        <v>422</v>
      </c>
      <c r="C36" s="86" t="n">
        <v>4</v>
      </c>
      <c r="D36" s="86" t="s">
        <v>124</v>
      </c>
      <c r="E36" s="87" t="str">
        <f aca="false">VLOOKUP($D36,REQUISITOS,2,FALSE())</f>
        <v>Establecer objetivos anuales con relación a la seguridad de la información.</v>
      </c>
      <c r="F36" s="88" t="n">
        <f aca="false">PL.1</f>
        <v>0</v>
      </c>
      <c r="G36" s="97"/>
      <c r="H36" s="80"/>
      <c r="I36" s="80"/>
      <c r="J36" s="1"/>
      <c r="K36" s="1"/>
      <c r="L36" s="1"/>
      <c r="M36" s="1"/>
      <c r="N36" s="1"/>
      <c r="O36" s="1"/>
      <c r="P36" s="1"/>
      <c r="Q36" s="1"/>
      <c r="R36" s="1"/>
      <c r="S36" s="1"/>
      <c r="T36" s="1"/>
      <c r="U36" s="1"/>
      <c r="V36" s="1"/>
      <c r="W36" s="1"/>
      <c r="X36" s="1"/>
      <c r="Y36" s="1"/>
      <c r="Z36" s="1"/>
    </row>
    <row r="37" customFormat="false" ht="30" hidden="false" customHeight="true" outlineLevel="0" collapsed="false">
      <c r="A37" s="75" t="s">
        <v>419</v>
      </c>
      <c r="B37" s="76" t="s">
        <v>423</v>
      </c>
      <c r="C37" s="76" t="n">
        <v>1</v>
      </c>
      <c r="D37" s="76" t="s">
        <v>170</v>
      </c>
      <c r="E37" s="77" t="str">
        <f aca="false">VLOOKUP($D37,REQUISITOS,2,FALSE())</f>
        <v>Gestionar las vulnerabilidades técnicas.</v>
      </c>
      <c r="F37" s="78" t="n">
        <f aca="false">SO.1</f>
        <v>0</v>
      </c>
      <c r="G37" s="79" t="n">
        <f aca="false">Madurez!D20</f>
        <v>0</v>
      </c>
      <c r="H37" s="80" t="n">
        <f aca="false">AVERAGE(G37:G44)</f>
        <v>0.833333333333333</v>
      </c>
      <c r="I37" s="80"/>
      <c r="J37" s="1"/>
      <c r="K37" s="1"/>
      <c r="L37" s="1"/>
      <c r="M37" s="1"/>
      <c r="N37" s="1"/>
      <c r="O37" s="1"/>
      <c r="P37" s="1"/>
      <c r="Q37" s="1"/>
      <c r="R37" s="1"/>
      <c r="S37" s="1"/>
      <c r="T37" s="1"/>
      <c r="U37" s="1"/>
      <c r="V37" s="1"/>
      <c r="W37" s="1"/>
      <c r="X37" s="1"/>
      <c r="Y37" s="1"/>
      <c r="Z37" s="1"/>
    </row>
    <row r="38" customFormat="false" ht="30" hidden="false" customHeight="true" outlineLevel="0" collapsed="false">
      <c r="A38" s="85" t="s">
        <v>419</v>
      </c>
      <c r="B38" s="86" t="s">
        <v>423</v>
      </c>
      <c r="C38" s="86" t="n">
        <v>1</v>
      </c>
      <c r="D38" s="86" t="s">
        <v>64</v>
      </c>
      <c r="E38" s="87" t="str">
        <f aca="false">VLOOKUP($D38,REQUISITOS,2,FALSE())</f>
        <v>Revisar regularmente los sistemas de información mediante pruebas de intrusión (ethical hacking) y evaluación de vulnerabilidades.</v>
      </c>
      <c r="F38" s="88" t="n">
        <f aca="false">CN.3</f>
        <v>0</v>
      </c>
      <c r="G38" s="79"/>
      <c r="H38" s="80"/>
      <c r="I38" s="80"/>
      <c r="J38" s="1"/>
      <c r="K38" s="1"/>
      <c r="L38" s="1"/>
      <c r="M38" s="1"/>
      <c r="N38" s="1"/>
      <c r="O38" s="1"/>
      <c r="P38" s="1"/>
      <c r="Q38" s="1"/>
      <c r="R38" s="1"/>
      <c r="S38" s="1"/>
      <c r="T38" s="1"/>
      <c r="U38" s="1"/>
      <c r="V38" s="1"/>
      <c r="W38" s="1"/>
      <c r="X38" s="1"/>
      <c r="Y38" s="1"/>
      <c r="Z38" s="1"/>
    </row>
    <row r="39" customFormat="false" ht="30" hidden="false" customHeight="true" outlineLevel="0" collapsed="false">
      <c r="A39" s="89" t="s">
        <v>419</v>
      </c>
      <c r="B39" s="90" t="s">
        <v>423</v>
      </c>
      <c r="C39" s="90" t="n">
        <v>2</v>
      </c>
      <c r="D39" s="90" t="s">
        <v>116</v>
      </c>
      <c r="E39" s="91" t="str">
        <f aca="false">VLOOKUP($D39,REQUISITOS,2,FALSE())</f>
        <v>Definir los mecanismos para el contacto formal con autoridades y equipo de respuesta.</v>
      </c>
      <c r="F39" s="92" t="n">
        <f aca="false">OR.3</f>
        <v>0</v>
      </c>
      <c r="G39" s="79" t="n">
        <f aca="false">Madurez!D21</f>
        <v>1</v>
      </c>
      <c r="H39" s="80"/>
      <c r="I39" s="80"/>
      <c r="J39" s="1"/>
      <c r="K39" s="1"/>
      <c r="L39" s="1"/>
      <c r="M39" s="1"/>
      <c r="N39" s="1"/>
      <c r="O39" s="1"/>
      <c r="P39" s="1"/>
      <c r="Q39" s="1"/>
      <c r="R39" s="1"/>
      <c r="S39" s="1"/>
      <c r="T39" s="1"/>
      <c r="U39" s="1"/>
      <c r="V39" s="1"/>
      <c r="W39" s="1"/>
      <c r="X39" s="1"/>
      <c r="Y39" s="1"/>
      <c r="Z39" s="1"/>
    </row>
    <row r="40" customFormat="false" ht="30" hidden="false" customHeight="true" outlineLevel="0" collapsed="false">
      <c r="A40" s="89" t="s">
        <v>419</v>
      </c>
      <c r="B40" s="90" t="s">
        <v>423</v>
      </c>
      <c r="C40" s="90" t="n">
        <v>3</v>
      </c>
      <c r="D40" s="90" t="s">
        <v>108</v>
      </c>
      <c r="E40" s="91" t="str">
        <f aca="false">VLOOKUP($D40,REQUISITOS,2,FALSE())</f>
        <v>Realizar de manera sistemática el proceso de evaluación de riesgos del SGSI.</v>
      </c>
      <c r="F40" s="92" t="str">
        <f aca="false">GR.2</f>
        <v>No cumple</v>
      </c>
      <c r="G40" s="79" t="n">
        <f aca="false">Madurez!D22</f>
        <v>1</v>
      </c>
      <c r="H40" s="80"/>
      <c r="I40" s="80"/>
      <c r="J40" s="1"/>
      <c r="K40" s="1"/>
      <c r="L40" s="1"/>
      <c r="M40" s="1"/>
      <c r="N40" s="1"/>
      <c r="O40" s="1"/>
      <c r="P40" s="1"/>
      <c r="Q40" s="1"/>
      <c r="R40" s="1"/>
      <c r="S40" s="1"/>
      <c r="T40" s="1"/>
      <c r="U40" s="1"/>
      <c r="V40" s="1"/>
      <c r="W40" s="1"/>
      <c r="X40" s="1"/>
      <c r="Y40" s="1"/>
      <c r="Z40" s="1"/>
    </row>
    <row r="41" customFormat="false" ht="30" hidden="false" customHeight="true" outlineLevel="0" collapsed="false">
      <c r="A41" s="75" t="s">
        <v>419</v>
      </c>
      <c r="B41" s="76" t="s">
        <v>423</v>
      </c>
      <c r="C41" s="76" t="n">
        <v>4</v>
      </c>
      <c r="D41" s="76" t="s">
        <v>108</v>
      </c>
      <c r="E41" s="77" t="str">
        <f aca="false">VLOOKUP($D41,REQUISITOS,2,FALSE())</f>
        <v>Realizar de manera sistemática el proceso de evaluación de riesgos del SGSI.</v>
      </c>
      <c r="F41" s="78" t="str">
        <f aca="false">GR.2</f>
        <v>No cumple</v>
      </c>
      <c r="G41" s="79" t="n">
        <f aca="false">Madurez!D23</f>
        <v>1</v>
      </c>
      <c r="H41" s="80"/>
      <c r="I41" s="80"/>
      <c r="J41" s="1"/>
      <c r="K41" s="1"/>
      <c r="L41" s="1"/>
      <c r="M41" s="1"/>
      <c r="N41" s="1"/>
      <c r="O41" s="1"/>
      <c r="P41" s="1"/>
      <c r="Q41" s="1"/>
      <c r="R41" s="1"/>
      <c r="S41" s="1"/>
      <c r="T41" s="1"/>
      <c r="U41" s="1"/>
      <c r="V41" s="1"/>
      <c r="W41" s="1"/>
      <c r="X41" s="1"/>
      <c r="Y41" s="1"/>
      <c r="Z41" s="1"/>
    </row>
    <row r="42" customFormat="false" ht="30" hidden="false" customHeight="true" outlineLevel="0" collapsed="false">
      <c r="A42" s="85" t="s">
        <v>419</v>
      </c>
      <c r="B42" s="86" t="s">
        <v>423</v>
      </c>
      <c r="C42" s="86" t="n">
        <v>4</v>
      </c>
      <c r="D42" s="86" t="s">
        <v>104</v>
      </c>
      <c r="E42" s="87" t="str">
        <f aca="false">VLOOKUP($D42,REQUISITOS,2,FALSE())</f>
        <v>Establecer los mecanismos que le permitan a la organización aprender de los incidentes ocurridos.</v>
      </c>
      <c r="F42" s="88" t="str">
        <f aca="false">GI.6</f>
        <v>No cumple</v>
      </c>
      <c r="G42" s="79"/>
      <c r="H42" s="80"/>
      <c r="I42" s="80"/>
      <c r="J42" s="1"/>
      <c r="K42" s="1"/>
      <c r="L42" s="1"/>
      <c r="M42" s="1"/>
      <c r="N42" s="1"/>
      <c r="O42" s="1"/>
      <c r="P42" s="1"/>
      <c r="Q42" s="1"/>
      <c r="R42" s="1"/>
      <c r="S42" s="1"/>
      <c r="T42" s="1"/>
      <c r="U42" s="1"/>
      <c r="V42" s="1"/>
      <c r="W42" s="1"/>
      <c r="X42" s="1"/>
      <c r="Y42" s="1"/>
      <c r="Z42" s="1"/>
    </row>
    <row r="43" customFormat="false" ht="30" hidden="false" customHeight="true" outlineLevel="0" collapsed="false">
      <c r="A43" s="89" t="s">
        <v>419</v>
      </c>
      <c r="B43" s="90" t="s">
        <v>423</v>
      </c>
      <c r="C43" s="90" t="n">
        <v>5</v>
      </c>
      <c r="D43" s="90" t="s">
        <v>108</v>
      </c>
      <c r="E43" s="91" t="str">
        <f aca="false">VLOOKUP($D43,REQUISITOS,2,FALSE())</f>
        <v>Realizar de manera sistemática el proceso de evaluación de riesgos del SGSI.</v>
      </c>
      <c r="F43" s="92" t="str">
        <f aca="false">GR.2</f>
        <v>No cumple</v>
      </c>
      <c r="G43" s="79" t="n">
        <f aca="false">Madurez!D24</f>
        <v>1</v>
      </c>
      <c r="H43" s="80"/>
      <c r="I43" s="80"/>
      <c r="J43" s="1"/>
      <c r="K43" s="1"/>
      <c r="L43" s="1"/>
      <c r="M43" s="1"/>
      <c r="N43" s="1"/>
      <c r="O43" s="1"/>
      <c r="P43" s="1"/>
      <c r="Q43" s="1"/>
      <c r="R43" s="1"/>
      <c r="S43" s="1"/>
      <c r="T43" s="1"/>
      <c r="U43" s="1"/>
      <c r="V43" s="1"/>
      <c r="W43" s="1"/>
      <c r="X43" s="1"/>
      <c r="Y43" s="1"/>
      <c r="Z43" s="1"/>
    </row>
    <row r="44" customFormat="false" ht="30" hidden="false" customHeight="true" outlineLevel="0" collapsed="false">
      <c r="A44" s="104" t="s">
        <v>419</v>
      </c>
      <c r="B44" s="105" t="s">
        <v>423</v>
      </c>
      <c r="C44" s="105" t="n">
        <v>6</v>
      </c>
      <c r="D44" s="105" t="s">
        <v>110</v>
      </c>
      <c r="E44" s="106" t="str">
        <f aca="false">VLOOKUP($D44,REQUISITOS,2,FALSE())</f>
        <v>Tratamiento o un plan de acción correctivo sobre los riesgos encontrados y, de acuerdo a su resultado, implementar las acciones correctivas y preventivas correspondientes.</v>
      </c>
      <c r="F44" s="107" t="str">
        <f aca="false">GR.3</f>
        <v>No cumple</v>
      </c>
      <c r="G44" s="97" t="n">
        <f aca="false">Madurez!D25</f>
        <v>1</v>
      </c>
      <c r="H44" s="80"/>
      <c r="I44" s="80"/>
      <c r="J44" s="1"/>
      <c r="K44" s="1"/>
      <c r="L44" s="1"/>
      <c r="M44" s="1"/>
      <c r="N44" s="1"/>
      <c r="O44" s="1"/>
      <c r="P44" s="1"/>
      <c r="Q44" s="1"/>
      <c r="R44" s="1"/>
      <c r="S44" s="1"/>
      <c r="T44" s="1"/>
      <c r="U44" s="1"/>
      <c r="V44" s="1"/>
      <c r="W44" s="1"/>
      <c r="X44" s="1"/>
      <c r="Y44" s="1"/>
      <c r="Z44" s="1"/>
    </row>
    <row r="45" customFormat="false" ht="30" hidden="false" customHeight="true" outlineLevel="0" collapsed="false">
      <c r="A45" s="89" t="s">
        <v>419</v>
      </c>
      <c r="B45" s="90" t="s">
        <v>424</v>
      </c>
      <c r="C45" s="90" t="n">
        <v>1</v>
      </c>
      <c r="D45" s="90" t="s">
        <v>106</v>
      </c>
      <c r="E45" s="91" t="str">
        <f aca="false">VLOOKUP($D45,REQUISITOS,2,FALSE())</f>
        <v>Adoptar una metodología de Evaluación de Riesgo alineada a las necesidades del SGSI.</v>
      </c>
      <c r="F45" s="92" t="str">
        <f aca="false">GR.1</f>
        <v>Cumple</v>
      </c>
      <c r="G45" s="79" t="n">
        <f aca="false">Madurez!D26</f>
        <v>0</v>
      </c>
      <c r="H45" s="80" t="n">
        <f aca="false">AVERAGE(G45:G48)</f>
        <v>0.666666666666667</v>
      </c>
      <c r="I45" s="80"/>
      <c r="J45" s="1"/>
      <c r="K45" s="1"/>
      <c r="L45" s="1"/>
      <c r="M45" s="1"/>
      <c r="N45" s="1"/>
      <c r="O45" s="1"/>
      <c r="P45" s="1"/>
      <c r="Q45" s="1"/>
      <c r="R45" s="1"/>
      <c r="S45" s="1"/>
      <c r="T45" s="1"/>
      <c r="U45" s="1"/>
      <c r="V45" s="1"/>
      <c r="W45" s="1"/>
      <c r="X45" s="1"/>
      <c r="Y45" s="1"/>
      <c r="Z45" s="1"/>
    </row>
    <row r="46" customFormat="false" ht="30" hidden="false" customHeight="true" outlineLevel="0" collapsed="false">
      <c r="A46" s="89" t="s">
        <v>419</v>
      </c>
      <c r="B46" s="90" t="s">
        <v>424</v>
      </c>
      <c r="C46" s="90" t="n">
        <v>2</v>
      </c>
      <c r="D46" s="90" t="s">
        <v>110</v>
      </c>
      <c r="E46" s="91" t="str">
        <f aca="false">VLOOKUP($D46,REQUISITOS,2,FALSE())</f>
        <v>Tratamiento o un plan de acción correctivo sobre los riesgos encontrados y, de acuerdo a su resultado, implementar las acciones correctivas y preventivas correspondientes.</v>
      </c>
      <c r="F46" s="92" t="str">
        <f aca="false">GR.3</f>
        <v>No cumple</v>
      </c>
      <c r="G46" s="79" t="n">
        <f aca="false">Madurez!D27</f>
        <v>1</v>
      </c>
      <c r="H46" s="80"/>
      <c r="I46" s="80"/>
      <c r="J46" s="1"/>
      <c r="K46" s="1"/>
      <c r="L46" s="1"/>
      <c r="M46" s="1"/>
      <c r="N46" s="1"/>
      <c r="O46" s="1"/>
      <c r="P46" s="1"/>
      <c r="Q46" s="1"/>
      <c r="R46" s="1"/>
      <c r="S46" s="1"/>
      <c r="T46" s="1"/>
      <c r="U46" s="1"/>
      <c r="V46" s="1"/>
      <c r="W46" s="1"/>
      <c r="X46" s="1"/>
      <c r="Y46" s="1"/>
      <c r="Z46" s="1"/>
    </row>
    <row r="47" customFormat="false" ht="30" hidden="false" customHeight="true" outlineLevel="0" collapsed="false">
      <c r="A47" s="93" t="s">
        <v>419</v>
      </c>
      <c r="B47" s="94" t="s">
        <v>424</v>
      </c>
      <c r="C47" s="94" t="n">
        <v>3</v>
      </c>
      <c r="D47" s="94" t="s">
        <v>108</v>
      </c>
      <c r="E47" s="95" t="str">
        <f aca="false">VLOOKUP($D47,REQUISITOS,2,FALSE())</f>
        <v>Realizar de manera sistemática el proceso de evaluación de riesgos del SGSI.</v>
      </c>
      <c r="F47" s="96" t="str">
        <f aca="false">GR.2</f>
        <v>No cumple</v>
      </c>
      <c r="G47" s="97" t="n">
        <f aca="false">Madurez!D28</f>
        <v>1</v>
      </c>
      <c r="H47" s="80"/>
      <c r="I47" s="80"/>
      <c r="J47" s="1"/>
      <c r="K47" s="1"/>
      <c r="L47" s="1"/>
      <c r="M47" s="1"/>
      <c r="N47" s="1"/>
      <c r="O47" s="1"/>
      <c r="P47" s="1"/>
      <c r="Q47" s="1"/>
      <c r="R47" s="1"/>
      <c r="S47" s="1"/>
      <c r="T47" s="1"/>
      <c r="U47" s="1"/>
      <c r="V47" s="1"/>
      <c r="W47" s="1"/>
      <c r="X47" s="1"/>
      <c r="Y47" s="1"/>
      <c r="Z47" s="1"/>
    </row>
    <row r="48" customFormat="false" ht="30" hidden="false" customHeight="true" outlineLevel="0" collapsed="false">
      <c r="A48" s="85" t="s">
        <v>419</v>
      </c>
      <c r="B48" s="86" t="s">
        <v>424</v>
      </c>
      <c r="C48" s="86" t="n">
        <v>3</v>
      </c>
      <c r="D48" s="86" t="s">
        <v>110</v>
      </c>
      <c r="E48" s="87" t="str">
        <f aca="false">VLOOKUP($D48,REQUISITOS,2,FALSE())</f>
        <v>Tratamiento o un plan de acción correctivo sobre los riesgos encontrados y, de acuerdo a su resultado, implementar las acciones correctivas y preventivas correspondientes.</v>
      </c>
      <c r="F48" s="88" t="str">
        <f aca="false">GR.3</f>
        <v>No cumple</v>
      </c>
      <c r="G48" s="97"/>
      <c r="H48" s="80"/>
      <c r="I48" s="80"/>
      <c r="J48" s="1"/>
      <c r="K48" s="1"/>
      <c r="L48" s="1"/>
      <c r="M48" s="1"/>
      <c r="N48" s="1"/>
      <c r="O48" s="1"/>
      <c r="P48" s="1"/>
      <c r="Q48" s="1"/>
      <c r="R48" s="1"/>
      <c r="S48" s="1"/>
      <c r="T48" s="1"/>
      <c r="U48" s="1"/>
      <c r="V48" s="1"/>
      <c r="W48" s="1"/>
      <c r="X48" s="1"/>
      <c r="Y48" s="1"/>
      <c r="Z48" s="1"/>
    </row>
    <row r="49" customFormat="false" ht="30" hidden="false" customHeight="true" outlineLevel="0" collapsed="false">
      <c r="A49" s="89" t="s">
        <v>419</v>
      </c>
      <c r="B49" s="90" t="s">
        <v>425</v>
      </c>
      <c r="C49" s="90" t="n">
        <v>1</v>
      </c>
      <c r="D49" s="90" t="s">
        <v>130</v>
      </c>
      <c r="E49" s="91" t="str">
        <f aca="false">VLOOKUP($D49,REQUISITOS,2,FALSE())</f>
        <v>Definir acuerdos de niveles de servicio (SLA) con los proveedores de servicios críticos.</v>
      </c>
      <c r="F49" s="92" t="n">
        <f aca="false">RP.1</f>
        <v>0</v>
      </c>
      <c r="G49" s="79" t="n">
        <f aca="false">Madurez!D29</f>
        <v>0</v>
      </c>
      <c r="H49" s="80" t="n">
        <f aca="false">AVERAGE(G49:G53)</f>
        <v>0.8</v>
      </c>
      <c r="I49" s="80"/>
      <c r="J49" s="1"/>
      <c r="K49" s="1"/>
      <c r="L49" s="1"/>
      <c r="M49" s="1"/>
      <c r="N49" s="1"/>
      <c r="O49" s="1"/>
      <c r="P49" s="1"/>
      <c r="Q49" s="1"/>
      <c r="R49" s="1"/>
      <c r="S49" s="1"/>
      <c r="T49" s="1"/>
      <c r="U49" s="1"/>
      <c r="V49" s="1"/>
      <c r="W49" s="1"/>
      <c r="X49" s="1"/>
      <c r="Y49" s="1"/>
      <c r="Z49" s="1"/>
    </row>
    <row r="50" customFormat="false" ht="30" hidden="false" customHeight="true" outlineLevel="0" collapsed="false">
      <c r="A50" s="89" t="s">
        <v>419</v>
      </c>
      <c r="B50" s="90" t="s">
        <v>425</v>
      </c>
      <c r="C50" s="90" t="n">
        <v>2</v>
      </c>
      <c r="D50" s="90" t="s">
        <v>108</v>
      </c>
      <c r="E50" s="91" t="str">
        <f aca="false">VLOOKUP($D50,REQUISITOS,2,FALSE())</f>
        <v>Realizar de manera sistemática el proceso de evaluación de riesgos del SGSI.</v>
      </c>
      <c r="F50" s="92" t="str">
        <f aca="false">GR.2</f>
        <v>No cumple</v>
      </c>
      <c r="G50" s="79" t="n">
        <f aca="false">Madurez!D30</f>
        <v>1</v>
      </c>
      <c r="H50" s="80"/>
      <c r="I50" s="80"/>
      <c r="J50" s="1"/>
      <c r="K50" s="1"/>
      <c r="L50" s="1"/>
      <c r="M50" s="1"/>
      <c r="N50" s="1"/>
      <c r="O50" s="1"/>
      <c r="P50" s="1"/>
      <c r="Q50" s="1"/>
      <c r="R50" s="1"/>
      <c r="S50" s="1"/>
      <c r="T50" s="1"/>
      <c r="U50" s="1"/>
      <c r="V50" s="1"/>
      <c r="W50" s="1"/>
      <c r="X50" s="1"/>
      <c r="Y50" s="1"/>
      <c r="Z50" s="1"/>
    </row>
    <row r="51" customFormat="false" ht="36" hidden="false" customHeight="true" outlineLevel="0" collapsed="false">
      <c r="A51" s="89" t="s">
        <v>419</v>
      </c>
      <c r="B51" s="90" t="s">
        <v>425</v>
      </c>
      <c r="C51" s="90" t="n">
        <v>3</v>
      </c>
      <c r="D51" s="90" t="s">
        <v>132</v>
      </c>
      <c r="E51" s="91" t="str">
        <f aca="false">VLOOKUP($D51,REQUISITOS,2,FALSE())</f>
        <v>Establecer pautas, realizar seguimiento y revisión de los servicios de los proveedores, y gestionar sus cambios.</v>
      </c>
      <c r="F51" s="92" t="n">
        <f aca="false">RP.2</f>
        <v>0</v>
      </c>
      <c r="G51" s="79" t="n">
        <f aca="false">Madurez!D31</f>
        <v>1</v>
      </c>
      <c r="H51" s="80"/>
      <c r="I51" s="80"/>
      <c r="J51" s="1"/>
      <c r="K51" s="1"/>
      <c r="L51" s="1"/>
      <c r="M51" s="1"/>
      <c r="N51" s="1"/>
      <c r="O51" s="1"/>
      <c r="P51" s="1"/>
      <c r="Q51" s="1"/>
      <c r="R51" s="1"/>
      <c r="S51" s="1"/>
      <c r="T51" s="1"/>
      <c r="U51" s="1"/>
      <c r="V51" s="1"/>
      <c r="W51" s="1"/>
      <c r="X51" s="1"/>
      <c r="Y51" s="1"/>
      <c r="Z51" s="1"/>
    </row>
    <row r="52" customFormat="false" ht="30" hidden="false" customHeight="true" outlineLevel="0" collapsed="false">
      <c r="A52" s="89" t="s">
        <v>419</v>
      </c>
      <c r="B52" s="90" t="s">
        <v>425</v>
      </c>
      <c r="C52" s="90" t="n">
        <v>4</v>
      </c>
      <c r="D52" s="90" t="s">
        <v>132</v>
      </c>
      <c r="E52" s="91" t="str">
        <f aca="false">VLOOKUP($D52,REQUISITOS,2,FALSE())</f>
        <v>Establecer pautas, realizar seguimiento y revisión de los servicios de los proveedores, y gestionar sus cambios.</v>
      </c>
      <c r="F52" s="92" t="n">
        <f aca="false">RP.2</f>
        <v>0</v>
      </c>
      <c r="G52" s="79" t="n">
        <f aca="false">Madurez!D32</f>
        <v>1</v>
      </c>
      <c r="H52" s="80"/>
      <c r="I52" s="80"/>
      <c r="J52" s="1"/>
      <c r="K52" s="1"/>
      <c r="L52" s="1"/>
      <c r="M52" s="1"/>
      <c r="N52" s="1"/>
      <c r="O52" s="1"/>
      <c r="P52" s="1"/>
      <c r="Q52" s="1"/>
      <c r="R52" s="1"/>
      <c r="S52" s="1"/>
      <c r="T52" s="1"/>
      <c r="U52" s="1"/>
      <c r="V52" s="1"/>
      <c r="W52" s="1"/>
      <c r="X52" s="1"/>
      <c r="Y52" s="1"/>
      <c r="Z52" s="1"/>
    </row>
    <row r="53" customFormat="false" ht="30" hidden="false" customHeight="true" outlineLevel="0" collapsed="false">
      <c r="A53" s="104" t="s">
        <v>419</v>
      </c>
      <c r="B53" s="105" t="s">
        <v>425</v>
      </c>
      <c r="C53" s="105" t="n">
        <v>5</v>
      </c>
      <c r="D53" s="105" t="s">
        <v>74</v>
      </c>
      <c r="E53" s="106" t="str">
        <f aca="false">VLOOKUP($D53,REQUISITOS,2,FALSE())</f>
        <v>Planificar la continuidad de las operaciones y recuperación ante desastres.</v>
      </c>
      <c r="F53" s="107" t="n">
        <f aca="false">CO.4</f>
        <v>0</v>
      </c>
      <c r="G53" s="97" t="n">
        <f aca="false">Madurez!D33</f>
        <v>1</v>
      </c>
      <c r="H53" s="80"/>
      <c r="I53" s="80"/>
      <c r="J53" s="1"/>
      <c r="K53" s="1"/>
      <c r="L53" s="1"/>
      <c r="M53" s="1"/>
      <c r="N53" s="1"/>
      <c r="O53" s="1"/>
      <c r="P53" s="1"/>
      <c r="Q53" s="1"/>
      <c r="R53" s="1"/>
      <c r="S53" s="1"/>
      <c r="T53" s="1"/>
      <c r="U53" s="1"/>
      <c r="V53" s="1"/>
      <c r="W53" s="1"/>
      <c r="X53" s="1"/>
      <c r="Y53" s="1"/>
      <c r="Z53" s="1"/>
    </row>
    <row r="54" customFormat="false" ht="30" hidden="false" customHeight="true" outlineLevel="0" collapsed="false">
      <c r="A54" s="108" t="s">
        <v>426</v>
      </c>
      <c r="B54" s="109" t="s">
        <v>427</v>
      </c>
      <c r="C54" s="109" t="n">
        <v>1</v>
      </c>
      <c r="D54" s="109" t="s">
        <v>52</v>
      </c>
      <c r="E54" s="77" t="str">
        <f aca="false">VLOOKUP($D54,REQUISITOS,2,FALSE())</f>
        <v>Gestionar el acceso lógico.</v>
      </c>
      <c r="F54" s="78" t="n">
        <f aca="false">CA.1</f>
        <v>0</v>
      </c>
      <c r="G54" s="79" t="n">
        <f aca="false">Madurez!D35</f>
        <v>1</v>
      </c>
      <c r="H54" s="80" t="n">
        <f aca="false">AVERAGE(G54:G63)</f>
        <v>0.5714285714</v>
      </c>
      <c r="I54" s="80" t="n">
        <f aca="false">AVERAGE(H54:H119)</f>
        <v>0.6341269841</v>
      </c>
      <c r="J54" s="1"/>
      <c r="K54" s="1"/>
      <c r="L54" s="1"/>
      <c r="M54" s="1"/>
      <c r="N54" s="1"/>
      <c r="O54" s="1"/>
      <c r="P54" s="1"/>
      <c r="Q54" s="1"/>
      <c r="R54" s="1"/>
      <c r="S54" s="1"/>
      <c r="T54" s="1"/>
      <c r="U54" s="1"/>
      <c r="V54" s="1"/>
      <c r="W54" s="1"/>
      <c r="X54" s="1"/>
      <c r="Y54" s="1"/>
      <c r="Z54" s="1"/>
    </row>
    <row r="55" customFormat="false" ht="30" hidden="false" customHeight="true" outlineLevel="0" collapsed="false">
      <c r="A55" s="110" t="s">
        <v>426</v>
      </c>
      <c r="B55" s="111" t="s">
        <v>427</v>
      </c>
      <c r="C55" s="111" t="n">
        <v>1</v>
      </c>
      <c r="D55" s="111" t="s">
        <v>54</v>
      </c>
      <c r="E55" s="87" t="str">
        <f aca="false">VLOOKUP($D55,REQUISITOS,2,FALSE())</f>
        <v>Revisar los privilegios de acceso lógico.</v>
      </c>
      <c r="F55" s="88" t="n">
        <f aca="false">CA.2</f>
        <v>0</v>
      </c>
      <c r="G55" s="79"/>
      <c r="H55" s="80"/>
      <c r="I55" s="80"/>
      <c r="J55" s="1"/>
      <c r="K55" s="1"/>
      <c r="L55" s="1"/>
      <c r="M55" s="1"/>
      <c r="N55" s="1"/>
      <c r="O55" s="1"/>
      <c r="P55" s="1"/>
      <c r="Q55" s="1"/>
      <c r="R55" s="1"/>
      <c r="S55" s="1"/>
      <c r="T55" s="1"/>
      <c r="U55" s="1"/>
      <c r="V55" s="1"/>
      <c r="W55" s="1"/>
      <c r="X55" s="1"/>
      <c r="Y55" s="1"/>
      <c r="Z55" s="1"/>
    </row>
    <row r="56" customFormat="false" ht="30" hidden="false" customHeight="true" outlineLevel="0" collapsed="false">
      <c r="A56" s="112" t="s">
        <v>426</v>
      </c>
      <c r="B56" s="113" t="s">
        <v>427</v>
      </c>
      <c r="C56" s="113" t="n">
        <v>2</v>
      </c>
      <c r="D56" s="113" t="s">
        <v>164</v>
      </c>
      <c r="E56" s="91" t="str">
        <f aca="false">VLOOKUP($D56,REQUISITOS,2,FALSE())</f>
        <v>Implementar controles de acceso físico a las instalaciones y equipos ubicados en los centros de datos y áreas relacionadas.</v>
      </c>
      <c r="F56" s="92" t="n">
        <f aca="false">SF.1</f>
        <v>0</v>
      </c>
      <c r="G56" s="79" t="n">
        <f aca="false">Madurez!D36</f>
        <v>0</v>
      </c>
      <c r="H56" s="80"/>
      <c r="I56" s="80"/>
      <c r="J56" s="1"/>
      <c r="K56" s="1"/>
      <c r="L56" s="1"/>
      <c r="M56" s="1"/>
      <c r="N56" s="1"/>
      <c r="O56" s="1"/>
      <c r="P56" s="1"/>
      <c r="Q56" s="1"/>
      <c r="R56" s="1"/>
      <c r="S56" s="1"/>
      <c r="T56" s="1"/>
      <c r="U56" s="1"/>
      <c r="V56" s="1"/>
      <c r="W56" s="1"/>
      <c r="X56" s="1"/>
      <c r="Y56" s="1"/>
      <c r="Z56" s="1"/>
    </row>
    <row r="57" customFormat="false" ht="30" hidden="false" customHeight="true" outlineLevel="0" collapsed="false">
      <c r="A57" s="108" t="s">
        <v>426</v>
      </c>
      <c r="B57" s="109" t="s">
        <v>427</v>
      </c>
      <c r="C57" s="109" t="n">
        <v>3</v>
      </c>
      <c r="D57" s="109" t="s">
        <v>122</v>
      </c>
      <c r="E57" s="77" t="str">
        <f aca="false">VLOOKUP($D57,REQUISITOS,2,FALSE())</f>
        <v>Establecer controles para proteger la información a la que se accede de forma remota.</v>
      </c>
      <c r="F57" s="78" t="n">
        <f aca="false">OR.6</f>
        <v>0</v>
      </c>
      <c r="G57" s="79" t="n">
        <f aca="false">Madurez!D37</f>
        <v>1</v>
      </c>
      <c r="H57" s="80"/>
      <c r="I57" s="80"/>
      <c r="J57" s="1"/>
      <c r="K57" s="1"/>
      <c r="L57" s="1"/>
      <c r="M57" s="1"/>
      <c r="N57" s="1"/>
      <c r="O57" s="1"/>
      <c r="P57" s="1"/>
      <c r="Q57" s="1"/>
      <c r="R57" s="1"/>
      <c r="S57" s="1"/>
      <c r="T57" s="1"/>
      <c r="U57" s="1"/>
      <c r="V57" s="1"/>
      <c r="W57" s="1"/>
      <c r="X57" s="1"/>
      <c r="Y57" s="1"/>
      <c r="Z57" s="1"/>
    </row>
    <row r="58" customFormat="false" ht="30" hidden="false" customHeight="true" outlineLevel="0" collapsed="false">
      <c r="A58" s="110" t="s">
        <v>426</v>
      </c>
      <c r="B58" s="111" t="s">
        <v>427</v>
      </c>
      <c r="C58" s="111" t="n">
        <v>3</v>
      </c>
      <c r="D58" s="111" t="s">
        <v>144</v>
      </c>
      <c r="E58" s="87" t="str">
        <f aca="false">VLOOKUP($D58,REQUISITOS,2,FALSE())</f>
        <v>Establecer acuerdos de no divulgación.</v>
      </c>
      <c r="F58" s="88" t="n">
        <f aca="false">SC.6</f>
        <v>0</v>
      </c>
      <c r="G58" s="79"/>
      <c r="H58" s="80"/>
      <c r="I58" s="80"/>
      <c r="J58" s="1"/>
      <c r="K58" s="1"/>
      <c r="L58" s="1"/>
      <c r="M58" s="1"/>
      <c r="N58" s="1"/>
      <c r="O58" s="1"/>
      <c r="P58" s="1"/>
      <c r="Q58" s="1"/>
      <c r="R58" s="1"/>
      <c r="S58" s="1"/>
      <c r="T58" s="1"/>
      <c r="U58" s="1"/>
      <c r="V58" s="1"/>
      <c r="W58" s="1"/>
      <c r="X58" s="1"/>
      <c r="Y58" s="1"/>
      <c r="Z58" s="1"/>
    </row>
    <row r="59" customFormat="false" ht="36" hidden="false" customHeight="true" outlineLevel="0" collapsed="false">
      <c r="A59" s="112" t="s">
        <v>426</v>
      </c>
      <c r="B59" s="113" t="s">
        <v>427</v>
      </c>
      <c r="C59" s="113" t="n">
        <v>4</v>
      </c>
      <c r="D59" s="113" t="s">
        <v>52</v>
      </c>
      <c r="E59" s="91" t="str">
        <f aca="false">VLOOKUP($D59,REQUISITOS,2,FALSE())</f>
        <v>Gestionar el acceso lógico.</v>
      </c>
      <c r="F59" s="92" t="n">
        <f aca="false">CA.1</f>
        <v>0</v>
      </c>
      <c r="G59" s="79" t="n">
        <f aca="false">Madurez!D38</f>
        <v>1</v>
      </c>
      <c r="H59" s="80"/>
      <c r="I59" s="80"/>
      <c r="J59" s="1"/>
      <c r="K59" s="1"/>
      <c r="L59" s="1"/>
      <c r="M59" s="1"/>
      <c r="N59" s="1"/>
      <c r="O59" s="1"/>
      <c r="P59" s="1"/>
      <c r="Q59" s="1"/>
      <c r="R59" s="1"/>
      <c r="S59" s="1"/>
      <c r="T59" s="1"/>
      <c r="U59" s="1"/>
      <c r="V59" s="1"/>
      <c r="W59" s="1"/>
      <c r="X59" s="1"/>
      <c r="Y59" s="1"/>
      <c r="Z59" s="1"/>
    </row>
    <row r="60" customFormat="false" ht="30" hidden="false" customHeight="true" outlineLevel="0" collapsed="false">
      <c r="A60" s="112" t="s">
        <v>426</v>
      </c>
      <c r="B60" s="113" t="s">
        <v>427</v>
      </c>
      <c r="C60" s="113" t="n">
        <v>5</v>
      </c>
      <c r="D60" s="113" t="s">
        <v>158</v>
      </c>
      <c r="E60" s="91" t="str">
        <f aca="false">VLOOKUP($D60,REQUISITOS,2,FALSE())</f>
        <v>Debe existir segregación a nivel de servicios de información.</v>
      </c>
      <c r="F60" s="92" t="n">
        <f aca="false">SC.13</f>
        <v>0</v>
      </c>
      <c r="G60" s="79" t="n">
        <f aca="false">Madurez!D39</f>
        <v>0</v>
      </c>
      <c r="H60" s="80"/>
      <c r="I60" s="80"/>
      <c r="J60" s="1"/>
      <c r="K60" s="1"/>
      <c r="L60" s="1"/>
      <c r="M60" s="1"/>
      <c r="N60" s="1"/>
      <c r="O60" s="1"/>
      <c r="P60" s="1"/>
      <c r="Q60" s="1"/>
      <c r="R60" s="1"/>
      <c r="S60" s="1"/>
      <c r="T60" s="1"/>
      <c r="U60" s="1"/>
      <c r="V60" s="1"/>
      <c r="W60" s="1"/>
      <c r="X60" s="1"/>
      <c r="Y60" s="1"/>
      <c r="Z60" s="1"/>
    </row>
    <row r="61" customFormat="false" ht="30" hidden="false" customHeight="true" outlineLevel="0" collapsed="false">
      <c r="A61" s="112" t="s">
        <v>426</v>
      </c>
      <c r="B61" s="113" t="s">
        <v>427</v>
      </c>
      <c r="C61" s="113" t="n">
        <v>6</v>
      </c>
      <c r="D61" s="113" t="s">
        <v>52</v>
      </c>
      <c r="E61" s="91" t="str">
        <f aca="false">VLOOKUP($D61,REQUISITOS,2,FALSE())</f>
        <v>Gestionar el acceso lógico.</v>
      </c>
      <c r="F61" s="92" t="n">
        <f aca="false">CA.1</f>
        <v>0</v>
      </c>
      <c r="G61" s="79" t="n">
        <f aca="false">Madurez!D40</f>
        <v>1</v>
      </c>
      <c r="H61" s="80"/>
      <c r="I61" s="80"/>
      <c r="J61" s="1"/>
      <c r="K61" s="1"/>
      <c r="L61" s="1"/>
      <c r="M61" s="1"/>
      <c r="N61" s="1"/>
      <c r="O61" s="1"/>
      <c r="P61" s="1"/>
      <c r="Q61" s="1"/>
      <c r="R61" s="1"/>
      <c r="S61" s="1"/>
      <c r="T61" s="1"/>
      <c r="U61" s="1"/>
      <c r="V61" s="1"/>
      <c r="W61" s="1"/>
      <c r="X61" s="1"/>
      <c r="Y61" s="1"/>
      <c r="Z61" s="1"/>
    </row>
    <row r="62" customFormat="false" ht="30" hidden="false" customHeight="true" outlineLevel="0" collapsed="false">
      <c r="A62" s="114" t="s">
        <v>426</v>
      </c>
      <c r="B62" s="115" t="s">
        <v>427</v>
      </c>
      <c r="C62" s="115" t="n">
        <v>7</v>
      </c>
      <c r="D62" s="115" t="s">
        <v>52</v>
      </c>
      <c r="E62" s="95" t="str">
        <f aca="false">VLOOKUP($D62,REQUISITOS,2,FALSE())</f>
        <v>Gestionar el acceso lógico.</v>
      </c>
      <c r="F62" s="96" t="n">
        <f aca="false">CA.1</f>
        <v>0</v>
      </c>
      <c r="G62" s="97" t="n">
        <f aca="false">Madurez!D41</f>
        <v>0</v>
      </c>
      <c r="H62" s="80"/>
      <c r="I62" s="80"/>
      <c r="J62" s="1"/>
      <c r="K62" s="1"/>
      <c r="L62" s="1"/>
      <c r="M62" s="1"/>
      <c r="N62" s="1"/>
      <c r="O62" s="1"/>
      <c r="P62" s="1"/>
      <c r="Q62" s="1"/>
      <c r="R62" s="1"/>
      <c r="S62" s="1"/>
      <c r="T62" s="1"/>
      <c r="U62" s="1"/>
      <c r="V62" s="1"/>
      <c r="W62" s="1"/>
      <c r="X62" s="1"/>
      <c r="Y62" s="1"/>
      <c r="Z62" s="1"/>
    </row>
    <row r="63" customFormat="false" ht="30" hidden="false" customHeight="true" outlineLevel="0" collapsed="false">
      <c r="A63" s="110" t="s">
        <v>426</v>
      </c>
      <c r="B63" s="111" t="s">
        <v>427</v>
      </c>
      <c r="C63" s="111" t="n">
        <v>7</v>
      </c>
      <c r="D63" s="111" t="s">
        <v>60</v>
      </c>
      <c r="E63" s="87" t="str">
        <f aca="false">VLOOKUP($D63,REQUISITOS,2,FALSE())</f>
        <v>Cumplir con los requisitos normativos.</v>
      </c>
      <c r="F63" s="88" t="n">
        <f aca="false">CN.1</f>
        <v>0</v>
      </c>
      <c r="G63" s="97"/>
      <c r="H63" s="80"/>
      <c r="I63" s="80"/>
      <c r="J63" s="1"/>
      <c r="K63" s="1"/>
      <c r="L63" s="1"/>
      <c r="M63" s="1"/>
      <c r="N63" s="1"/>
      <c r="O63" s="1"/>
      <c r="P63" s="1"/>
      <c r="Q63" s="1"/>
      <c r="R63" s="1"/>
      <c r="S63" s="1"/>
      <c r="T63" s="1"/>
      <c r="U63" s="1"/>
      <c r="V63" s="1"/>
      <c r="W63" s="1"/>
      <c r="X63" s="1"/>
      <c r="Y63" s="1"/>
      <c r="Z63" s="1"/>
    </row>
    <row r="64" customFormat="false" ht="30" hidden="false" customHeight="true" outlineLevel="0" collapsed="false">
      <c r="A64" s="112" t="s">
        <v>426</v>
      </c>
      <c r="B64" s="113" t="s">
        <v>428</v>
      </c>
      <c r="C64" s="113" t="n">
        <v>1</v>
      </c>
      <c r="D64" s="113" t="s">
        <v>92</v>
      </c>
      <c r="E64" s="91" t="str">
        <f aca="false">VLOOKUP($D64,REQUISITOS,2,FALSE())</f>
        <v>Concientizar y formar en materia de seguridad de la información a todo el personal.</v>
      </c>
      <c r="F64" s="92" t="n">
        <f aca="false">GH.2</f>
        <v>0</v>
      </c>
      <c r="G64" s="79" t="n">
        <f aca="false">Madurez!D42</f>
        <v>0</v>
      </c>
      <c r="H64" s="80" t="n">
        <f aca="false">AVERAGE(G64:G68)</f>
        <v>0.6</v>
      </c>
      <c r="I64" s="80"/>
      <c r="J64" s="1"/>
      <c r="K64" s="1"/>
      <c r="L64" s="1"/>
      <c r="M64" s="1"/>
      <c r="N64" s="1"/>
      <c r="O64" s="1"/>
      <c r="P64" s="1"/>
      <c r="Q64" s="1"/>
      <c r="R64" s="1"/>
      <c r="S64" s="1"/>
      <c r="T64" s="1"/>
      <c r="U64" s="1"/>
      <c r="V64" s="1"/>
      <c r="W64" s="1"/>
      <c r="X64" s="1"/>
      <c r="Y64" s="1"/>
      <c r="Z64" s="1"/>
    </row>
    <row r="65" customFormat="false" ht="30" hidden="false" customHeight="true" outlineLevel="0" collapsed="false">
      <c r="A65" s="112" t="s">
        <v>426</v>
      </c>
      <c r="B65" s="113" t="s">
        <v>428</v>
      </c>
      <c r="C65" s="113" t="n">
        <v>2</v>
      </c>
      <c r="D65" s="113" t="s">
        <v>92</v>
      </c>
      <c r="E65" s="91" t="str">
        <f aca="false">VLOOKUP($D65,REQUISITOS,2,FALSE())</f>
        <v>Concientizar y formar en materia de seguridad de la información a todo el personal.</v>
      </c>
      <c r="F65" s="92" t="n">
        <f aca="false">GH.2</f>
        <v>0</v>
      </c>
      <c r="G65" s="79" t="n">
        <f aca="false">Madurez!D43</f>
        <v>1</v>
      </c>
      <c r="H65" s="80"/>
      <c r="I65" s="80"/>
      <c r="J65" s="1"/>
      <c r="K65" s="1"/>
      <c r="L65" s="1"/>
      <c r="M65" s="1"/>
      <c r="N65" s="1"/>
      <c r="O65" s="1"/>
      <c r="P65" s="1"/>
      <c r="Q65" s="1"/>
      <c r="R65" s="1"/>
      <c r="S65" s="1"/>
      <c r="T65" s="1"/>
      <c r="U65" s="1"/>
      <c r="V65" s="1"/>
      <c r="W65" s="1"/>
      <c r="X65" s="1"/>
      <c r="Y65" s="1"/>
      <c r="Z65" s="1"/>
    </row>
    <row r="66" customFormat="false" ht="30" hidden="false" customHeight="true" outlineLevel="0" collapsed="false">
      <c r="A66" s="112" t="s">
        <v>426</v>
      </c>
      <c r="B66" s="113" t="s">
        <v>428</v>
      </c>
      <c r="C66" s="113" t="n">
        <v>3</v>
      </c>
      <c r="D66" s="113" t="s">
        <v>92</v>
      </c>
      <c r="E66" s="91" t="str">
        <f aca="false">VLOOKUP($D66,REQUISITOS,2,FALSE())</f>
        <v>Concientizar y formar en materia de seguridad de la información a todo el personal.</v>
      </c>
      <c r="F66" s="92" t="n">
        <f aca="false">GH.2</f>
        <v>0</v>
      </c>
      <c r="G66" s="79" t="n">
        <f aca="false">Madurez!D44</f>
        <v>0</v>
      </c>
      <c r="H66" s="80"/>
      <c r="I66" s="80"/>
      <c r="J66" s="1"/>
      <c r="K66" s="1"/>
      <c r="L66" s="1"/>
      <c r="M66" s="1"/>
      <c r="N66" s="1"/>
      <c r="O66" s="1"/>
      <c r="P66" s="1"/>
      <c r="Q66" s="1"/>
      <c r="R66" s="1"/>
      <c r="S66" s="1"/>
      <c r="T66" s="1"/>
      <c r="U66" s="1"/>
      <c r="V66" s="1"/>
      <c r="W66" s="1"/>
      <c r="X66" s="1"/>
      <c r="Y66" s="1"/>
      <c r="Z66" s="1"/>
    </row>
    <row r="67" customFormat="false" ht="30" hidden="false" customHeight="true" outlineLevel="0" collapsed="false">
      <c r="A67" s="112" t="s">
        <v>426</v>
      </c>
      <c r="B67" s="113" t="s">
        <v>428</v>
      </c>
      <c r="C67" s="113" t="n">
        <v>4</v>
      </c>
      <c r="D67" s="113" t="s">
        <v>92</v>
      </c>
      <c r="E67" s="91" t="str">
        <f aca="false">VLOOKUP($D67,REQUISITOS,2,FALSE())</f>
        <v>Concientizar y formar en materia de seguridad de la información a todo el personal.</v>
      </c>
      <c r="F67" s="92" t="n">
        <f aca="false">GH.2</f>
        <v>0</v>
      </c>
      <c r="G67" s="79" t="n">
        <f aca="false">Madurez!D45</f>
        <v>1</v>
      </c>
      <c r="H67" s="80"/>
      <c r="I67" s="80"/>
      <c r="J67" s="1"/>
      <c r="K67" s="1"/>
      <c r="L67" s="1"/>
      <c r="M67" s="1"/>
      <c r="N67" s="1"/>
      <c r="O67" s="1"/>
      <c r="P67" s="1"/>
      <c r="Q67" s="1"/>
      <c r="R67" s="1"/>
      <c r="S67" s="1"/>
      <c r="T67" s="1"/>
      <c r="U67" s="1"/>
      <c r="V67" s="1"/>
      <c r="W67" s="1"/>
      <c r="X67" s="1"/>
      <c r="Y67" s="1"/>
      <c r="Z67" s="1"/>
    </row>
    <row r="68" customFormat="false" ht="30" hidden="false" customHeight="true" outlineLevel="0" collapsed="false">
      <c r="A68" s="116" t="s">
        <v>426</v>
      </c>
      <c r="B68" s="117" t="s">
        <v>428</v>
      </c>
      <c r="C68" s="117" t="n">
        <v>5</v>
      </c>
      <c r="D68" s="117" t="s">
        <v>92</v>
      </c>
      <c r="E68" s="106" t="str">
        <f aca="false">VLOOKUP($D68,REQUISITOS,2,FALSE())</f>
        <v>Concientizar y formar en materia de seguridad de la información a todo el personal.</v>
      </c>
      <c r="F68" s="107" t="n">
        <f aca="false">GH.2</f>
        <v>0</v>
      </c>
      <c r="G68" s="97" t="n">
        <f aca="false">Madurez!D46</f>
        <v>1</v>
      </c>
      <c r="H68" s="80"/>
      <c r="I68" s="80"/>
      <c r="J68" s="1"/>
      <c r="K68" s="1"/>
      <c r="L68" s="1"/>
      <c r="M68" s="1"/>
      <c r="N68" s="1"/>
      <c r="O68" s="1"/>
      <c r="P68" s="1"/>
      <c r="Q68" s="1"/>
      <c r="R68" s="1"/>
      <c r="S68" s="1"/>
      <c r="T68" s="1"/>
      <c r="U68" s="1"/>
      <c r="V68" s="1"/>
      <c r="W68" s="1"/>
      <c r="X68" s="1"/>
      <c r="Y68" s="1"/>
      <c r="Z68" s="1"/>
    </row>
    <row r="69" customFormat="false" ht="30" hidden="false" customHeight="true" outlineLevel="0" collapsed="false">
      <c r="A69" s="108" t="s">
        <v>426</v>
      </c>
      <c r="B69" s="109" t="s">
        <v>429</v>
      </c>
      <c r="C69" s="109" t="n">
        <v>1</v>
      </c>
      <c r="D69" s="109" t="s">
        <v>180</v>
      </c>
      <c r="E69" s="77" t="str">
        <f aca="false">VLOOKUP($D69,REQUISITOS,2,FALSE())</f>
        <v>Respaldar la información y realizar pruebas de restauración periódicas.</v>
      </c>
      <c r="F69" s="78" t="n">
        <f aca="false">SO.6</f>
        <v>0</v>
      </c>
      <c r="G69" s="79" t="n">
        <f aca="false">Madurez!D47</f>
        <v>1</v>
      </c>
      <c r="H69" s="80" t="n">
        <f aca="false">AVERAGE(G69:G84)</f>
        <v>0.75</v>
      </c>
      <c r="I69" s="80"/>
      <c r="J69" s="1"/>
      <c r="K69" s="1"/>
      <c r="L69" s="1"/>
      <c r="M69" s="1"/>
      <c r="N69" s="1"/>
      <c r="O69" s="1"/>
      <c r="P69" s="1"/>
      <c r="Q69" s="1"/>
      <c r="R69" s="1"/>
      <c r="S69" s="1"/>
      <c r="T69" s="1"/>
      <c r="U69" s="1"/>
      <c r="V69" s="1"/>
      <c r="W69" s="1"/>
      <c r="X69" s="1"/>
      <c r="Y69" s="1"/>
      <c r="Z69" s="1"/>
    </row>
    <row r="70" customFormat="false" ht="30" hidden="false" customHeight="true" outlineLevel="0" collapsed="false">
      <c r="A70" s="118" t="s">
        <v>426</v>
      </c>
      <c r="B70" s="119" t="s">
        <v>429</v>
      </c>
      <c r="C70" s="119" t="n">
        <v>1</v>
      </c>
      <c r="D70" s="119" t="s">
        <v>56</v>
      </c>
      <c r="E70" s="83" t="str">
        <f aca="false">VLOOKUP($D70,REQUISITOS,2,FALSE())</f>
        <v>Establecer controles criptográficos.</v>
      </c>
      <c r="F70" s="84" t="n">
        <f aca="false">CA.3</f>
        <v>0</v>
      </c>
      <c r="G70" s="79"/>
      <c r="H70" s="80"/>
      <c r="I70" s="80"/>
      <c r="J70" s="1"/>
      <c r="K70" s="1"/>
      <c r="L70" s="1"/>
      <c r="M70" s="1"/>
      <c r="N70" s="1"/>
      <c r="O70" s="1"/>
      <c r="P70" s="1"/>
      <c r="Q70" s="1"/>
      <c r="R70" s="1"/>
      <c r="S70" s="1"/>
      <c r="T70" s="1"/>
      <c r="U70" s="1"/>
      <c r="V70" s="1"/>
      <c r="W70" s="1"/>
      <c r="X70" s="1"/>
      <c r="Y70" s="1"/>
      <c r="Z70" s="1"/>
    </row>
    <row r="71" customFormat="false" ht="30" hidden="false" customHeight="true" outlineLevel="0" collapsed="false">
      <c r="A71" s="110" t="s">
        <v>426</v>
      </c>
      <c r="B71" s="111" t="s">
        <v>429</v>
      </c>
      <c r="C71" s="111" t="n">
        <v>1</v>
      </c>
      <c r="D71" s="111" t="s">
        <v>58</v>
      </c>
      <c r="E71" s="87" t="str">
        <f aca="false">VLOOKUP($D71,REQUISITOS,2,FALSE())</f>
        <v>Establecer los controles para el uso de firma electrónica.</v>
      </c>
      <c r="F71" s="88" t="n">
        <f aca="false">CA.4</f>
        <v>0</v>
      </c>
      <c r="G71" s="79"/>
      <c r="H71" s="80"/>
      <c r="I71" s="80"/>
      <c r="J71" s="1"/>
      <c r="K71" s="1"/>
      <c r="L71" s="1"/>
      <c r="M71" s="1"/>
      <c r="N71" s="1"/>
      <c r="O71" s="1"/>
      <c r="P71" s="1"/>
      <c r="Q71" s="1"/>
      <c r="R71" s="1"/>
      <c r="S71" s="1"/>
      <c r="T71" s="1"/>
      <c r="U71" s="1"/>
      <c r="V71" s="1"/>
      <c r="W71" s="1"/>
      <c r="X71" s="1"/>
      <c r="Y71" s="1"/>
      <c r="Z71" s="1"/>
    </row>
    <row r="72" customFormat="false" ht="30" hidden="false" customHeight="true" outlineLevel="0" collapsed="false">
      <c r="A72" s="108" t="s">
        <v>426</v>
      </c>
      <c r="B72" s="109" t="s">
        <v>429</v>
      </c>
      <c r="C72" s="109" t="n">
        <v>2</v>
      </c>
      <c r="D72" s="109" t="s">
        <v>160</v>
      </c>
      <c r="E72" s="77" t="str">
        <f aca="false">VLOOKUP($D72,REQUISITOS,2,FALSE())</f>
        <v>Mantener la seguridad de la información durante su intercambio dentro o fuera de la organización.</v>
      </c>
      <c r="F72" s="78" t="str">
        <f aca="false">SC.14</f>
        <v>Cumple</v>
      </c>
      <c r="G72" s="79" t="n">
        <f aca="false">Madurez!D48</f>
        <v>1</v>
      </c>
      <c r="H72" s="80"/>
      <c r="I72" s="80"/>
      <c r="J72" s="1"/>
      <c r="K72" s="1"/>
      <c r="L72" s="1"/>
      <c r="M72" s="1"/>
      <c r="N72" s="1"/>
      <c r="O72" s="1"/>
      <c r="P72" s="1"/>
      <c r="Q72" s="1"/>
      <c r="R72" s="1"/>
      <c r="S72" s="1"/>
      <c r="T72" s="1"/>
      <c r="U72" s="1"/>
      <c r="V72" s="1"/>
      <c r="W72" s="1"/>
      <c r="X72" s="1"/>
      <c r="Y72" s="1"/>
      <c r="Z72" s="1"/>
    </row>
    <row r="73" customFormat="false" ht="30" hidden="false" customHeight="true" outlineLevel="0" collapsed="false">
      <c r="A73" s="118" t="s">
        <v>426</v>
      </c>
      <c r="B73" s="119" t="s">
        <v>429</v>
      </c>
      <c r="C73" s="119" t="n">
        <v>2</v>
      </c>
      <c r="D73" s="119" t="s">
        <v>56</v>
      </c>
      <c r="E73" s="83" t="str">
        <f aca="false">VLOOKUP($D73,REQUISITOS,2,FALSE())</f>
        <v>Establecer controles criptográficos.</v>
      </c>
      <c r="F73" s="84" t="n">
        <f aca="false">CA.3</f>
        <v>0</v>
      </c>
      <c r="G73" s="79"/>
      <c r="H73" s="80"/>
      <c r="I73" s="80"/>
      <c r="J73" s="1"/>
      <c r="K73" s="1"/>
      <c r="L73" s="1"/>
      <c r="M73" s="1"/>
      <c r="N73" s="1"/>
      <c r="O73" s="1"/>
      <c r="P73" s="1"/>
      <c r="Q73" s="1"/>
      <c r="R73" s="1"/>
      <c r="S73" s="1"/>
      <c r="T73" s="1"/>
      <c r="U73" s="1"/>
      <c r="V73" s="1"/>
      <c r="W73" s="1"/>
      <c r="X73" s="1"/>
      <c r="Y73" s="1"/>
      <c r="Z73" s="1"/>
    </row>
    <row r="74" customFormat="false" ht="30" hidden="false" customHeight="true" outlineLevel="0" collapsed="false">
      <c r="A74" s="110" t="s">
        <v>426</v>
      </c>
      <c r="B74" s="111" t="s">
        <v>429</v>
      </c>
      <c r="C74" s="111" t="n">
        <v>2</v>
      </c>
      <c r="D74" s="111" t="s">
        <v>58</v>
      </c>
      <c r="E74" s="87" t="str">
        <f aca="false">VLOOKUP($D74,REQUISITOS,2,FALSE())</f>
        <v>Establecer los controles para el uso de firma electrónica.</v>
      </c>
      <c r="F74" s="88" t="n">
        <f aca="false">CA.4</f>
        <v>0</v>
      </c>
      <c r="G74" s="79"/>
      <c r="H74" s="80"/>
      <c r="I74" s="80"/>
      <c r="J74" s="1"/>
      <c r="K74" s="1"/>
      <c r="L74" s="1"/>
      <c r="M74" s="1"/>
      <c r="N74" s="1"/>
      <c r="O74" s="1"/>
      <c r="P74" s="1"/>
      <c r="Q74" s="1"/>
      <c r="R74" s="1"/>
      <c r="S74" s="1"/>
      <c r="T74" s="1"/>
      <c r="U74" s="1"/>
      <c r="V74" s="1"/>
      <c r="W74" s="1"/>
      <c r="X74" s="1"/>
      <c r="Y74" s="1"/>
      <c r="Z74" s="1"/>
    </row>
    <row r="75" customFormat="false" ht="30" hidden="false" customHeight="true" outlineLevel="0" collapsed="false">
      <c r="A75" s="116" t="s">
        <v>426</v>
      </c>
      <c r="B75" s="117" t="s">
        <v>429</v>
      </c>
      <c r="C75" s="117" t="n">
        <v>3</v>
      </c>
      <c r="D75" s="117" t="s">
        <v>88</v>
      </c>
      <c r="E75" s="106" t="str">
        <f aca="false">VLOOKUP($D75,REQUISITOS,2,FALSE())</f>
        <v>Establecer los mecanismos para destruir la información y medios de almacenamiento.</v>
      </c>
      <c r="F75" s="107" t="n">
        <f aca="false">GA.5</f>
        <v>0</v>
      </c>
      <c r="G75" s="97" t="n">
        <f aca="false">Madurez!D49</f>
        <v>0</v>
      </c>
      <c r="H75" s="80"/>
      <c r="I75" s="80"/>
      <c r="J75" s="1"/>
      <c r="K75" s="1"/>
      <c r="L75" s="1"/>
      <c r="M75" s="1"/>
      <c r="N75" s="1"/>
      <c r="O75" s="1"/>
      <c r="P75" s="1"/>
      <c r="Q75" s="1"/>
      <c r="R75" s="1"/>
      <c r="S75" s="1"/>
      <c r="T75" s="1"/>
      <c r="U75" s="1"/>
      <c r="V75" s="1"/>
      <c r="W75" s="1"/>
      <c r="X75" s="1"/>
      <c r="Y75" s="1"/>
      <c r="Z75" s="1"/>
    </row>
    <row r="76" customFormat="false" ht="30" hidden="false" customHeight="true" outlineLevel="0" collapsed="false">
      <c r="A76" s="116" t="s">
        <v>426</v>
      </c>
      <c r="B76" s="117" t="s">
        <v>429</v>
      </c>
      <c r="C76" s="117" t="n">
        <v>4</v>
      </c>
      <c r="D76" s="117" t="s">
        <v>174</v>
      </c>
      <c r="E76" s="106" t="str">
        <f aca="false">VLOOKUP($D76,REQUISITOS,2,FALSE())</f>
        <v>Gestionar la capacidad de los servicios y recursos que se encuentran operativos.</v>
      </c>
      <c r="F76" s="107" t="n">
        <f aca="false">SO.3</f>
        <v>0</v>
      </c>
      <c r="G76" s="97" t="n">
        <f aca="false">Madurez!D50</f>
        <v>1</v>
      </c>
      <c r="H76" s="80"/>
      <c r="I76" s="80"/>
      <c r="J76" s="1"/>
      <c r="K76" s="1"/>
      <c r="L76" s="1"/>
      <c r="M76" s="1"/>
      <c r="N76" s="1"/>
      <c r="O76" s="1"/>
      <c r="P76" s="1"/>
      <c r="Q76" s="1"/>
      <c r="R76" s="1"/>
      <c r="S76" s="1"/>
      <c r="T76" s="1"/>
      <c r="U76" s="1"/>
      <c r="V76" s="1"/>
      <c r="W76" s="1"/>
      <c r="X76" s="1"/>
      <c r="Y76" s="1"/>
      <c r="Z76" s="1"/>
    </row>
    <row r="77" customFormat="false" ht="30" hidden="false" customHeight="true" outlineLevel="0" collapsed="false">
      <c r="A77" s="114" t="s">
        <v>426</v>
      </c>
      <c r="B77" s="115" t="s">
        <v>429</v>
      </c>
      <c r="C77" s="115" t="n">
        <v>5</v>
      </c>
      <c r="D77" s="115" t="s">
        <v>90</v>
      </c>
      <c r="E77" s="95" t="str">
        <f aca="false">VLOOKUP($D77,REQUISITOS,2,FALSE())</f>
        <v>Establecer acuerdos contractuales con el personal donde figuren sus responsabilidades y las de la organización respecto a la seguridad de la información.</v>
      </c>
      <c r="F77" s="96" t="n">
        <f aca="false">GH.1</f>
        <v>0</v>
      </c>
      <c r="G77" s="97" t="n">
        <f aca="false">Madurez!D51</f>
        <v>0</v>
      </c>
      <c r="H77" s="80"/>
      <c r="I77" s="80"/>
      <c r="J77" s="1"/>
      <c r="K77" s="1"/>
      <c r="L77" s="1"/>
      <c r="M77" s="1"/>
      <c r="N77" s="1"/>
      <c r="O77" s="1"/>
      <c r="P77" s="1"/>
      <c r="Q77" s="1"/>
      <c r="R77" s="1"/>
      <c r="S77" s="1"/>
      <c r="T77" s="1"/>
      <c r="U77" s="1"/>
      <c r="V77" s="1"/>
      <c r="W77" s="1"/>
      <c r="X77" s="1"/>
      <c r="Y77" s="1"/>
      <c r="Z77" s="1"/>
    </row>
    <row r="78" customFormat="false" ht="30" hidden="false" customHeight="true" outlineLevel="0" collapsed="false">
      <c r="A78" s="114" t="s">
        <v>426</v>
      </c>
      <c r="B78" s="115" t="s">
        <v>429</v>
      </c>
      <c r="C78" s="115" t="n">
        <v>5</v>
      </c>
      <c r="D78" s="120" t="s">
        <v>86</v>
      </c>
      <c r="E78" s="121" t="str">
        <f aca="false">VLOOKUP($D78,REQUISITOS,2,FALSE())</f>
        <v>Gestionar los medios de almacenamiento.</v>
      </c>
      <c r="F78" s="122" t="n">
        <f aca="false">GA.4</f>
        <v>0</v>
      </c>
      <c r="G78" s="97"/>
      <c r="H78" s="80"/>
      <c r="I78" s="80"/>
      <c r="J78" s="1"/>
      <c r="K78" s="1"/>
      <c r="L78" s="1"/>
      <c r="M78" s="1"/>
      <c r="N78" s="1"/>
      <c r="O78" s="1"/>
      <c r="P78" s="1"/>
      <c r="Q78" s="1"/>
      <c r="R78" s="1"/>
      <c r="S78" s="1"/>
      <c r="T78" s="1"/>
      <c r="U78" s="1"/>
      <c r="V78" s="1"/>
      <c r="W78" s="1"/>
      <c r="X78" s="1"/>
      <c r="Y78" s="1"/>
      <c r="Z78" s="1"/>
    </row>
    <row r="79" customFormat="false" ht="30" hidden="false" customHeight="true" outlineLevel="0" collapsed="false">
      <c r="A79" s="110" t="s">
        <v>426</v>
      </c>
      <c r="B79" s="111" t="s">
        <v>429</v>
      </c>
      <c r="C79" s="111" t="n">
        <v>5</v>
      </c>
      <c r="D79" s="111" t="s">
        <v>144</v>
      </c>
      <c r="E79" s="87" t="str">
        <f aca="false">VLOOKUP($D79,REQUISITOS,2,FALSE())</f>
        <v>Establecer acuerdos de no divulgación.</v>
      </c>
      <c r="F79" s="88" t="n">
        <f aca="false">SC.6</f>
        <v>0</v>
      </c>
      <c r="G79" s="97"/>
      <c r="H79" s="80"/>
      <c r="I79" s="80"/>
      <c r="J79" s="1"/>
      <c r="K79" s="1"/>
      <c r="L79" s="1"/>
      <c r="M79" s="1"/>
      <c r="N79" s="1"/>
      <c r="O79" s="1"/>
      <c r="P79" s="1"/>
      <c r="Q79" s="1"/>
      <c r="R79" s="1"/>
      <c r="S79" s="1"/>
      <c r="T79" s="1"/>
      <c r="U79" s="1"/>
      <c r="V79" s="1"/>
      <c r="W79" s="1"/>
      <c r="X79" s="1"/>
      <c r="Y79" s="1"/>
      <c r="Z79" s="1"/>
    </row>
    <row r="80" customFormat="false" ht="30" hidden="false" customHeight="true" outlineLevel="0" collapsed="false">
      <c r="A80" s="114" t="s">
        <v>426</v>
      </c>
      <c r="B80" s="115" t="s">
        <v>429</v>
      </c>
      <c r="C80" s="115" t="n">
        <v>6</v>
      </c>
      <c r="D80" s="115" t="s">
        <v>178</v>
      </c>
      <c r="E80" s="95" t="str">
        <f aca="false">VLOOKUP($D80,REQUISITOS,2,FALSE())</f>
        <v>Controlar software malicioso.</v>
      </c>
      <c r="F80" s="96" t="n">
        <f aca="false">SO.5</f>
        <v>0</v>
      </c>
      <c r="G80" s="97" t="n">
        <f aca="false">Madurez!D52</f>
        <v>1</v>
      </c>
      <c r="H80" s="80"/>
      <c r="I80" s="80"/>
      <c r="J80" s="1"/>
      <c r="K80" s="1"/>
      <c r="L80" s="1"/>
      <c r="M80" s="1"/>
      <c r="N80" s="1"/>
      <c r="O80" s="1"/>
      <c r="P80" s="1"/>
      <c r="Q80" s="1"/>
      <c r="R80" s="1"/>
      <c r="S80" s="1"/>
      <c r="T80" s="1"/>
      <c r="U80" s="1"/>
      <c r="V80" s="1"/>
      <c r="W80" s="1"/>
      <c r="X80" s="1"/>
      <c r="Y80" s="1"/>
      <c r="Z80" s="1"/>
    </row>
    <row r="81" customFormat="false" ht="30" hidden="false" customHeight="true" outlineLevel="0" collapsed="false">
      <c r="A81" s="110" t="s">
        <v>426</v>
      </c>
      <c r="B81" s="111" t="s">
        <v>429</v>
      </c>
      <c r="C81" s="111" t="n">
        <v>6</v>
      </c>
      <c r="D81" s="111" t="s">
        <v>184</v>
      </c>
      <c r="E81" s="87" t="str">
        <f aca="false">VLOOKUP($D81,REQUISITOS,2,FALSE())</f>
        <v>Gestionar la instalación de software.</v>
      </c>
      <c r="F81" s="88" t="n">
        <f aca="false">SO.8</f>
        <v>0</v>
      </c>
      <c r="G81" s="97"/>
      <c r="H81" s="80"/>
      <c r="I81" s="80"/>
      <c r="J81" s="1"/>
      <c r="K81" s="1"/>
      <c r="L81" s="1"/>
      <c r="M81" s="1"/>
      <c r="N81" s="1"/>
      <c r="O81" s="1"/>
      <c r="P81" s="1"/>
      <c r="Q81" s="1"/>
      <c r="R81" s="1"/>
      <c r="S81" s="1"/>
      <c r="T81" s="1"/>
      <c r="U81" s="1"/>
      <c r="V81" s="1"/>
      <c r="W81" s="1"/>
      <c r="X81" s="1"/>
      <c r="Y81" s="1"/>
      <c r="Z81" s="1"/>
    </row>
    <row r="82" customFormat="false" ht="30" hidden="false" customHeight="true" outlineLevel="0" collapsed="false">
      <c r="A82" s="116" t="s">
        <v>426</v>
      </c>
      <c r="B82" s="117" t="s">
        <v>429</v>
      </c>
      <c r="C82" s="117" t="n">
        <v>7</v>
      </c>
      <c r="D82" s="117" t="s">
        <v>176</v>
      </c>
      <c r="E82" s="106" t="str">
        <f aca="false">VLOOKUP($D82,REQUISITOS,2,FALSE())</f>
        <v>Definir entornos separados para desarrollo, pruebas y producción.</v>
      </c>
      <c r="F82" s="107" t="n">
        <f aca="false">SO.4</f>
        <v>0</v>
      </c>
      <c r="G82" s="97" t="n">
        <f aca="false">Madurez!D53</f>
        <v>1</v>
      </c>
      <c r="H82" s="80"/>
      <c r="I82" s="80"/>
      <c r="J82" s="1"/>
      <c r="K82" s="1"/>
      <c r="L82" s="1"/>
      <c r="M82" s="1"/>
      <c r="N82" s="1"/>
      <c r="O82" s="1"/>
      <c r="P82" s="1"/>
      <c r="Q82" s="1"/>
      <c r="R82" s="1"/>
      <c r="S82" s="1"/>
      <c r="T82" s="1"/>
      <c r="U82" s="1"/>
      <c r="V82" s="1"/>
      <c r="W82" s="1"/>
      <c r="X82" s="1"/>
      <c r="Y82" s="1"/>
      <c r="Z82" s="1"/>
    </row>
    <row r="83" customFormat="false" ht="30" hidden="false" customHeight="true" outlineLevel="0" collapsed="false">
      <c r="A83" s="114" t="s">
        <v>426</v>
      </c>
      <c r="B83" s="115" t="s">
        <v>429</v>
      </c>
      <c r="C83" s="115" t="n">
        <v>8</v>
      </c>
      <c r="D83" s="115" t="s">
        <v>166</v>
      </c>
      <c r="E83" s="95" t="str">
        <f aca="false">VLOOKUP($D83,REQUISITOS,2,FALSE())</f>
        <v>Implementar controles ambientales en los centros de datos y áreas relacionadas.</v>
      </c>
      <c r="F83" s="96" t="n">
        <f aca="false">SF.2</f>
        <v>0</v>
      </c>
      <c r="G83" s="97" t="n">
        <f aca="false">Madurez!D54</f>
        <v>1</v>
      </c>
      <c r="H83" s="80"/>
      <c r="I83" s="80"/>
      <c r="J83" s="1"/>
      <c r="K83" s="1"/>
      <c r="L83" s="1"/>
      <c r="M83" s="1"/>
      <c r="N83" s="1"/>
      <c r="O83" s="1"/>
      <c r="P83" s="1"/>
      <c r="Q83" s="1"/>
      <c r="R83" s="1"/>
      <c r="S83" s="1"/>
      <c r="T83" s="1"/>
      <c r="U83" s="1"/>
      <c r="V83" s="1"/>
      <c r="W83" s="1"/>
      <c r="X83" s="1"/>
      <c r="Y83" s="1"/>
      <c r="Z83" s="1"/>
    </row>
    <row r="84" customFormat="false" ht="30" hidden="false" customHeight="true" outlineLevel="0" collapsed="false">
      <c r="A84" s="110" t="s">
        <v>426</v>
      </c>
      <c r="B84" s="111" t="s">
        <v>429</v>
      </c>
      <c r="C84" s="111" t="n">
        <v>8</v>
      </c>
      <c r="D84" s="111" t="s">
        <v>168</v>
      </c>
      <c r="E84" s="87" t="str">
        <f aca="false">VLOOKUP($D84,REQUISITOS,2,FALSE())</f>
        <v>Contar con un sistema de gestión y monitoreo centralizado capaz de alertar fallas sobre el equipamiento y establecer el mantenimiento de los componentes críticos.</v>
      </c>
      <c r="F84" s="88" t="n">
        <f aca="false">SF.3</f>
        <v>0</v>
      </c>
      <c r="G84" s="97"/>
      <c r="H84" s="80"/>
      <c r="I84" s="80"/>
      <c r="J84" s="1"/>
      <c r="K84" s="1"/>
      <c r="L84" s="1"/>
      <c r="M84" s="1"/>
      <c r="N84" s="1"/>
      <c r="O84" s="1"/>
      <c r="P84" s="1"/>
      <c r="Q84" s="1"/>
      <c r="R84" s="1"/>
      <c r="S84" s="1"/>
      <c r="T84" s="1"/>
      <c r="U84" s="1"/>
      <c r="V84" s="1"/>
      <c r="W84" s="1"/>
      <c r="X84" s="1"/>
      <c r="Y84" s="1"/>
      <c r="Z84" s="1"/>
    </row>
    <row r="85" customFormat="false" ht="30" hidden="false" customHeight="true" outlineLevel="0" collapsed="false">
      <c r="A85" s="112" t="s">
        <v>426</v>
      </c>
      <c r="B85" s="113" t="s">
        <v>430</v>
      </c>
      <c r="C85" s="113" t="n">
        <v>1</v>
      </c>
      <c r="D85" s="113" t="s">
        <v>172</v>
      </c>
      <c r="E85" s="91" t="str">
        <f aca="false">VLOOKUP($D85,REQUISITOS,2,FALSE())</f>
        <v>Gestionar formalmente los cambios.</v>
      </c>
      <c r="F85" s="92" t="n">
        <f aca="false">SO.2</f>
        <v>0</v>
      </c>
      <c r="G85" s="79" t="n">
        <f aca="false">Madurez!D55</f>
        <v>0</v>
      </c>
      <c r="H85" s="80" t="n">
        <f aca="false">AVERAGE(G85:G105)</f>
        <v>0.5833333333</v>
      </c>
      <c r="I85" s="80"/>
      <c r="J85" s="1"/>
      <c r="K85" s="1"/>
      <c r="L85" s="1"/>
      <c r="M85" s="1"/>
      <c r="N85" s="1"/>
      <c r="O85" s="1"/>
      <c r="P85" s="1"/>
      <c r="Q85" s="1"/>
      <c r="R85" s="1"/>
      <c r="S85" s="1"/>
      <c r="T85" s="1"/>
      <c r="U85" s="1"/>
      <c r="V85" s="1"/>
      <c r="W85" s="1"/>
      <c r="X85" s="1"/>
      <c r="Y85" s="1"/>
      <c r="Z85" s="1"/>
    </row>
    <row r="86" customFormat="false" ht="30" hidden="false" customHeight="true" outlineLevel="0" collapsed="false">
      <c r="A86" s="114" t="s">
        <v>426</v>
      </c>
      <c r="B86" s="115" t="s">
        <v>430</v>
      </c>
      <c r="C86" s="115" t="n">
        <v>2</v>
      </c>
      <c r="D86" s="115" t="s">
        <v>50</v>
      </c>
      <c r="E86" s="95" t="str">
        <f aca="false">VLOOKUP($D86,REQUISITOS,2,FALSE())</f>
        <v>Incluir requisitos de seguridad de la información durante todo el ciclo de vida de los proyectos de desarrollo o adquisiciones de software.</v>
      </c>
      <c r="F86" s="96" t="n">
        <f aca="false">AD.1</f>
        <v>0</v>
      </c>
      <c r="G86" s="97" t="n">
        <f aca="false">Madurez!D56</f>
        <v>1</v>
      </c>
      <c r="H86" s="80"/>
      <c r="I86" s="80"/>
      <c r="J86" s="1"/>
      <c r="K86" s="1"/>
      <c r="L86" s="1"/>
      <c r="M86" s="1"/>
      <c r="N86" s="1"/>
      <c r="O86" s="1"/>
      <c r="P86" s="1"/>
      <c r="Q86" s="1"/>
      <c r="R86" s="1"/>
      <c r="S86" s="1"/>
      <c r="T86" s="1"/>
      <c r="U86" s="1"/>
      <c r="V86" s="1"/>
      <c r="W86" s="1"/>
      <c r="X86" s="1"/>
      <c r="Y86" s="1"/>
      <c r="Z86" s="1"/>
    </row>
    <row r="87" customFormat="false" ht="30" hidden="false" customHeight="true" outlineLevel="0" collapsed="false">
      <c r="A87" s="110" t="s">
        <v>426</v>
      </c>
      <c r="B87" s="111" t="s">
        <v>430</v>
      </c>
      <c r="C87" s="111" t="n">
        <v>2</v>
      </c>
      <c r="D87" s="111" t="s">
        <v>118</v>
      </c>
      <c r="E87" s="87" t="str">
        <f aca="false">VLOOKUP($D87,REQUISITOS,2,FALSE())</f>
        <v>Abordar la seguridad de la información en la gestión de los proyectos.</v>
      </c>
      <c r="F87" s="88" t="n">
        <f aca="false">OR.4</f>
        <v>0</v>
      </c>
      <c r="G87" s="97"/>
      <c r="H87" s="80"/>
      <c r="I87" s="80"/>
      <c r="J87" s="1"/>
      <c r="K87" s="1"/>
      <c r="L87" s="1"/>
      <c r="M87" s="1"/>
      <c r="N87" s="1"/>
      <c r="O87" s="1"/>
      <c r="P87" s="1"/>
      <c r="Q87" s="1"/>
      <c r="R87" s="1"/>
      <c r="S87" s="1"/>
      <c r="T87" s="1"/>
      <c r="U87" s="1"/>
      <c r="V87" s="1"/>
      <c r="W87" s="1"/>
      <c r="X87" s="1"/>
      <c r="Y87" s="1"/>
      <c r="Z87" s="1"/>
    </row>
    <row r="88" customFormat="false" ht="30" hidden="false" customHeight="true" outlineLevel="0" collapsed="false">
      <c r="A88" s="108" t="s">
        <v>426</v>
      </c>
      <c r="B88" s="109" t="s">
        <v>430</v>
      </c>
      <c r="C88" s="109" t="n">
        <v>3</v>
      </c>
      <c r="D88" s="109" t="s">
        <v>172</v>
      </c>
      <c r="E88" s="77" t="str">
        <f aca="false">VLOOKUP($D88,REQUISITOS,2,FALSE())</f>
        <v>Gestionar formalmente los cambios.</v>
      </c>
      <c r="F88" s="78" t="n">
        <f aca="false">SO.2</f>
        <v>0</v>
      </c>
      <c r="G88" s="79" t="n">
        <f aca="false">Madurez!D57</f>
        <v>0</v>
      </c>
      <c r="H88" s="80"/>
      <c r="I88" s="80"/>
      <c r="J88" s="1"/>
      <c r="K88" s="1"/>
      <c r="L88" s="1"/>
      <c r="M88" s="1"/>
      <c r="N88" s="1"/>
      <c r="O88" s="1"/>
      <c r="P88" s="1"/>
      <c r="Q88" s="1"/>
      <c r="R88" s="1"/>
      <c r="S88" s="1"/>
      <c r="T88" s="1"/>
      <c r="U88" s="1"/>
      <c r="V88" s="1"/>
      <c r="W88" s="1"/>
      <c r="X88" s="1"/>
      <c r="Y88" s="1"/>
      <c r="Z88" s="1"/>
    </row>
    <row r="89" customFormat="false" ht="30" hidden="false" customHeight="true" outlineLevel="0" collapsed="false">
      <c r="A89" s="110" t="s">
        <v>426</v>
      </c>
      <c r="B89" s="111" t="s">
        <v>430</v>
      </c>
      <c r="C89" s="111" t="n">
        <v>3</v>
      </c>
      <c r="D89" s="111" t="s">
        <v>184</v>
      </c>
      <c r="E89" s="87" t="str">
        <f aca="false">VLOOKUP($D89,REQUISITOS,2,FALSE())</f>
        <v>Gestionar la instalación de software.</v>
      </c>
      <c r="F89" s="88" t="n">
        <f aca="false">SO.8</f>
        <v>0</v>
      </c>
      <c r="G89" s="79"/>
      <c r="H89" s="80"/>
      <c r="I89" s="80"/>
      <c r="J89" s="1"/>
      <c r="K89" s="1"/>
      <c r="L89" s="1"/>
      <c r="M89" s="1"/>
      <c r="N89" s="1"/>
      <c r="O89" s="1"/>
      <c r="P89" s="1"/>
      <c r="Q89" s="1"/>
      <c r="R89" s="1"/>
      <c r="S89" s="1"/>
      <c r="T89" s="1"/>
      <c r="U89" s="1"/>
      <c r="V89" s="1"/>
      <c r="W89" s="1"/>
      <c r="X89" s="1"/>
      <c r="Y89" s="1"/>
      <c r="Z89" s="1"/>
    </row>
    <row r="90" customFormat="false" ht="30" hidden="false" customHeight="true" outlineLevel="0" collapsed="false">
      <c r="A90" s="116" t="s">
        <v>426</v>
      </c>
      <c r="B90" s="117" t="s">
        <v>430</v>
      </c>
      <c r="C90" s="117" t="n">
        <v>4</v>
      </c>
      <c r="D90" s="117" t="s">
        <v>180</v>
      </c>
      <c r="E90" s="106" t="str">
        <f aca="false">VLOOKUP($D90,REQUISITOS,2,FALSE())</f>
        <v>Respaldar la información y realizar pruebas de restauración periódicas.</v>
      </c>
      <c r="F90" s="107" t="n">
        <f aca="false">SO.6</f>
        <v>0</v>
      </c>
      <c r="G90" s="97" t="n">
        <f aca="false">Madurez!D58</f>
        <v>1</v>
      </c>
      <c r="H90" s="80"/>
      <c r="I90" s="80"/>
      <c r="J90" s="1"/>
      <c r="K90" s="1"/>
      <c r="L90" s="1"/>
      <c r="M90" s="1"/>
      <c r="N90" s="1"/>
      <c r="O90" s="1"/>
      <c r="P90" s="1"/>
      <c r="Q90" s="1"/>
      <c r="R90" s="1"/>
      <c r="S90" s="1"/>
      <c r="T90" s="1"/>
      <c r="U90" s="1"/>
      <c r="V90" s="1"/>
      <c r="W90" s="1"/>
      <c r="X90" s="1"/>
      <c r="Y90" s="1"/>
      <c r="Z90" s="1"/>
    </row>
    <row r="91" customFormat="false" ht="30" hidden="false" customHeight="true" outlineLevel="0" collapsed="false">
      <c r="A91" s="108" t="s">
        <v>426</v>
      </c>
      <c r="B91" s="109" t="s">
        <v>430</v>
      </c>
      <c r="C91" s="109" t="n">
        <v>5</v>
      </c>
      <c r="D91" s="109" t="s">
        <v>166</v>
      </c>
      <c r="E91" s="77" t="str">
        <f aca="false">VLOOKUP($D91,REQUISITOS,2,FALSE())</f>
        <v>Implementar controles ambientales en los centros de datos y áreas relacionadas.</v>
      </c>
      <c r="F91" s="78" t="n">
        <f aca="false">SF.2</f>
        <v>0</v>
      </c>
      <c r="G91" s="79" t="n">
        <f aca="false">Madurez!D59</f>
        <v>0</v>
      </c>
      <c r="H91" s="80"/>
      <c r="I91" s="80"/>
      <c r="J91" s="1"/>
      <c r="K91" s="1"/>
      <c r="L91" s="1"/>
      <c r="M91" s="1"/>
      <c r="N91" s="1"/>
      <c r="O91" s="1"/>
      <c r="P91" s="1"/>
      <c r="Q91" s="1"/>
      <c r="R91" s="1"/>
      <c r="S91" s="1"/>
      <c r="T91" s="1"/>
      <c r="U91" s="1"/>
      <c r="V91" s="1"/>
      <c r="W91" s="1"/>
      <c r="X91" s="1"/>
      <c r="Y91" s="1"/>
      <c r="Z91" s="1"/>
    </row>
    <row r="92" customFormat="false" ht="30" hidden="false" customHeight="true" outlineLevel="0" collapsed="false">
      <c r="A92" s="110" t="s">
        <v>426</v>
      </c>
      <c r="B92" s="111" t="s">
        <v>430</v>
      </c>
      <c r="C92" s="111" t="n">
        <v>5</v>
      </c>
      <c r="D92" s="111" t="s">
        <v>168</v>
      </c>
      <c r="E92" s="87" t="str">
        <f aca="false">VLOOKUP($D92,REQUISITOS,2,FALSE())</f>
        <v>Contar con un sistema de gestión y monitoreo centralizado capaz de alertar fallas sobre el equipamiento y establecer el mantenimiento de los componentes críticos.</v>
      </c>
      <c r="F92" s="88" t="n">
        <f aca="false">SF.3</f>
        <v>0</v>
      </c>
      <c r="G92" s="79"/>
      <c r="H92" s="80"/>
      <c r="I92" s="80"/>
      <c r="J92" s="1"/>
      <c r="K92" s="1"/>
      <c r="L92" s="1"/>
      <c r="M92" s="1"/>
      <c r="N92" s="1"/>
      <c r="O92" s="1"/>
      <c r="P92" s="1"/>
      <c r="Q92" s="1"/>
      <c r="R92" s="1"/>
      <c r="S92" s="1"/>
      <c r="T92" s="1"/>
      <c r="U92" s="1"/>
      <c r="V92" s="1"/>
      <c r="W92" s="1"/>
      <c r="X92" s="1"/>
      <c r="Y92" s="1"/>
      <c r="Z92" s="1"/>
    </row>
    <row r="93" customFormat="false" ht="30" hidden="false" customHeight="true" outlineLevel="0" collapsed="false">
      <c r="A93" s="116" t="s">
        <v>426</v>
      </c>
      <c r="B93" s="117" t="s">
        <v>430</v>
      </c>
      <c r="C93" s="117" t="n">
        <v>6</v>
      </c>
      <c r="D93" s="117" t="s">
        <v>88</v>
      </c>
      <c r="E93" s="106" t="str">
        <f aca="false">VLOOKUP($D93,REQUISITOS,2,FALSE())</f>
        <v>Establecer los mecanismos para destruir la información y medios de almacenamiento.</v>
      </c>
      <c r="F93" s="107" t="n">
        <f aca="false">GA.5</f>
        <v>0</v>
      </c>
      <c r="G93" s="97" t="n">
        <f aca="false">Madurez!D60</f>
        <v>1</v>
      </c>
      <c r="H93" s="80"/>
      <c r="I93" s="80"/>
      <c r="J93" s="1"/>
      <c r="K93" s="1"/>
      <c r="L93" s="1"/>
      <c r="M93" s="1"/>
      <c r="N93" s="1"/>
      <c r="O93" s="1"/>
      <c r="P93" s="1"/>
      <c r="Q93" s="1"/>
      <c r="R93" s="1"/>
      <c r="S93" s="1"/>
      <c r="T93" s="1"/>
      <c r="U93" s="1"/>
      <c r="V93" s="1"/>
      <c r="W93" s="1"/>
      <c r="X93" s="1"/>
      <c r="Y93" s="1"/>
      <c r="Z93" s="1"/>
    </row>
    <row r="94" customFormat="false" ht="30" hidden="false" customHeight="true" outlineLevel="0" collapsed="false">
      <c r="A94" s="116" t="s">
        <v>426</v>
      </c>
      <c r="B94" s="117" t="s">
        <v>430</v>
      </c>
      <c r="C94" s="117" t="n">
        <v>7</v>
      </c>
      <c r="D94" s="117" t="s">
        <v>126</v>
      </c>
      <c r="E94" s="106" t="str">
        <f aca="false">VLOOKUP($D94,REQUISITOS,2,FALSE())</f>
        <v>Revisión periódica y mejora continua del SGSI.</v>
      </c>
      <c r="F94" s="107" t="n">
        <f aca="false">PL.2</f>
        <v>0</v>
      </c>
      <c r="G94" s="97" t="n">
        <f aca="false">Madurez!D61</f>
        <v>0</v>
      </c>
      <c r="H94" s="80"/>
      <c r="I94" s="80"/>
      <c r="J94" s="1"/>
      <c r="K94" s="1"/>
      <c r="L94" s="1"/>
      <c r="M94" s="1"/>
      <c r="N94" s="1"/>
      <c r="O94" s="1"/>
      <c r="P94" s="1"/>
      <c r="Q94" s="1"/>
      <c r="R94" s="1"/>
      <c r="S94" s="1"/>
      <c r="T94" s="1"/>
      <c r="U94" s="1"/>
      <c r="V94" s="1"/>
      <c r="W94" s="1"/>
      <c r="X94" s="1"/>
      <c r="Y94" s="1"/>
      <c r="Z94" s="1"/>
    </row>
    <row r="95" customFormat="false" ht="30" hidden="false" customHeight="true" outlineLevel="0" collapsed="false">
      <c r="A95" s="112" t="s">
        <v>426</v>
      </c>
      <c r="B95" s="113" t="s">
        <v>430</v>
      </c>
      <c r="C95" s="113" t="n">
        <v>8</v>
      </c>
      <c r="D95" s="113" t="s">
        <v>104</v>
      </c>
      <c r="E95" s="91" t="str">
        <f aca="false">VLOOKUP($D95,REQUISITOS,2,FALSE())</f>
        <v>Establecer los mecanismos que le permitan a la organización aprender de los incidentes ocurridos.</v>
      </c>
      <c r="F95" s="92" t="str">
        <f aca="false">GI.6</f>
        <v>No cumple</v>
      </c>
      <c r="G95" s="79" t="n">
        <f aca="false">Madurez!D62</f>
        <v>1</v>
      </c>
      <c r="H95" s="80"/>
      <c r="I95" s="80"/>
      <c r="J95" s="1"/>
      <c r="K95" s="1"/>
      <c r="L95" s="1"/>
      <c r="M95" s="1"/>
      <c r="N95" s="1"/>
      <c r="O95" s="1"/>
      <c r="P95" s="1"/>
      <c r="Q95" s="1"/>
      <c r="R95" s="1"/>
      <c r="S95" s="1"/>
      <c r="T95" s="1"/>
      <c r="U95" s="1"/>
      <c r="V95" s="1"/>
      <c r="W95" s="1"/>
      <c r="X95" s="1"/>
      <c r="Y95" s="1"/>
      <c r="Z95" s="1"/>
    </row>
    <row r="96" customFormat="false" ht="30" hidden="false" customHeight="true" outlineLevel="0" collapsed="false">
      <c r="A96" s="114" t="s">
        <v>426</v>
      </c>
      <c r="B96" s="115" t="s">
        <v>430</v>
      </c>
      <c r="C96" s="115" t="n">
        <v>9</v>
      </c>
      <c r="D96" s="115" t="s">
        <v>94</v>
      </c>
      <c r="E96" s="95" t="str">
        <f aca="false">VLOOKUP($D96,REQUISITOS,2,FALSE())</f>
        <v>Planificar la gestión de los incidentes de seguridad de la información.</v>
      </c>
      <c r="F96" s="96" t="n">
        <f aca="false">GI.1</f>
        <v>0</v>
      </c>
      <c r="G96" s="97" t="n">
        <f aca="false">Madurez!D63</f>
        <v>1</v>
      </c>
      <c r="H96" s="80"/>
      <c r="I96" s="80"/>
      <c r="J96" s="1"/>
      <c r="K96" s="1"/>
      <c r="L96" s="1"/>
      <c r="M96" s="1"/>
      <c r="N96" s="1"/>
      <c r="O96" s="1"/>
      <c r="P96" s="1"/>
      <c r="Q96" s="1"/>
      <c r="R96" s="1"/>
      <c r="S96" s="1"/>
      <c r="T96" s="1"/>
      <c r="U96" s="1"/>
      <c r="V96" s="1"/>
      <c r="W96" s="1"/>
      <c r="X96" s="1"/>
      <c r="Y96" s="1"/>
      <c r="Z96" s="1"/>
    </row>
    <row r="97" customFormat="false" ht="30" hidden="false" customHeight="true" outlineLevel="0" collapsed="false">
      <c r="A97" s="118" t="s">
        <v>426</v>
      </c>
      <c r="B97" s="119" t="s">
        <v>430</v>
      </c>
      <c r="C97" s="119" t="n">
        <v>9</v>
      </c>
      <c r="D97" s="119" t="s">
        <v>100</v>
      </c>
      <c r="E97" s="83" t="str">
        <f aca="false">VLOOKUP($D97,REQUISITOS,2,FALSE())</f>
        <v>Registrar y reportar las violaciones a la seguridad de la información, confirmadas o sospechadas de acuerdo a los procedimientos correspondientes.</v>
      </c>
      <c r="F97" s="84" t="n">
        <f aca="false">GI.4</f>
        <v>0</v>
      </c>
      <c r="G97" s="97"/>
      <c r="H97" s="80"/>
      <c r="I97" s="80"/>
      <c r="J97" s="1"/>
      <c r="K97" s="1"/>
      <c r="L97" s="1"/>
      <c r="M97" s="1"/>
      <c r="N97" s="1"/>
      <c r="O97" s="1"/>
      <c r="P97" s="1"/>
      <c r="Q97" s="1"/>
      <c r="R97" s="1"/>
      <c r="S97" s="1"/>
      <c r="T97" s="1"/>
      <c r="U97" s="1"/>
      <c r="V97" s="1"/>
      <c r="W97" s="1"/>
      <c r="X97" s="1"/>
      <c r="Y97" s="1"/>
      <c r="Z97" s="1"/>
    </row>
    <row r="98" customFormat="false" ht="30" hidden="false" customHeight="true" outlineLevel="0" collapsed="false">
      <c r="A98" s="118" t="s">
        <v>426</v>
      </c>
      <c r="B98" s="119" t="s">
        <v>430</v>
      </c>
      <c r="C98" s="119" t="n">
        <v>9</v>
      </c>
      <c r="D98" s="119" t="s">
        <v>102</v>
      </c>
      <c r="E98" s="83" t="str">
        <f aca="false">VLOOKUP($D98,REQUISITOS,2,FALSE())</f>
        <v>Responder ante incidentes de seguridad de la información.</v>
      </c>
      <c r="F98" s="84" t="n">
        <f aca="false">GI.5</f>
        <v>0</v>
      </c>
      <c r="G98" s="97"/>
      <c r="H98" s="80"/>
      <c r="I98" s="80"/>
      <c r="J98" s="1"/>
      <c r="K98" s="1"/>
      <c r="L98" s="1"/>
      <c r="M98" s="1"/>
      <c r="N98" s="1"/>
      <c r="O98" s="1"/>
      <c r="P98" s="1"/>
      <c r="Q98" s="1"/>
      <c r="R98" s="1"/>
      <c r="S98" s="1"/>
      <c r="T98" s="1"/>
      <c r="U98" s="1"/>
      <c r="V98" s="1"/>
      <c r="W98" s="1"/>
      <c r="X98" s="1"/>
      <c r="Y98" s="1"/>
      <c r="Z98" s="1"/>
    </row>
    <row r="99" customFormat="false" ht="30" hidden="false" customHeight="true" outlineLevel="0" collapsed="false">
      <c r="A99" s="110" t="s">
        <v>426</v>
      </c>
      <c r="B99" s="111" t="s">
        <v>430</v>
      </c>
      <c r="C99" s="111" t="n">
        <v>9</v>
      </c>
      <c r="D99" s="111" t="s">
        <v>74</v>
      </c>
      <c r="E99" s="87" t="str">
        <f aca="false">VLOOKUP($D99,REQUISITOS,2,FALSE())</f>
        <v>Planificar la continuidad de las operaciones y recuperación ante desastres.</v>
      </c>
      <c r="F99" s="88" t="n">
        <f aca="false">CO.4</f>
        <v>0</v>
      </c>
      <c r="G99" s="97"/>
      <c r="H99" s="80"/>
      <c r="I99" s="80"/>
      <c r="J99" s="1"/>
      <c r="K99" s="1"/>
      <c r="L99" s="1"/>
      <c r="M99" s="1"/>
      <c r="N99" s="1"/>
      <c r="O99" s="1"/>
      <c r="P99" s="1"/>
      <c r="Q99" s="1"/>
      <c r="R99" s="1"/>
      <c r="S99" s="1"/>
      <c r="T99" s="1"/>
      <c r="U99" s="1"/>
      <c r="V99" s="1"/>
      <c r="W99" s="1"/>
      <c r="X99" s="1"/>
      <c r="Y99" s="1"/>
      <c r="Z99" s="1"/>
    </row>
    <row r="100" customFormat="false" ht="30" hidden="false" customHeight="true" outlineLevel="0" collapsed="false">
      <c r="A100" s="108" t="s">
        <v>426</v>
      </c>
      <c r="B100" s="109" t="s">
        <v>430</v>
      </c>
      <c r="C100" s="109" t="n">
        <v>10</v>
      </c>
      <c r="D100" s="109" t="s">
        <v>74</v>
      </c>
      <c r="E100" s="77" t="str">
        <f aca="false">VLOOKUP($D100,REQUISITOS,2,FALSE())</f>
        <v>Planificar la continuidad de las operaciones y recuperación ante desastres.</v>
      </c>
      <c r="F100" s="78" t="n">
        <f aca="false">CO.4</f>
        <v>0</v>
      </c>
      <c r="G100" s="79" t="n">
        <f aca="false">Madurez!D64</f>
        <v>1</v>
      </c>
      <c r="H100" s="80"/>
      <c r="I100" s="80"/>
      <c r="J100" s="1"/>
      <c r="K100" s="1"/>
      <c r="L100" s="1"/>
      <c r="M100" s="1"/>
      <c r="N100" s="1"/>
      <c r="O100" s="1"/>
      <c r="P100" s="1"/>
      <c r="Q100" s="1"/>
      <c r="R100" s="1"/>
      <c r="S100" s="1"/>
      <c r="T100" s="1"/>
      <c r="U100" s="1"/>
      <c r="V100" s="1"/>
      <c r="W100" s="1"/>
      <c r="X100" s="1"/>
      <c r="Y100" s="1"/>
      <c r="Z100" s="1"/>
    </row>
    <row r="101" customFormat="false" ht="30" hidden="false" customHeight="true" outlineLevel="0" collapsed="false">
      <c r="A101" s="110" t="s">
        <v>426</v>
      </c>
      <c r="B101" s="111" t="s">
        <v>430</v>
      </c>
      <c r="C101" s="111" t="n">
        <v>10</v>
      </c>
      <c r="D101" s="111" t="s">
        <v>102</v>
      </c>
      <c r="E101" s="87" t="str">
        <f aca="false">VLOOKUP($D101,REQUISITOS,2,FALSE())</f>
        <v>Responder ante incidentes de seguridad de la información.</v>
      </c>
      <c r="F101" s="88" t="n">
        <f aca="false">GI.5</f>
        <v>0</v>
      </c>
      <c r="G101" s="79"/>
      <c r="H101" s="80"/>
      <c r="I101" s="80"/>
      <c r="J101" s="1"/>
      <c r="K101" s="1"/>
      <c r="L101" s="1"/>
      <c r="M101" s="1"/>
      <c r="N101" s="1"/>
      <c r="O101" s="1"/>
      <c r="P101" s="1"/>
      <c r="Q101" s="1"/>
      <c r="R101" s="1"/>
      <c r="S101" s="1"/>
      <c r="T101" s="1"/>
      <c r="U101" s="1"/>
      <c r="V101" s="1"/>
      <c r="W101" s="1"/>
      <c r="X101" s="1"/>
      <c r="Y101" s="1"/>
      <c r="Z101" s="1"/>
    </row>
    <row r="102" customFormat="false" ht="30" hidden="false" customHeight="true" outlineLevel="0" collapsed="false">
      <c r="A102" s="114" t="s">
        <v>426</v>
      </c>
      <c r="B102" s="115" t="s">
        <v>430</v>
      </c>
      <c r="C102" s="115" t="n">
        <v>11</v>
      </c>
      <c r="D102" s="115" t="s">
        <v>144</v>
      </c>
      <c r="E102" s="95" t="str">
        <f aca="false">VLOOKUP($D102,REQUISITOS,2,FALSE())</f>
        <v>Establecer acuerdos de no divulgación.</v>
      </c>
      <c r="F102" s="96" t="n">
        <f aca="false">SC.6</f>
        <v>0</v>
      </c>
      <c r="G102" s="97" t="n">
        <f aca="false">Madurez!D65</f>
        <v>0</v>
      </c>
      <c r="H102" s="80"/>
      <c r="I102" s="80"/>
      <c r="J102" s="1"/>
      <c r="K102" s="1"/>
      <c r="L102" s="1"/>
      <c r="M102" s="1"/>
      <c r="N102" s="1"/>
      <c r="O102" s="1"/>
      <c r="P102" s="1"/>
      <c r="Q102" s="1"/>
      <c r="R102" s="1"/>
      <c r="S102" s="1"/>
      <c r="T102" s="1"/>
      <c r="U102" s="1"/>
      <c r="V102" s="1"/>
      <c r="W102" s="1"/>
      <c r="X102" s="1"/>
      <c r="Y102" s="1"/>
      <c r="Z102" s="1"/>
    </row>
    <row r="103" customFormat="false" ht="30" hidden="false" customHeight="true" outlineLevel="0" collapsed="false">
      <c r="A103" s="110" t="s">
        <v>426</v>
      </c>
      <c r="B103" s="111" t="s">
        <v>430</v>
      </c>
      <c r="C103" s="111" t="n">
        <v>11</v>
      </c>
      <c r="D103" s="111" t="s">
        <v>90</v>
      </c>
      <c r="E103" s="87" t="str">
        <f aca="false">VLOOKUP($D103,REQUISITOS,2,FALSE())</f>
        <v>Establecer acuerdos contractuales con el personal donde figuren sus responsabilidades y las de la organización respecto a la seguridad de la información.</v>
      </c>
      <c r="F103" s="88" t="n">
        <f aca="false">GH.1</f>
        <v>0</v>
      </c>
      <c r="G103" s="97"/>
      <c r="H103" s="80"/>
      <c r="I103" s="80"/>
      <c r="J103" s="1"/>
      <c r="K103" s="1"/>
      <c r="L103" s="1"/>
      <c r="M103" s="1"/>
      <c r="N103" s="1"/>
      <c r="O103" s="1"/>
      <c r="P103" s="1"/>
      <c r="Q103" s="1"/>
      <c r="R103" s="1"/>
      <c r="S103" s="1"/>
      <c r="T103" s="1"/>
      <c r="U103" s="1"/>
      <c r="V103" s="1"/>
      <c r="W103" s="1"/>
      <c r="X103" s="1"/>
      <c r="Y103" s="1"/>
      <c r="Z103" s="1"/>
    </row>
    <row r="104" customFormat="false" ht="30" hidden="false" customHeight="true" outlineLevel="0" collapsed="false">
      <c r="A104" s="114" t="s">
        <v>426</v>
      </c>
      <c r="B104" s="115" t="s">
        <v>430</v>
      </c>
      <c r="C104" s="115" t="n">
        <v>12</v>
      </c>
      <c r="D104" s="115" t="s">
        <v>170</v>
      </c>
      <c r="E104" s="95" t="str">
        <f aca="false">VLOOKUP($D104,REQUISITOS,2,FALSE())</f>
        <v>Gestionar las vulnerabilidades técnicas.</v>
      </c>
      <c r="F104" s="96" t="n">
        <f aca="false">SO.1</f>
        <v>0</v>
      </c>
      <c r="G104" s="97" t="n">
        <f aca="false">Madurez!D66</f>
        <v>1</v>
      </c>
      <c r="H104" s="80"/>
      <c r="I104" s="80"/>
      <c r="J104" s="1"/>
      <c r="K104" s="1"/>
      <c r="L104" s="1"/>
      <c r="M104" s="1"/>
      <c r="N104" s="1"/>
      <c r="O104" s="1"/>
      <c r="P104" s="1"/>
      <c r="Q104" s="1"/>
      <c r="R104" s="1"/>
      <c r="S104" s="1"/>
      <c r="T104" s="1"/>
      <c r="U104" s="1"/>
      <c r="V104" s="1"/>
      <c r="W104" s="1"/>
      <c r="X104" s="1"/>
      <c r="Y104" s="1"/>
      <c r="Z104" s="1"/>
    </row>
    <row r="105" customFormat="false" ht="30" hidden="false" customHeight="true" outlineLevel="0" collapsed="false">
      <c r="A105" s="110" t="s">
        <v>426</v>
      </c>
      <c r="B105" s="111" t="s">
        <v>430</v>
      </c>
      <c r="C105" s="111" t="n">
        <v>12</v>
      </c>
      <c r="D105" s="111" t="s">
        <v>62</v>
      </c>
      <c r="E105" s="87" t="str">
        <f aca="false">VLOOKUP($D105,REQUISITOS,2,FALSE())</f>
        <v>Realizar auditorías independientes de seguridad de la información.</v>
      </c>
      <c r="F105" s="88" t="n">
        <f aca="false">CN.2</f>
        <v>0</v>
      </c>
      <c r="G105" s="97"/>
      <c r="H105" s="80"/>
      <c r="I105" s="80"/>
      <c r="J105" s="1"/>
      <c r="K105" s="1"/>
      <c r="L105" s="1"/>
      <c r="M105" s="1"/>
      <c r="N105" s="1"/>
      <c r="O105" s="1"/>
      <c r="P105" s="1"/>
      <c r="Q105" s="1"/>
      <c r="R105" s="1"/>
      <c r="S105" s="1"/>
      <c r="T105" s="1"/>
      <c r="U105" s="1"/>
      <c r="V105" s="1"/>
      <c r="W105" s="1"/>
      <c r="X105" s="1"/>
      <c r="Y105" s="1"/>
      <c r="Z105" s="1"/>
    </row>
    <row r="106" customFormat="false" ht="30" hidden="false" customHeight="true" outlineLevel="0" collapsed="false">
      <c r="A106" s="108" t="s">
        <v>426</v>
      </c>
      <c r="B106" s="109" t="s">
        <v>431</v>
      </c>
      <c r="C106" s="109" t="n">
        <v>1</v>
      </c>
      <c r="D106" s="109" t="s">
        <v>164</v>
      </c>
      <c r="E106" s="77" t="str">
        <f aca="false">VLOOKUP($D106,REQUISITOS,2,FALSE())</f>
        <v>Implementar controles de acceso físico a las instalaciones y equipos ubicados en los centros de datos y áreas relacionadas.</v>
      </c>
      <c r="F106" s="78" t="n">
        <f aca="false">SF.1</f>
        <v>0</v>
      </c>
      <c r="G106" s="79" t="n">
        <f aca="false">Madurez!D67</f>
        <v>1</v>
      </c>
      <c r="H106" s="80" t="n">
        <f aca="false">AVERAGE(G106:G109)</f>
        <v>0.5</v>
      </c>
      <c r="I106" s="80"/>
      <c r="J106" s="1"/>
      <c r="K106" s="1"/>
      <c r="L106" s="1"/>
      <c r="M106" s="1"/>
      <c r="N106" s="1"/>
      <c r="O106" s="1"/>
      <c r="P106" s="1"/>
      <c r="Q106" s="1"/>
      <c r="R106" s="1"/>
      <c r="S106" s="1"/>
      <c r="T106" s="1"/>
      <c r="U106" s="1"/>
      <c r="V106" s="1"/>
      <c r="W106" s="1"/>
      <c r="X106" s="1"/>
      <c r="Y106" s="1"/>
      <c r="Z106" s="1"/>
    </row>
    <row r="107" customFormat="false" ht="30" hidden="false" customHeight="true" outlineLevel="0" collapsed="false">
      <c r="A107" s="110" t="s">
        <v>426</v>
      </c>
      <c r="B107" s="111" t="s">
        <v>431</v>
      </c>
      <c r="C107" s="111" t="n">
        <v>1</v>
      </c>
      <c r="D107" s="111" t="s">
        <v>168</v>
      </c>
      <c r="E107" s="87" t="str">
        <f aca="false">VLOOKUP($D107,REQUISITOS,2,FALSE())</f>
        <v>Contar con un sistema de gestión y monitoreo centralizado capaz de alertar fallas sobre el equipamiento y establecer el mantenimiento de los componentes críticos.</v>
      </c>
      <c r="F107" s="88" t="n">
        <f aca="false">SF.3</f>
        <v>0</v>
      </c>
      <c r="G107" s="79"/>
      <c r="H107" s="80"/>
      <c r="I107" s="80"/>
      <c r="J107" s="1"/>
      <c r="K107" s="1"/>
      <c r="L107" s="1"/>
      <c r="M107" s="1"/>
      <c r="N107" s="1"/>
      <c r="O107" s="1"/>
      <c r="P107" s="1"/>
      <c r="Q107" s="1"/>
      <c r="R107" s="1"/>
      <c r="S107" s="1"/>
      <c r="T107" s="1"/>
      <c r="U107" s="1"/>
      <c r="V107" s="1"/>
      <c r="W107" s="1"/>
      <c r="X107" s="1"/>
      <c r="Y107" s="1"/>
      <c r="Z107" s="1"/>
    </row>
    <row r="108" customFormat="false" ht="30" hidden="false" customHeight="true" outlineLevel="0" collapsed="false">
      <c r="A108" s="114" t="s">
        <v>426</v>
      </c>
      <c r="B108" s="115" t="s">
        <v>431</v>
      </c>
      <c r="C108" s="115" t="n">
        <v>2</v>
      </c>
      <c r="D108" s="115" t="s">
        <v>168</v>
      </c>
      <c r="E108" s="95" t="str">
        <f aca="false">VLOOKUP($D108,REQUISITOS,2,FALSE())</f>
        <v>Contar con un sistema de gestión y monitoreo centralizado capaz de alertar fallas sobre el equipamiento y establecer el mantenimiento de los componentes críticos.</v>
      </c>
      <c r="F108" s="96" t="n">
        <f aca="false">SF.3</f>
        <v>0</v>
      </c>
      <c r="G108" s="97" t="n">
        <f aca="false">Madurez!D68</f>
        <v>0</v>
      </c>
      <c r="H108" s="80"/>
      <c r="I108" s="80"/>
      <c r="J108" s="1"/>
      <c r="K108" s="1"/>
      <c r="L108" s="1"/>
      <c r="M108" s="1"/>
      <c r="N108" s="1"/>
      <c r="O108" s="1"/>
      <c r="P108" s="1"/>
      <c r="Q108" s="1"/>
      <c r="R108" s="1"/>
      <c r="S108" s="1"/>
      <c r="T108" s="1"/>
      <c r="U108" s="1"/>
      <c r="V108" s="1"/>
      <c r="W108" s="1"/>
      <c r="X108" s="1"/>
      <c r="Y108" s="1"/>
      <c r="Z108" s="1"/>
    </row>
    <row r="109" customFormat="false" ht="30" hidden="false" customHeight="true" outlineLevel="0" collapsed="false">
      <c r="A109" s="110" t="s">
        <v>426</v>
      </c>
      <c r="B109" s="111" t="s">
        <v>431</v>
      </c>
      <c r="C109" s="111" t="n">
        <v>2</v>
      </c>
      <c r="D109" s="111" t="s">
        <v>132</v>
      </c>
      <c r="E109" s="87" t="str">
        <f aca="false">VLOOKUP($D109,REQUISITOS,2,FALSE())</f>
        <v>Establecer pautas, realizar seguimiento y revisión de los servicios de los proveedores, y gestionar sus cambios.</v>
      </c>
      <c r="F109" s="88" t="n">
        <f aca="false">RP.2</f>
        <v>0</v>
      </c>
      <c r="G109" s="97"/>
      <c r="H109" s="80"/>
      <c r="I109" s="80"/>
      <c r="J109" s="1"/>
      <c r="K109" s="1"/>
      <c r="L109" s="1"/>
      <c r="M109" s="1"/>
      <c r="N109" s="1"/>
      <c r="O109" s="1"/>
      <c r="P109" s="1"/>
      <c r="Q109" s="1"/>
      <c r="R109" s="1"/>
      <c r="S109" s="1"/>
      <c r="T109" s="1"/>
      <c r="U109" s="1"/>
      <c r="V109" s="1"/>
      <c r="W109" s="1"/>
      <c r="X109" s="1"/>
      <c r="Y109" s="1"/>
      <c r="Z109" s="1"/>
    </row>
    <row r="110" customFormat="false" ht="30" hidden="false" customHeight="true" outlineLevel="0" collapsed="false">
      <c r="A110" s="112" t="s">
        <v>426</v>
      </c>
      <c r="B110" s="113" t="s">
        <v>432</v>
      </c>
      <c r="C110" s="113" t="n">
        <v>1</v>
      </c>
      <c r="D110" s="113" t="s">
        <v>182</v>
      </c>
      <c r="E110" s="91" t="str">
        <f aca="false">VLOOKUP($D110,REQUISITOS,2,FALSE())</f>
        <v>Contar con un sistema de gestión y monitoreo centralizado capaz de alertar fallas en componentes críticos.</v>
      </c>
      <c r="F110" s="92" t="n">
        <f aca="false">SO.7</f>
        <v>0</v>
      </c>
      <c r="G110" s="79" t="n">
        <f aca="false">Madurez!D69</f>
        <v>0</v>
      </c>
      <c r="H110" s="80" t="n">
        <f aca="false">AVERAGE(G110:G119)</f>
        <v>0.8</v>
      </c>
      <c r="I110" s="80"/>
      <c r="J110" s="1"/>
      <c r="K110" s="1"/>
      <c r="L110" s="1"/>
      <c r="M110" s="1"/>
      <c r="N110" s="1"/>
      <c r="O110" s="1"/>
      <c r="P110" s="1"/>
      <c r="Q110" s="1"/>
      <c r="R110" s="1"/>
      <c r="S110" s="1"/>
      <c r="T110" s="1"/>
      <c r="U110" s="1"/>
      <c r="V110" s="1"/>
      <c r="W110" s="1"/>
      <c r="X110" s="1"/>
      <c r="Y110" s="1"/>
      <c r="Z110" s="1"/>
    </row>
    <row r="111" customFormat="false" ht="30" hidden="false" customHeight="true" outlineLevel="0" collapsed="false">
      <c r="A111" s="116" t="s">
        <v>426</v>
      </c>
      <c r="B111" s="117" t="s">
        <v>432</v>
      </c>
      <c r="C111" s="117" t="n">
        <v>2</v>
      </c>
      <c r="D111" s="117" t="s">
        <v>86</v>
      </c>
      <c r="E111" s="106" t="str">
        <f aca="false">VLOOKUP($D111,REQUISITOS,2,FALSE())</f>
        <v>Gestionar los medios de almacenamiento.</v>
      </c>
      <c r="F111" s="107" t="n">
        <f aca="false">GA.4</f>
        <v>0</v>
      </c>
      <c r="G111" s="97" t="n">
        <f aca="false">Madurez!D70</f>
        <v>1</v>
      </c>
      <c r="H111" s="80"/>
      <c r="I111" s="80"/>
      <c r="J111" s="1"/>
      <c r="K111" s="1"/>
      <c r="L111" s="1"/>
      <c r="M111" s="1"/>
      <c r="N111" s="1"/>
      <c r="O111" s="1"/>
      <c r="P111" s="1"/>
      <c r="Q111" s="1"/>
      <c r="R111" s="1"/>
      <c r="S111" s="1"/>
      <c r="T111" s="1"/>
      <c r="U111" s="1"/>
      <c r="V111" s="1"/>
      <c r="W111" s="1"/>
      <c r="X111" s="1"/>
      <c r="Y111" s="1"/>
      <c r="Z111" s="1"/>
    </row>
    <row r="112" customFormat="false" ht="30" hidden="false" customHeight="true" outlineLevel="0" collapsed="false">
      <c r="A112" s="116" t="s">
        <v>426</v>
      </c>
      <c r="B112" s="117" t="s">
        <v>432</v>
      </c>
      <c r="C112" s="117" t="n">
        <v>3</v>
      </c>
      <c r="D112" s="117" t="s">
        <v>52</v>
      </c>
      <c r="E112" s="106" t="str">
        <f aca="false">VLOOKUP($D112,REQUISITOS,2,FALSE())</f>
        <v>Gestionar el acceso lógico.</v>
      </c>
      <c r="F112" s="107" t="n">
        <f aca="false">CA.1</f>
        <v>0</v>
      </c>
      <c r="G112" s="97" t="n">
        <f aca="false">Madurez!D71</f>
        <v>1</v>
      </c>
      <c r="H112" s="80"/>
      <c r="I112" s="80"/>
      <c r="J112" s="1"/>
      <c r="K112" s="1"/>
      <c r="L112" s="1"/>
      <c r="M112" s="1"/>
      <c r="N112" s="1"/>
      <c r="O112" s="1"/>
      <c r="P112" s="1"/>
      <c r="Q112" s="1"/>
      <c r="R112" s="1"/>
      <c r="S112" s="1"/>
      <c r="T112" s="1"/>
      <c r="U112" s="1"/>
      <c r="V112" s="1"/>
      <c r="W112" s="1"/>
      <c r="X112" s="1"/>
      <c r="Y112" s="1"/>
      <c r="Z112" s="1"/>
    </row>
    <row r="113" customFormat="false" ht="30" hidden="false" customHeight="true" outlineLevel="0" collapsed="false">
      <c r="A113" s="114" t="s">
        <v>426</v>
      </c>
      <c r="B113" s="115" t="s">
        <v>432</v>
      </c>
      <c r="C113" s="115" t="n">
        <v>4</v>
      </c>
      <c r="D113" s="115" t="s">
        <v>148</v>
      </c>
      <c r="E113" s="95" t="str">
        <f aca="false">VLOOKUP($D113,REQUISITOS,2,FALSE())</f>
        <v>Garantizar que los correos electrónicos en tránsito entre dos MTAs, o entre un MUA y un MTA, no comprometa la confidencialidad de la información cuando esto sea posible.</v>
      </c>
      <c r="F113" s="96" t="n">
        <f aca="false">SC.8</f>
        <v>0</v>
      </c>
      <c r="G113" s="97" t="n">
        <f aca="false">Madurez!D72</f>
        <v>1</v>
      </c>
      <c r="H113" s="80"/>
      <c r="I113" s="80"/>
      <c r="J113" s="1"/>
      <c r="K113" s="1"/>
      <c r="L113" s="1"/>
      <c r="M113" s="1"/>
      <c r="N113" s="1"/>
      <c r="O113" s="1"/>
      <c r="P113" s="1"/>
      <c r="Q113" s="1"/>
      <c r="R113" s="1"/>
      <c r="S113" s="1"/>
      <c r="T113" s="1"/>
      <c r="U113" s="1"/>
      <c r="V113" s="1"/>
      <c r="W113" s="1"/>
      <c r="X113" s="1"/>
      <c r="Y113" s="1"/>
      <c r="Z113" s="1"/>
    </row>
    <row r="114" customFormat="false" ht="30" hidden="false" customHeight="true" outlineLevel="0" collapsed="false">
      <c r="A114" s="118" t="s">
        <v>426</v>
      </c>
      <c r="B114" s="119" t="s">
        <v>432</v>
      </c>
      <c r="C114" s="119" t="n">
        <v>4</v>
      </c>
      <c r="D114" s="119" t="s">
        <v>150</v>
      </c>
      <c r="E114" s="83" t="str">
        <f aca="false">VLOOKUP($D114,REQUISITOS,2,FALSE())</f>
        <v>La implementación de canales de comunicación cifrados entre MTA de dominios gubernamentales es obligatoria y deberá implementarse utilizando protocolos seguros. Los MTA de dominios gubernamentales deberán interrumpir el intento de entrega o recepción de mensajes si este canal cifrado no se puede negociar.</v>
      </c>
      <c r="F114" s="84" t="n">
        <f aca="false">SC.9</f>
        <v>0</v>
      </c>
      <c r="G114" s="97"/>
      <c r="H114" s="80"/>
      <c r="I114" s="80"/>
      <c r="J114" s="1"/>
      <c r="K114" s="1"/>
      <c r="L114" s="1"/>
      <c r="M114" s="1"/>
      <c r="N114" s="1"/>
      <c r="O114" s="1"/>
      <c r="P114" s="1"/>
      <c r="Q114" s="1"/>
      <c r="R114" s="1"/>
      <c r="S114" s="1"/>
      <c r="T114" s="1"/>
      <c r="U114" s="1"/>
      <c r="V114" s="1"/>
      <c r="W114" s="1"/>
      <c r="X114" s="1"/>
      <c r="Y114" s="1"/>
      <c r="Z114" s="1"/>
    </row>
    <row r="115" customFormat="false" ht="30" hidden="false" customHeight="true" outlineLevel="0" collapsed="false">
      <c r="A115" s="118" t="s">
        <v>426</v>
      </c>
      <c r="B115" s="119" t="s">
        <v>432</v>
      </c>
      <c r="C115" s="119" t="n">
        <v>4</v>
      </c>
      <c r="D115" s="119" t="s">
        <v>152</v>
      </c>
      <c r="E115" s="83" t="str">
        <f aca="false">VLOOKUP($D115,REQUISITOS,2,FALSE())</f>
        <v>La implementación de canales de comunicación cifrados con protocolos seguros entre MTA de dominios gubernamentales y un MTA de terceros deberá ser el método preferido de comunicación. Cuando el establecimiento de estos canales cifrados no sea posible, se podrá establecer un canal en texto claro.</v>
      </c>
      <c r="F115" s="84" t="n">
        <f aca="false">SC.10</f>
        <v>0</v>
      </c>
      <c r="G115" s="97"/>
      <c r="H115" s="80"/>
      <c r="I115" s="80"/>
      <c r="J115" s="1"/>
      <c r="K115" s="1"/>
      <c r="L115" s="1"/>
      <c r="M115" s="1"/>
      <c r="N115" s="1"/>
      <c r="O115" s="1"/>
      <c r="P115" s="1"/>
      <c r="Q115" s="1"/>
      <c r="R115" s="1"/>
      <c r="S115" s="1"/>
      <c r="T115" s="1"/>
      <c r="U115" s="1"/>
      <c r="V115" s="1"/>
      <c r="W115" s="1"/>
      <c r="X115" s="1"/>
      <c r="Y115" s="1"/>
      <c r="Z115" s="1"/>
    </row>
    <row r="116" customFormat="false" ht="37.5" hidden="false" customHeight="true" outlineLevel="0" collapsed="false">
      <c r="A116" s="118" t="s">
        <v>426</v>
      </c>
      <c r="B116" s="119" t="s">
        <v>432</v>
      </c>
      <c r="C116" s="119" t="n">
        <v>4</v>
      </c>
      <c r="D116" s="119" t="s">
        <v>154</v>
      </c>
      <c r="E116" s="83" t="str">
        <f aca="false">VLOOKUP($D116,REQUISITOS,2,FALSE())</f>
        <v>La implementación de canales de comunicación cifrados entre MUA y MTA de dominios gubernamentales es mandatoria, y deberá implementarse utilizando protocolos seguros. Los MTA de dominios gubernamentales no deberán aceptar la descarga o entrega de correos por parte de MUA si este canal cifrado no se puede negociar. Los MTA no deberán aceptar la descarga o consulta de correos electrónicos sobre canales en texto claro.</v>
      </c>
      <c r="F116" s="84" t="n">
        <f aca="false">SC.11</f>
        <v>0</v>
      </c>
      <c r="G116" s="97"/>
      <c r="H116" s="80"/>
      <c r="I116" s="80"/>
      <c r="J116" s="1"/>
      <c r="K116" s="1"/>
      <c r="L116" s="1"/>
      <c r="M116" s="1"/>
      <c r="N116" s="1"/>
      <c r="O116" s="1"/>
      <c r="P116" s="1"/>
      <c r="Q116" s="1"/>
      <c r="R116" s="1"/>
      <c r="S116" s="1"/>
      <c r="T116" s="1"/>
      <c r="U116" s="1"/>
      <c r="V116" s="1"/>
      <c r="W116" s="1"/>
      <c r="X116" s="1"/>
      <c r="Y116" s="1"/>
      <c r="Z116" s="1"/>
    </row>
    <row r="117" customFormat="false" ht="30" hidden="false" customHeight="true" outlineLevel="0" collapsed="false">
      <c r="A117" s="118" t="s">
        <v>426</v>
      </c>
      <c r="B117" s="119" t="s">
        <v>432</v>
      </c>
      <c r="C117" s="119" t="n">
        <v>4</v>
      </c>
      <c r="D117" s="119" t="s">
        <v>156</v>
      </c>
      <c r="E117" s="83" t="str">
        <f aca="false">VLOOKUP($D117,REQUISITOS,2,FALSE())</f>
        <v>Los servicios de Webmail deben implementarse sobre el protocolo HTTPS utilizando un certificado de seguridad válido. Cuando la información a transmitir vía email represente un riesgo alto para la organización, se recomienda implementar un modelo de cifrado a nivel de mensaje.</v>
      </c>
      <c r="F117" s="84" t="n">
        <f aca="false">SC.12</f>
        <v>0</v>
      </c>
      <c r="G117" s="97"/>
      <c r="H117" s="80"/>
      <c r="I117" s="80"/>
      <c r="J117" s="1"/>
      <c r="K117" s="1"/>
      <c r="L117" s="1"/>
      <c r="M117" s="1"/>
      <c r="N117" s="1"/>
      <c r="O117" s="1"/>
      <c r="P117" s="1"/>
      <c r="Q117" s="1"/>
      <c r="R117" s="1"/>
      <c r="S117" s="1"/>
      <c r="T117" s="1"/>
      <c r="U117" s="1"/>
      <c r="V117" s="1"/>
      <c r="W117" s="1"/>
      <c r="X117" s="1"/>
      <c r="Y117" s="1"/>
      <c r="Z117" s="1"/>
    </row>
    <row r="118" customFormat="false" ht="30" hidden="false" customHeight="true" outlineLevel="0" collapsed="false">
      <c r="A118" s="110" t="s">
        <v>426</v>
      </c>
      <c r="B118" s="111" t="s">
        <v>432</v>
      </c>
      <c r="C118" s="111" t="n">
        <v>4</v>
      </c>
      <c r="D118" s="111" t="s">
        <v>162</v>
      </c>
      <c r="E118" s="87" t="str">
        <f aca="false">VLOOKUP($D118,REQUISITOS,2,FALSE())</f>
        <v>Todo sitio Web que contenga u oficie de enlace a un trámite en línea debe tener un firewall de aplicación Web (Web Application Firewall – WAF).</v>
      </c>
      <c r="F118" s="88" t="n">
        <f aca="false">SC.15</f>
        <v>0</v>
      </c>
      <c r="G118" s="97"/>
      <c r="H118" s="80"/>
      <c r="I118" s="80"/>
      <c r="J118" s="1"/>
      <c r="K118" s="1"/>
      <c r="L118" s="1"/>
      <c r="M118" s="1"/>
      <c r="N118" s="1"/>
      <c r="O118" s="1"/>
      <c r="P118" s="1"/>
      <c r="Q118" s="1"/>
      <c r="R118" s="1"/>
      <c r="S118" s="1"/>
      <c r="T118" s="1"/>
      <c r="U118" s="1"/>
      <c r="V118" s="1"/>
      <c r="W118" s="1"/>
      <c r="X118" s="1"/>
      <c r="Y118" s="1"/>
      <c r="Z118" s="1"/>
    </row>
    <row r="119" customFormat="false" ht="30" hidden="false" customHeight="true" outlineLevel="0" collapsed="false">
      <c r="A119" s="116" t="s">
        <v>426</v>
      </c>
      <c r="B119" s="117" t="s">
        <v>432</v>
      </c>
      <c r="C119" s="117" t="n">
        <v>5</v>
      </c>
      <c r="D119" s="117" t="s">
        <v>70</v>
      </c>
      <c r="E119" s="106" t="str">
        <f aca="false">VLOOKUP($D119,REQUISITOS,2,FALSE())</f>
        <v>Los sistemas críticos de la infraestructura de telecomunicaciones, como el cableado, routers y switches (LAN, SAN, etc.), deben contar con redundancia.</v>
      </c>
      <c r="F119" s="107" t="n">
        <f aca="false">CO.2</f>
        <v>0</v>
      </c>
      <c r="G119" s="97" t="n">
        <f aca="false">Madurez!D73</f>
        <v>1</v>
      </c>
      <c r="H119" s="80"/>
      <c r="I119" s="80"/>
      <c r="J119" s="1"/>
      <c r="K119" s="1"/>
      <c r="L119" s="1"/>
      <c r="M119" s="1"/>
      <c r="N119" s="1"/>
      <c r="O119" s="1"/>
      <c r="P119" s="1"/>
      <c r="Q119" s="1"/>
      <c r="R119" s="1"/>
      <c r="S119" s="1"/>
      <c r="T119" s="1"/>
      <c r="U119" s="1"/>
      <c r="V119" s="1"/>
      <c r="W119" s="1"/>
      <c r="X119" s="1"/>
      <c r="Y119" s="1"/>
      <c r="Z119" s="1"/>
    </row>
    <row r="120" customFormat="false" ht="30" hidden="false" customHeight="true" outlineLevel="0" collapsed="false">
      <c r="A120" s="123" t="s">
        <v>433</v>
      </c>
      <c r="B120" s="124" t="s">
        <v>434</v>
      </c>
      <c r="C120" s="124" t="n">
        <v>1</v>
      </c>
      <c r="D120" s="124" t="s">
        <v>182</v>
      </c>
      <c r="E120" s="91" t="str">
        <f aca="false">VLOOKUP($D120,REQUISITOS,2,FALSE())</f>
        <v>Contar con un sistema de gestión y monitoreo centralizado capaz de alertar fallas en componentes críticos.</v>
      </c>
      <c r="F120" s="92" t="n">
        <f aca="false">SO.7</f>
        <v>0</v>
      </c>
      <c r="G120" s="79" t="n">
        <f aca="false">Madurez!D75</f>
        <v>1</v>
      </c>
      <c r="H120" s="80" t="n">
        <f aca="false">AVERAGE(G120:G130)</f>
        <v>1</v>
      </c>
      <c r="I120" s="80" t="n">
        <f aca="false">AVERAGE(H120:H149)</f>
        <v>0.875</v>
      </c>
      <c r="J120" s="1"/>
      <c r="K120" s="1"/>
      <c r="L120" s="1"/>
      <c r="M120" s="1"/>
      <c r="N120" s="1"/>
      <c r="O120" s="1"/>
      <c r="P120" s="1"/>
      <c r="Q120" s="1"/>
      <c r="R120" s="1"/>
      <c r="S120" s="1"/>
      <c r="T120" s="1"/>
      <c r="U120" s="1"/>
      <c r="V120" s="1"/>
      <c r="W120" s="1"/>
      <c r="X120" s="1"/>
      <c r="Y120" s="1"/>
      <c r="Z120" s="1"/>
    </row>
    <row r="121" customFormat="false" ht="30" hidden="false" customHeight="true" outlineLevel="0" collapsed="false">
      <c r="A121" s="125" t="s">
        <v>433</v>
      </c>
      <c r="B121" s="126" t="s">
        <v>434</v>
      </c>
      <c r="C121" s="126" t="n">
        <v>2</v>
      </c>
      <c r="D121" s="126" t="s">
        <v>96</v>
      </c>
      <c r="E121" s="95" t="str">
        <f aca="false">VLOOKUP($D121,REQUISITOS,2,FALSE())</f>
        <v>Contar con mecanismos que permitan evaluar los eventos de seguridad de la información y decidir si se clasifican como incidentes de seguridad de la información.</v>
      </c>
      <c r="F121" s="96" t="n">
        <f aca="false">GI.2</f>
        <v>0</v>
      </c>
      <c r="G121" s="97" t="n">
        <f aca="false">Madurez!D76</f>
        <v>1</v>
      </c>
      <c r="H121" s="80"/>
      <c r="I121" s="80"/>
      <c r="J121" s="1"/>
      <c r="K121" s="1"/>
      <c r="L121" s="1"/>
      <c r="M121" s="1"/>
      <c r="N121" s="1"/>
      <c r="O121" s="1"/>
      <c r="P121" s="1"/>
      <c r="Q121" s="1"/>
      <c r="R121" s="1"/>
      <c r="S121" s="1"/>
      <c r="T121" s="1"/>
      <c r="U121" s="1"/>
      <c r="V121" s="1"/>
      <c r="W121" s="1"/>
      <c r="X121" s="1"/>
      <c r="Y121" s="1"/>
      <c r="Z121" s="1"/>
    </row>
    <row r="122" customFormat="false" ht="30" hidden="false" customHeight="true" outlineLevel="0" collapsed="false">
      <c r="A122" s="127" t="s">
        <v>433</v>
      </c>
      <c r="B122" s="128" t="s">
        <v>434</v>
      </c>
      <c r="C122" s="128" t="n">
        <v>2</v>
      </c>
      <c r="D122" s="128" t="s">
        <v>182</v>
      </c>
      <c r="E122" s="83" t="str">
        <f aca="false">VLOOKUP($D122,REQUISITOS,2,FALSE())</f>
        <v>Contar con un sistema de gestión y monitoreo centralizado capaz de alertar fallas en componentes críticos.</v>
      </c>
      <c r="F122" s="84" t="n">
        <f aca="false">SO.7</f>
        <v>0</v>
      </c>
      <c r="G122" s="97"/>
      <c r="H122" s="80"/>
      <c r="I122" s="80"/>
      <c r="J122" s="1"/>
      <c r="K122" s="1"/>
      <c r="L122" s="1"/>
      <c r="M122" s="1"/>
      <c r="N122" s="1"/>
      <c r="O122" s="1"/>
      <c r="P122" s="1"/>
      <c r="Q122" s="1"/>
      <c r="R122" s="1"/>
      <c r="S122" s="1"/>
      <c r="T122" s="1"/>
      <c r="U122" s="1"/>
      <c r="V122" s="1"/>
      <c r="W122" s="1"/>
      <c r="X122" s="1"/>
      <c r="Y122" s="1"/>
      <c r="Z122" s="1"/>
    </row>
    <row r="123" customFormat="false" ht="30" hidden="false" customHeight="true" outlineLevel="0" collapsed="false">
      <c r="A123" s="129" t="s">
        <v>433</v>
      </c>
      <c r="B123" s="130" t="s">
        <v>434</v>
      </c>
      <c r="C123" s="130" t="n">
        <v>2</v>
      </c>
      <c r="D123" s="130" t="s">
        <v>162</v>
      </c>
      <c r="E123" s="87" t="str">
        <f aca="false">VLOOKUP($D123,REQUISITOS,2,FALSE())</f>
        <v>Todo sitio Web que contenga u oficie de enlace a un trámite en línea debe tener un firewall de aplicación Web (Web Application Firewall – WAF).</v>
      </c>
      <c r="F123" s="88" t="n">
        <f aca="false">SC.15</f>
        <v>0</v>
      </c>
      <c r="G123" s="97"/>
      <c r="H123" s="80"/>
      <c r="I123" s="80"/>
      <c r="J123" s="1"/>
      <c r="K123" s="1"/>
      <c r="L123" s="1"/>
      <c r="M123" s="1"/>
      <c r="N123" s="1"/>
      <c r="O123" s="1"/>
      <c r="P123" s="1"/>
      <c r="Q123" s="1"/>
      <c r="R123" s="1"/>
      <c r="S123" s="1"/>
      <c r="T123" s="1"/>
      <c r="U123" s="1"/>
      <c r="V123" s="1"/>
      <c r="W123" s="1"/>
      <c r="X123" s="1"/>
      <c r="Y123" s="1"/>
      <c r="Z123" s="1"/>
    </row>
    <row r="124" customFormat="false" ht="30" hidden="false" customHeight="true" outlineLevel="0" collapsed="false">
      <c r="A124" s="131" t="s">
        <v>433</v>
      </c>
      <c r="B124" s="132" t="s">
        <v>434</v>
      </c>
      <c r="C124" s="132" t="n">
        <v>3</v>
      </c>
      <c r="D124" s="132" t="s">
        <v>182</v>
      </c>
      <c r="E124" s="106" t="str">
        <f aca="false">VLOOKUP($D124,REQUISITOS,2,FALSE())</f>
        <v>Contar con un sistema de gestión y monitoreo centralizado capaz de alertar fallas en componentes críticos.</v>
      </c>
      <c r="F124" s="107" t="n">
        <f aca="false">SO.7</f>
        <v>0</v>
      </c>
      <c r="G124" s="97" t="n">
        <f aca="false">Madurez!D77</f>
        <v>1</v>
      </c>
      <c r="H124" s="80"/>
      <c r="I124" s="80"/>
      <c r="J124" s="1"/>
      <c r="K124" s="1"/>
      <c r="L124" s="1"/>
      <c r="M124" s="1"/>
      <c r="N124" s="1"/>
      <c r="O124" s="1"/>
      <c r="P124" s="1"/>
      <c r="Q124" s="1"/>
      <c r="R124" s="1"/>
      <c r="S124" s="1"/>
      <c r="T124" s="1"/>
      <c r="U124" s="1"/>
      <c r="V124" s="1"/>
      <c r="W124" s="1"/>
      <c r="X124" s="1"/>
      <c r="Y124" s="1"/>
      <c r="Z124" s="1"/>
    </row>
    <row r="125" customFormat="false" ht="30" hidden="false" customHeight="true" outlineLevel="0" collapsed="false">
      <c r="A125" s="125" t="s">
        <v>433</v>
      </c>
      <c r="B125" s="126" t="s">
        <v>434</v>
      </c>
      <c r="C125" s="126" t="n">
        <v>4</v>
      </c>
      <c r="D125" s="126" t="s">
        <v>94</v>
      </c>
      <c r="E125" s="95" t="str">
        <f aca="false">VLOOKUP($D125,REQUISITOS,2,FALSE())</f>
        <v>Planificar la gestión de los incidentes de seguridad de la información.</v>
      </c>
      <c r="F125" s="96" t="n">
        <f aca="false">GI.1</f>
        <v>0</v>
      </c>
      <c r="G125" s="97" t="n">
        <f aca="false">Madurez!D78</f>
        <v>1</v>
      </c>
      <c r="H125" s="80"/>
      <c r="I125" s="80"/>
      <c r="J125" s="1"/>
      <c r="K125" s="1"/>
      <c r="L125" s="1"/>
      <c r="M125" s="1"/>
      <c r="N125" s="1"/>
      <c r="O125" s="1"/>
      <c r="P125" s="1"/>
      <c r="Q125" s="1"/>
      <c r="R125" s="1"/>
      <c r="S125" s="1"/>
      <c r="T125" s="1"/>
      <c r="U125" s="1"/>
      <c r="V125" s="1"/>
      <c r="W125" s="1"/>
      <c r="X125" s="1"/>
      <c r="Y125" s="1"/>
      <c r="Z125" s="1"/>
    </row>
    <row r="126" customFormat="false" ht="30" hidden="false" customHeight="true" outlineLevel="0" collapsed="false">
      <c r="A126" s="127" t="s">
        <v>433</v>
      </c>
      <c r="B126" s="128" t="s">
        <v>434</v>
      </c>
      <c r="C126" s="128" t="n">
        <v>4</v>
      </c>
      <c r="D126" s="128" t="s">
        <v>108</v>
      </c>
      <c r="E126" s="83" t="str">
        <f aca="false">VLOOKUP($D126,REQUISITOS,2,FALSE())</f>
        <v>Realizar de manera sistemática el proceso de evaluación de riesgos del SGSI.</v>
      </c>
      <c r="F126" s="84" t="str">
        <f aca="false">GR.2</f>
        <v>No cumple</v>
      </c>
      <c r="G126" s="97"/>
      <c r="H126" s="80"/>
      <c r="I126" s="80"/>
      <c r="J126" s="1"/>
      <c r="K126" s="1"/>
      <c r="L126" s="1"/>
      <c r="M126" s="1"/>
      <c r="N126" s="1"/>
      <c r="O126" s="1"/>
      <c r="P126" s="1"/>
      <c r="Q126" s="1"/>
      <c r="R126" s="1"/>
      <c r="S126" s="1"/>
      <c r="T126" s="1"/>
      <c r="U126" s="1"/>
      <c r="V126" s="1"/>
      <c r="W126" s="1"/>
      <c r="X126" s="1"/>
      <c r="Y126" s="1"/>
      <c r="Z126" s="1"/>
    </row>
    <row r="127" customFormat="false" ht="30" hidden="false" customHeight="true" outlineLevel="0" collapsed="false">
      <c r="A127" s="129" t="s">
        <v>433</v>
      </c>
      <c r="B127" s="130" t="s">
        <v>434</v>
      </c>
      <c r="C127" s="130" t="n">
        <v>4</v>
      </c>
      <c r="D127" s="130" t="s">
        <v>182</v>
      </c>
      <c r="E127" s="87" t="str">
        <f aca="false">VLOOKUP($D127,REQUISITOS,2,FALSE())</f>
        <v>Contar con un sistema de gestión y monitoreo centralizado capaz de alertar fallas en componentes críticos.</v>
      </c>
      <c r="F127" s="88" t="n">
        <f aca="false">SO.7</f>
        <v>0</v>
      </c>
      <c r="G127" s="97"/>
      <c r="H127" s="80"/>
      <c r="I127" s="80"/>
      <c r="J127" s="1"/>
      <c r="K127" s="1"/>
      <c r="L127" s="1"/>
      <c r="M127" s="1"/>
      <c r="N127" s="1"/>
      <c r="O127" s="1"/>
      <c r="P127" s="1"/>
      <c r="Q127" s="1"/>
      <c r="R127" s="1"/>
      <c r="S127" s="1"/>
      <c r="T127" s="1"/>
      <c r="U127" s="1"/>
      <c r="V127" s="1"/>
      <c r="W127" s="1"/>
      <c r="X127" s="1"/>
      <c r="Y127" s="1"/>
      <c r="Z127" s="1"/>
    </row>
    <row r="128" customFormat="false" ht="30" hidden="false" customHeight="true" outlineLevel="0" collapsed="false">
      <c r="A128" s="125" t="s">
        <v>433</v>
      </c>
      <c r="B128" s="126" t="s">
        <v>434</v>
      </c>
      <c r="C128" s="126" t="n">
        <v>5</v>
      </c>
      <c r="D128" s="126" t="s">
        <v>94</v>
      </c>
      <c r="E128" s="95" t="str">
        <f aca="false">VLOOKUP($D128,REQUISITOS,2,FALSE())</f>
        <v>Planificar la gestión de los incidentes de seguridad de la información.</v>
      </c>
      <c r="F128" s="96" t="n">
        <f aca="false">GI.1</f>
        <v>0</v>
      </c>
      <c r="G128" s="97" t="n">
        <f aca="false">Madurez!D79</f>
        <v>1</v>
      </c>
      <c r="H128" s="80"/>
      <c r="I128" s="80"/>
      <c r="J128" s="1"/>
      <c r="K128" s="1"/>
      <c r="L128" s="1"/>
      <c r="M128" s="1"/>
      <c r="N128" s="1"/>
      <c r="O128" s="1"/>
      <c r="P128" s="1"/>
      <c r="Q128" s="1"/>
      <c r="R128" s="1"/>
      <c r="S128" s="1"/>
      <c r="T128" s="1"/>
      <c r="U128" s="1"/>
      <c r="V128" s="1"/>
      <c r="W128" s="1"/>
      <c r="X128" s="1"/>
      <c r="Y128" s="1"/>
      <c r="Z128" s="1"/>
    </row>
    <row r="129" customFormat="false" ht="30" hidden="false" customHeight="true" outlineLevel="0" collapsed="false">
      <c r="A129" s="127" t="s">
        <v>433</v>
      </c>
      <c r="B129" s="128" t="s">
        <v>434</v>
      </c>
      <c r="C129" s="128" t="n">
        <v>5</v>
      </c>
      <c r="D129" s="128" t="s">
        <v>102</v>
      </c>
      <c r="E129" s="83" t="str">
        <f aca="false">VLOOKUP($D129,REQUISITOS,2,FALSE())</f>
        <v>Responder ante incidentes de seguridad de la información.</v>
      </c>
      <c r="F129" s="84" t="n">
        <f aca="false">GI.5</f>
        <v>0</v>
      </c>
      <c r="G129" s="97"/>
      <c r="H129" s="80"/>
      <c r="I129" s="80"/>
      <c r="J129" s="1"/>
      <c r="K129" s="1"/>
      <c r="L129" s="1"/>
      <c r="M129" s="1"/>
      <c r="N129" s="1"/>
      <c r="O129" s="1"/>
      <c r="P129" s="1"/>
      <c r="Q129" s="1"/>
      <c r="R129" s="1"/>
      <c r="S129" s="1"/>
      <c r="T129" s="1"/>
      <c r="U129" s="1"/>
      <c r="V129" s="1"/>
      <c r="W129" s="1"/>
      <c r="X129" s="1"/>
      <c r="Y129" s="1"/>
      <c r="Z129" s="1"/>
    </row>
    <row r="130" customFormat="false" ht="30" hidden="false" customHeight="true" outlineLevel="0" collapsed="false">
      <c r="A130" s="129" t="s">
        <v>433</v>
      </c>
      <c r="B130" s="130" t="s">
        <v>434</v>
      </c>
      <c r="C130" s="130" t="n">
        <v>5</v>
      </c>
      <c r="D130" s="130" t="s">
        <v>182</v>
      </c>
      <c r="E130" s="87" t="str">
        <f aca="false">VLOOKUP($D130,REQUISITOS,2,FALSE())</f>
        <v>Contar con un sistema de gestión y monitoreo centralizado capaz de alertar fallas en componentes críticos.</v>
      </c>
      <c r="F130" s="88" t="n">
        <f aca="false">SO.7</f>
        <v>0</v>
      </c>
      <c r="G130" s="97"/>
      <c r="H130" s="80"/>
      <c r="I130" s="80"/>
      <c r="J130" s="1"/>
      <c r="K130" s="1"/>
      <c r="L130" s="1"/>
      <c r="M130" s="1"/>
      <c r="N130" s="1"/>
      <c r="O130" s="1"/>
      <c r="P130" s="1"/>
      <c r="Q130" s="1"/>
      <c r="R130" s="1"/>
      <c r="S130" s="1"/>
      <c r="T130" s="1"/>
      <c r="U130" s="1"/>
      <c r="V130" s="1"/>
      <c r="W130" s="1"/>
      <c r="X130" s="1"/>
      <c r="Y130" s="1"/>
      <c r="Z130" s="1"/>
    </row>
    <row r="131" customFormat="false" ht="30" hidden="false" customHeight="true" outlineLevel="0" collapsed="false">
      <c r="A131" s="123" t="s">
        <v>433</v>
      </c>
      <c r="B131" s="124" t="s">
        <v>435</v>
      </c>
      <c r="C131" s="124" t="n">
        <v>1</v>
      </c>
      <c r="D131" s="124" t="s">
        <v>168</v>
      </c>
      <c r="E131" s="91" t="str">
        <f aca="false">VLOOKUP($D131,REQUISITOS,2,FALSE())</f>
        <v>Contar con un sistema de gestión y monitoreo centralizado capaz de alertar fallas sobre el equipamiento y establecer el mantenimiento de los componentes críticos.</v>
      </c>
      <c r="F131" s="92" t="n">
        <f aca="false">SF.3</f>
        <v>0</v>
      </c>
      <c r="G131" s="79" t="n">
        <f aca="false">Madurez!D80</f>
        <v>1</v>
      </c>
      <c r="H131" s="80" t="n">
        <f aca="false">AVERAGE(G131:G140)</f>
        <v>0.625</v>
      </c>
      <c r="I131" s="80"/>
      <c r="J131" s="1"/>
      <c r="K131" s="1"/>
      <c r="L131" s="1"/>
      <c r="M131" s="1"/>
      <c r="N131" s="1"/>
      <c r="O131" s="1"/>
      <c r="P131" s="1"/>
      <c r="Q131" s="1"/>
      <c r="R131" s="1"/>
      <c r="S131" s="1"/>
      <c r="T131" s="1"/>
      <c r="U131" s="1"/>
      <c r="V131" s="1"/>
      <c r="W131" s="1"/>
      <c r="X131" s="1"/>
      <c r="Y131" s="1"/>
      <c r="Z131" s="1"/>
    </row>
    <row r="132" customFormat="false" ht="30" hidden="false" customHeight="true" outlineLevel="0" collapsed="false">
      <c r="A132" s="133" t="s">
        <v>433</v>
      </c>
      <c r="B132" s="134" t="s">
        <v>435</v>
      </c>
      <c r="C132" s="134" t="n">
        <v>2</v>
      </c>
      <c r="D132" s="134" t="s">
        <v>164</v>
      </c>
      <c r="E132" s="77" t="str">
        <f aca="false">VLOOKUP($D132,REQUISITOS,2,FALSE())</f>
        <v>Implementar controles de acceso físico a las instalaciones y equipos ubicados en los centros de datos y áreas relacionadas.</v>
      </c>
      <c r="F132" s="78" t="n">
        <f aca="false">SF.1</f>
        <v>0</v>
      </c>
      <c r="G132" s="79" t="n">
        <f aca="false">Madurez!D81</f>
        <v>0</v>
      </c>
      <c r="H132" s="80"/>
      <c r="I132" s="80"/>
      <c r="J132" s="1"/>
      <c r="K132" s="1"/>
      <c r="L132" s="1"/>
      <c r="M132" s="1"/>
      <c r="N132" s="1"/>
      <c r="O132" s="1"/>
      <c r="P132" s="1"/>
      <c r="Q132" s="1"/>
      <c r="R132" s="1"/>
      <c r="S132" s="1"/>
      <c r="T132" s="1"/>
      <c r="U132" s="1"/>
      <c r="V132" s="1"/>
      <c r="W132" s="1"/>
      <c r="X132" s="1"/>
      <c r="Y132" s="1"/>
      <c r="Z132" s="1"/>
    </row>
    <row r="133" customFormat="false" ht="30" hidden="false" customHeight="true" outlineLevel="0" collapsed="false">
      <c r="A133" s="129" t="s">
        <v>433</v>
      </c>
      <c r="B133" s="130" t="s">
        <v>435</v>
      </c>
      <c r="C133" s="130" t="n">
        <v>2</v>
      </c>
      <c r="D133" s="130" t="s">
        <v>168</v>
      </c>
      <c r="E133" s="87" t="str">
        <f aca="false">VLOOKUP($D133,REQUISITOS,2,FALSE())</f>
        <v>Contar con un sistema de gestión y monitoreo centralizado capaz de alertar fallas sobre el equipamiento y establecer el mantenimiento de los componentes críticos.</v>
      </c>
      <c r="F133" s="88" t="n">
        <f aca="false">SF.3</f>
        <v>0</v>
      </c>
      <c r="G133" s="79"/>
      <c r="H133" s="80"/>
      <c r="I133" s="80"/>
      <c r="J133" s="1"/>
      <c r="K133" s="1"/>
      <c r="L133" s="1"/>
      <c r="M133" s="1"/>
      <c r="N133" s="1"/>
      <c r="O133" s="1"/>
      <c r="P133" s="1"/>
      <c r="Q133" s="1"/>
      <c r="R133" s="1"/>
      <c r="S133" s="1"/>
      <c r="T133" s="1"/>
      <c r="U133" s="1"/>
      <c r="V133" s="1"/>
      <c r="W133" s="1"/>
      <c r="X133" s="1"/>
      <c r="Y133" s="1"/>
      <c r="Z133" s="1"/>
    </row>
    <row r="134" customFormat="false" ht="30" hidden="false" customHeight="true" outlineLevel="0" collapsed="false">
      <c r="A134" s="131" t="s">
        <v>433</v>
      </c>
      <c r="B134" s="132" t="s">
        <v>435</v>
      </c>
      <c r="C134" s="132" t="n">
        <v>3</v>
      </c>
      <c r="D134" s="132" t="s">
        <v>182</v>
      </c>
      <c r="E134" s="106" t="str">
        <f aca="false">VLOOKUP($D134,REQUISITOS,2,FALSE())</f>
        <v>Contar con un sistema de gestión y monitoreo centralizado capaz de alertar fallas en componentes críticos.</v>
      </c>
      <c r="F134" s="107" t="n">
        <f aca="false">SO.7</f>
        <v>0</v>
      </c>
      <c r="G134" s="97" t="n">
        <f aca="false">Madurez!D82</f>
        <v>0</v>
      </c>
      <c r="H134" s="80"/>
      <c r="I134" s="80"/>
      <c r="J134" s="1"/>
      <c r="K134" s="1"/>
      <c r="L134" s="1"/>
      <c r="M134" s="1"/>
      <c r="N134" s="1"/>
      <c r="O134" s="1"/>
      <c r="P134" s="1"/>
      <c r="Q134" s="1"/>
      <c r="R134" s="1"/>
      <c r="S134" s="1"/>
      <c r="T134" s="1"/>
      <c r="U134" s="1"/>
      <c r="V134" s="1"/>
      <c r="W134" s="1"/>
      <c r="X134" s="1"/>
      <c r="Y134" s="1"/>
      <c r="Z134" s="1"/>
    </row>
    <row r="135" customFormat="false" ht="30" hidden="false" customHeight="true" outlineLevel="0" collapsed="false">
      <c r="A135" s="129" t="s">
        <v>433</v>
      </c>
      <c r="B135" s="130" t="s">
        <v>435</v>
      </c>
      <c r="C135" s="130" t="n">
        <v>4</v>
      </c>
      <c r="D135" s="130" t="s">
        <v>178</v>
      </c>
      <c r="E135" s="87" t="str">
        <f aca="false">VLOOKUP($D135,REQUISITOS,2,FALSE())</f>
        <v>Controlar software malicioso.</v>
      </c>
      <c r="F135" s="88" t="n">
        <f aca="false">SO.5</f>
        <v>0</v>
      </c>
      <c r="G135" s="102" t="n">
        <f aca="false">Madurez!D83</f>
        <v>1</v>
      </c>
      <c r="H135" s="80"/>
      <c r="I135" s="80"/>
      <c r="J135" s="1"/>
      <c r="K135" s="1"/>
      <c r="L135" s="1"/>
      <c r="M135" s="1"/>
      <c r="N135" s="1"/>
      <c r="O135" s="1"/>
      <c r="P135" s="1"/>
      <c r="Q135" s="1"/>
      <c r="R135" s="1"/>
      <c r="S135" s="1"/>
      <c r="T135" s="1"/>
      <c r="U135" s="1"/>
      <c r="V135" s="1"/>
      <c r="W135" s="1"/>
      <c r="X135" s="1"/>
      <c r="Y135" s="1"/>
      <c r="Z135" s="1"/>
    </row>
    <row r="136" customFormat="false" ht="30" hidden="false" customHeight="true" outlineLevel="0" collapsed="false">
      <c r="A136" s="131" t="s">
        <v>433</v>
      </c>
      <c r="B136" s="132" t="s">
        <v>435</v>
      </c>
      <c r="C136" s="132" t="n">
        <v>5</v>
      </c>
      <c r="D136" s="132" t="s">
        <v>184</v>
      </c>
      <c r="E136" s="106" t="str">
        <f aca="false">VLOOKUP($D136,REQUISITOS,2,FALSE())</f>
        <v>Gestionar la instalación de software.</v>
      </c>
      <c r="F136" s="107" t="n">
        <f aca="false">SO.8</f>
        <v>0</v>
      </c>
      <c r="G136" s="97" t="n">
        <f aca="false">Madurez!D84</f>
        <v>1</v>
      </c>
      <c r="H136" s="80"/>
      <c r="I136" s="80"/>
      <c r="J136" s="1"/>
      <c r="K136" s="1"/>
      <c r="L136" s="1"/>
      <c r="M136" s="1"/>
      <c r="N136" s="1"/>
      <c r="O136" s="1"/>
      <c r="P136" s="1"/>
      <c r="Q136" s="1"/>
      <c r="R136" s="1"/>
      <c r="S136" s="1"/>
      <c r="T136" s="1"/>
      <c r="U136" s="1"/>
      <c r="V136" s="1"/>
      <c r="W136" s="1"/>
      <c r="X136" s="1"/>
      <c r="Y136" s="1"/>
      <c r="Z136" s="1"/>
    </row>
    <row r="137" customFormat="false" ht="30" hidden="false" customHeight="true" outlineLevel="0" collapsed="false">
      <c r="A137" s="133" t="s">
        <v>433</v>
      </c>
      <c r="B137" s="134" t="s">
        <v>435</v>
      </c>
      <c r="C137" s="134" t="n">
        <v>6</v>
      </c>
      <c r="D137" s="134" t="s">
        <v>130</v>
      </c>
      <c r="E137" s="77" t="str">
        <f aca="false">VLOOKUP($D137,REQUISITOS,2,FALSE())</f>
        <v>Definir acuerdos de niveles de servicio (SLA) con los proveedores de servicios críticos.</v>
      </c>
      <c r="F137" s="78" t="n">
        <f aca="false">RP.1</f>
        <v>0</v>
      </c>
      <c r="G137" s="79" t="n">
        <f aca="false">Madurez!D85</f>
        <v>0</v>
      </c>
      <c r="H137" s="80"/>
      <c r="I137" s="80"/>
      <c r="J137" s="1"/>
      <c r="K137" s="1"/>
      <c r="L137" s="1"/>
      <c r="M137" s="1"/>
      <c r="N137" s="1"/>
      <c r="O137" s="1"/>
      <c r="P137" s="1"/>
      <c r="Q137" s="1"/>
      <c r="R137" s="1"/>
      <c r="S137" s="1"/>
      <c r="T137" s="1"/>
      <c r="U137" s="1"/>
      <c r="V137" s="1"/>
      <c r="W137" s="1"/>
      <c r="X137" s="1"/>
      <c r="Y137" s="1"/>
      <c r="Z137" s="1"/>
    </row>
    <row r="138" customFormat="false" ht="30" hidden="false" customHeight="true" outlineLevel="0" collapsed="false">
      <c r="A138" s="129" t="s">
        <v>433</v>
      </c>
      <c r="B138" s="130" t="s">
        <v>435</v>
      </c>
      <c r="C138" s="130" t="n">
        <v>6</v>
      </c>
      <c r="D138" s="130" t="s">
        <v>132</v>
      </c>
      <c r="E138" s="87" t="str">
        <f aca="false">VLOOKUP($D138,REQUISITOS,2,FALSE())</f>
        <v>Establecer pautas, realizar seguimiento y revisión de los servicios de los proveedores, y gestionar sus cambios.</v>
      </c>
      <c r="F138" s="88" t="n">
        <f aca="false">RP.2</f>
        <v>0</v>
      </c>
      <c r="G138" s="79"/>
      <c r="H138" s="80"/>
      <c r="I138" s="80"/>
      <c r="J138" s="1"/>
      <c r="K138" s="1"/>
      <c r="L138" s="1"/>
      <c r="M138" s="1"/>
      <c r="N138" s="1"/>
      <c r="O138" s="1"/>
      <c r="P138" s="1"/>
      <c r="Q138" s="1"/>
      <c r="R138" s="1"/>
      <c r="S138" s="1"/>
      <c r="T138" s="1"/>
      <c r="U138" s="1"/>
      <c r="V138" s="1"/>
      <c r="W138" s="1"/>
      <c r="X138" s="1"/>
      <c r="Y138" s="1"/>
      <c r="Z138" s="1"/>
    </row>
    <row r="139" customFormat="false" ht="30" hidden="false" customHeight="true" outlineLevel="0" collapsed="false">
      <c r="A139" s="131" t="s">
        <v>433</v>
      </c>
      <c r="B139" s="132" t="s">
        <v>435</v>
      </c>
      <c r="C139" s="132" t="n">
        <v>7</v>
      </c>
      <c r="D139" s="132" t="s">
        <v>182</v>
      </c>
      <c r="E139" s="106" t="str">
        <f aca="false">VLOOKUP($D139,REQUISITOS,2,FALSE())</f>
        <v>Contar con un sistema de gestión y monitoreo centralizado capaz de alertar fallas en componentes críticos.</v>
      </c>
      <c r="F139" s="107" t="n">
        <f aca="false">SO.7</f>
        <v>0</v>
      </c>
      <c r="G139" s="97" t="n">
        <f aca="false">Madurez!D86</f>
        <v>1</v>
      </c>
      <c r="H139" s="80"/>
      <c r="I139" s="80"/>
      <c r="J139" s="1"/>
      <c r="K139" s="1"/>
      <c r="L139" s="1"/>
      <c r="M139" s="1"/>
      <c r="N139" s="1"/>
      <c r="O139" s="1"/>
      <c r="P139" s="1"/>
      <c r="Q139" s="1"/>
      <c r="R139" s="1"/>
      <c r="S139" s="1"/>
      <c r="T139" s="1"/>
      <c r="U139" s="1"/>
      <c r="V139" s="1"/>
      <c r="W139" s="1"/>
      <c r="X139" s="1"/>
      <c r="Y139" s="1"/>
      <c r="Z139" s="1"/>
    </row>
    <row r="140" customFormat="false" ht="30" hidden="false" customHeight="true" outlineLevel="0" collapsed="false">
      <c r="A140" s="131" t="s">
        <v>433</v>
      </c>
      <c r="B140" s="132" t="s">
        <v>435</v>
      </c>
      <c r="C140" s="132" t="n">
        <v>8</v>
      </c>
      <c r="D140" s="132" t="s">
        <v>64</v>
      </c>
      <c r="E140" s="106" t="str">
        <f aca="false">VLOOKUP($D140,REQUISITOS,2,FALSE())</f>
        <v>Revisar regularmente los sistemas de información mediante pruebas de intrusión (ethical hacking) y evaluación de vulnerabilidades.</v>
      </c>
      <c r="F140" s="107" t="n">
        <f aca="false">CN.3</f>
        <v>0</v>
      </c>
      <c r="G140" s="97" t="n">
        <f aca="false">Madurez!D87</f>
        <v>1</v>
      </c>
      <c r="H140" s="80"/>
      <c r="I140" s="80"/>
      <c r="J140" s="1"/>
      <c r="K140" s="1"/>
      <c r="L140" s="1"/>
      <c r="M140" s="1"/>
      <c r="N140" s="1"/>
      <c r="O140" s="1"/>
      <c r="P140" s="1"/>
      <c r="Q140" s="1"/>
      <c r="R140" s="1"/>
      <c r="S140" s="1"/>
      <c r="T140" s="1"/>
      <c r="U140" s="1"/>
      <c r="V140" s="1"/>
      <c r="W140" s="1"/>
      <c r="X140" s="1"/>
      <c r="Y140" s="1"/>
      <c r="Z140" s="1"/>
    </row>
    <row r="141" customFormat="false" ht="30" hidden="false" customHeight="true" outlineLevel="0" collapsed="false">
      <c r="A141" s="131" t="s">
        <v>433</v>
      </c>
      <c r="B141" s="132" t="s">
        <v>436</v>
      </c>
      <c r="C141" s="132" t="n">
        <v>1</v>
      </c>
      <c r="D141" s="132" t="s">
        <v>182</v>
      </c>
      <c r="E141" s="106" t="str">
        <f aca="false">VLOOKUP($D141,REQUISITOS,2,FALSE())</f>
        <v>Contar con un sistema de gestión y monitoreo centralizado capaz de alertar fallas en componentes críticos.</v>
      </c>
      <c r="F141" s="107" t="n">
        <f aca="false">SO.7</f>
        <v>0</v>
      </c>
      <c r="G141" s="97" t="n">
        <f aca="false">Madurez!D88</f>
        <v>1</v>
      </c>
      <c r="H141" s="80" t="n">
        <f aca="false">AVERAGE(G141:G149)</f>
        <v>1</v>
      </c>
      <c r="I141" s="80"/>
      <c r="J141" s="1"/>
      <c r="K141" s="1"/>
      <c r="L141" s="1"/>
      <c r="M141" s="1"/>
      <c r="N141" s="1"/>
      <c r="O141" s="1"/>
      <c r="P141" s="1"/>
      <c r="Q141" s="1"/>
      <c r="R141" s="1"/>
      <c r="S141" s="1"/>
      <c r="T141" s="1"/>
      <c r="U141" s="1"/>
      <c r="V141" s="1"/>
      <c r="W141" s="1"/>
      <c r="X141" s="1"/>
      <c r="Y141" s="1"/>
      <c r="Z141" s="1"/>
    </row>
    <row r="142" customFormat="false" ht="30" hidden="false" customHeight="true" outlineLevel="0" collapsed="false">
      <c r="A142" s="131" t="s">
        <v>433</v>
      </c>
      <c r="B142" s="132" t="s">
        <v>436</v>
      </c>
      <c r="C142" s="132" t="n">
        <v>2</v>
      </c>
      <c r="D142" s="132" t="s">
        <v>60</v>
      </c>
      <c r="E142" s="106" t="str">
        <f aca="false">VLOOKUP($D142,REQUISITOS,2,FALSE())</f>
        <v>Cumplir con los requisitos normativos.</v>
      </c>
      <c r="F142" s="107" t="n">
        <f aca="false">CN.1</f>
        <v>0</v>
      </c>
      <c r="G142" s="97" t="n">
        <f aca="false">Madurez!D89</f>
        <v>1</v>
      </c>
      <c r="H142" s="80"/>
      <c r="I142" s="80"/>
      <c r="J142" s="1"/>
      <c r="K142" s="1"/>
      <c r="L142" s="1"/>
      <c r="M142" s="1"/>
      <c r="N142" s="1"/>
      <c r="O142" s="1"/>
      <c r="P142" s="1"/>
      <c r="Q142" s="1"/>
      <c r="R142" s="1"/>
      <c r="S142" s="1"/>
      <c r="T142" s="1"/>
      <c r="U142" s="1"/>
      <c r="V142" s="1"/>
      <c r="W142" s="1"/>
      <c r="X142" s="1"/>
      <c r="Y142" s="1"/>
      <c r="Z142" s="1"/>
    </row>
    <row r="143" customFormat="false" ht="30" hidden="false" customHeight="true" outlineLevel="0" collapsed="false">
      <c r="A143" s="131" t="s">
        <v>433</v>
      </c>
      <c r="B143" s="132" t="s">
        <v>436</v>
      </c>
      <c r="C143" s="132" t="n">
        <v>3</v>
      </c>
      <c r="D143" s="132" t="s">
        <v>50</v>
      </c>
      <c r="E143" s="106" t="str">
        <f aca="false">VLOOKUP($D143,REQUISITOS,2,FALSE())</f>
        <v>Incluir requisitos de seguridad de la información durante todo el ciclo de vida de los proyectos de desarrollo o adquisiciones de software.</v>
      </c>
      <c r="F143" s="107" t="n">
        <f aca="false">AD.1</f>
        <v>0</v>
      </c>
      <c r="G143" s="97" t="n">
        <f aca="false">Madurez!D90</f>
        <v>1</v>
      </c>
      <c r="H143" s="80"/>
      <c r="I143" s="80"/>
      <c r="J143" s="1"/>
      <c r="K143" s="1"/>
      <c r="L143" s="1"/>
      <c r="M143" s="1"/>
      <c r="N143" s="1"/>
      <c r="O143" s="1"/>
      <c r="P143" s="1"/>
      <c r="Q143" s="1"/>
      <c r="R143" s="1"/>
      <c r="S143" s="1"/>
      <c r="T143" s="1"/>
      <c r="U143" s="1"/>
      <c r="V143" s="1"/>
      <c r="W143" s="1"/>
      <c r="X143" s="1"/>
      <c r="Y143" s="1"/>
      <c r="Z143" s="1"/>
    </row>
    <row r="144" customFormat="false" ht="30" hidden="false" customHeight="true" outlineLevel="0" collapsed="false">
      <c r="A144" s="125" t="s">
        <v>433</v>
      </c>
      <c r="B144" s="126" t="s">
        <v>436</v>
      </c>
      <c r="C144" s="126" t="n">
        <v>4</v>
      </c>
      <c r="D144" s="126" t="s">
        <v>116</v>
      </c>
      <c r="E144" s="95" t="str">
        <f aca="false">VLOOKUP($D144,REQUISITOS,2,FALSE())</f>
        <v>Definir los mecanismos para el contacto formal con autoridades y equipo de respuesta.</v>
      </c>
      <c r="F144" s="96" t="n">
        <f aca="false">OR.3</f>
        <v>0</v>
      </c>
      <c r="G144" s="97" t="n">
        <f aca="false">Madurez!D91</f>
        <v>1</v>
      </c>
      <c r="H144" s="80"/>
      <c r="I144" s="80"/>
      <c r="J144" s="1"/>
      <c r="K144" s="1"/>
      <c r="L144" s="1"/>
      <c r="M144" s="1"/>
      <c r="N144" s="1"/>
      <c r="O144" s="1"/>
      <c r="P144" s="1"/>
      <c r="Q144" s="1"/>
      <c r="R144" s="1"/>
      <c r="S144" s="1"/>
      <c r="T144" s="1"/>
      <c r="U144" s="1"/>
      <c r="V144" s="1"/>
      <c r="W144" s="1"/>
      <c r="X144" s="1"/>
      <c r="Y144" s="1"/>
      <c r="Z144" s="1"/>
    </row>
    <row r="145" customFormat="false" ht="30" hidden="false" customHeight="true" outlineLevel="0" collapsed="false">
      <c r="A145" s="127" t="s">
        <v>433</v>
      </c>
      <c r="B145" s="128" t="s">
        <v>436</v>
      </c>
      <c r="C145" s="128" t="n">
        <v>4</v>
      </c>
      <c r="D145" s="128" t="s">
        <v>96</v>
      </c>
      <c r="E145" s="83" t="str">
        <f aca="false">VLOOKUP($D145,REQUISITOS,2,FALSE())</f>
        <v>Contar con mecanismos que permitan evaluar los eventos de seguridad de la información y decidir si se clasifican como incidentes de seguridad de la información.</v>
      </c>
      <c r="F145" s="84" t="n">
        <f aca="false">GI.2</f>
        <v>0</v>
      </c>
      <c r="G145" s="97"/>
      <c r="H145" s="80"/>
      <c r="I145" s="80"/>
      <c r="J145" s="1"/>
      <c r="K145" s="1"/>
      <c r="L145" s="1"/>
      <c r="M145" s="1"/>
      <c r="N145" s="1"/>
      <c r="O145" s="1"/>
      <c r="P145" s="1"/>
      <c r="Q145" s="1"/>
      <c r="R145" s="1"/>
      <c r="S145" s="1"/>
      <c r="T145" s="1"/>
      <c r="U145" s="1"/>
      <c r="V145" s="1"/>
      <c r="W145" s="1"/>
      <c r="X145" s="1"/>
      <c r="Y145" s="1"/>
      <c r="Z145" s="1"/>
    </row>
    <row r="146" customFormat="false" ht="30" hidden="false" customHeight="true" outlineLevel="0" collapsed="false">
      <c r="A146" s="127" t="s">
        <v>433</v>
      </c>
      <c r="B146" s="128" t="s">
        <v>436</v>
      </c>
      <c r="C146" s="128" t="n">
        <v>4</v>
      </c>
      <c r="D146" s="128" t="s">
        <v>98</v>
      </c>
      <c r="E146" s="83" t="str">
        <f aca="false">VLOOKUP($D146,REQUISITOS,2,FALSE())</f>
        <v>Informar de forma completa e inmediata la existencia de un potencial incidente de seguridad informática al CERTuy o equipo de respuesta externo correspondiente.</v>
      </c>
      <c r="F146" s="84" t="n">
        <f aca="false">GI.3</f>
        <v>0</v>
      </c>
      <c r="G146" s="97"/>
      <c r="H146" s="80"/>
      <c r="I146" s="80"/>
      <c r="J146" s="1"/>
      <c r="K146" s="1"/>
      <c r="L146" s="1"/>
      <c r="M146" s="1"/>
      <c r="N146" s="1"/>
      <c r="O146" s="1"/>
      <c r="P146" s="1"/>
      <c r="Q146" s="1"/>
      <c r="R146" s="1"/>
      <c r="S146" s="1"/>
      <c r="T146" s="1"/>
      <c r="U146" s="1"/>
      <c r="V146" s="1"/>
      <c r="W146" s="1"/>
      <c r="X146" s="1"/>
      <c r="Y146" s="1"/>
      <c r="Z146" s="1"/>
    </row>
    <row r="147" customFormat="false" ht="30" hidden="false" customHeight="true" outlineLevel="0" collapsed="false">
      <c r="A147" s="127" t="s">
        <v>433</v>
      </c>
      <c r="B147" s="128" t="s">
        <v>436</v>
      </c>
      <c r="C147" s="128" t="n">
        <v>4</v>
      </c>
      <c r="D147" s="128" t="s">
        <v>100</v>
      </c>
      <c r="E147" s="83" t="str">
        <f aca="false">VLOOKUP($D147,REQUISITOS,2,FALSE())</f>
        <v>Registrar y reportar las violaciones a la seguridad de la información, confirmadas o sospechadas de acuerdo a los procedimientos correspondientes.</v>
      </c>
      <c r="F147" s="84" t="n">
        <f aca="false">GI.4</f>
        <v>0</v>
      </c>
      <c r="G147" s="97"/>
      <c r="H147" s="80"/>
      <c r="I147" s="80"/>
      <c r="J147" s="1"/>
      <c r="K147" s="1"/>
      <c r="L147" s="1"/>
      <c r="M147" s="1"/>
      <c r="N147" s="1"/>
      <c r="O147" s="1"/>
      <c r="P147" s="1"/>
      <c r="Q147" s="1"/>
      <c r="R147" s="1"/>
      <c r="S147" s="1"/>
      <c r="T147" s="1"/>
      <c r="U147" s="1"/>
      <c r="V147" s="1"/>
      <c r="W147" s="1"/>
      <c r="X147" s="1"/>
      <c r="Y147" s="1"/>
      <c r="Z147" s="1"/>
    </row>
    <row r="148" customFormat="false" ht="30" hidden="false" customHeight="true" outlineLevel="0" collapsed="false">
      <c r="A148" s="129" t="s">
        <v>433</v>
      </c>
      <c r="B148" s="130" t="s">
        <v>436</v>
      </c>
      <c r="C148" s="130" t="n">
        <v>4</v>
      </c>
      <c r="D148" s="130" t="s">
        <v>182</v>
      </c>
      <c r="E148" s="87" t="str">
        <f aca="false">VLOOKUP($D148,REQUISITOS,2,FALSE())</f>
        <v>Contar con un sistema de gestión y monitoreo centralizado capaz de alertar fallas en componentes críticos.</v>
      </c>
      <c r="F148" s="88" t="n">
        <f aca="false">SO.7</f>
        <v>0</v>
      </c>
      <c r="G148" s="97"/>
      <c r="H148" s="80"/>
      <c r="I148" s="80"/>
      <c r="J148" s="1"/>
      <c r="K148" s="1"/>
      <c r="L148" s="1"/>
      <c r="M148" s="1"/>
      <c r="N148" s="1"/>
      <c r="O148" s="1"/>
      <c r="P148" s="1"/>
      <c r="Q148" s="1"/>
      <c r="R148" s="1"/>
      <c r="S148" s="1"/>
      <c r="T148" s="1"/>
      <c r="U148" s="1"/>
      <c r="V148" s="1"/>
      <c r="W148" s="1"/>
      <c r="X148" s="1"/>
      <c r="Y148" s="1"/>
      <c r="Z148" s="1"/>
    </row>
    <row r="149" customFormat="false" ht="30" hidden="false" customHeight="true" outlineLevel="0" collapsed="false">
      <c r="A149" s="131" t="s">
        <v>433</v>
      </c>
      <c r="B149" s="132" t="s">
        <v>436</v>
      </c>
      <c r="C149" s="132" t="n">
        <v>5</v>
      </c>
      <c r="D149" s="132" t="s">
        <v>104</v>
      </c>
      <c r="E149" s="106" t="str">
        <f aca="false">VLOOKUP($D149,REQUISITOS,2,FALSE())</f>
        <v>Establecer los mecanismos que le permitan a la organización aprender de los incidentes ocurridos.</v>
      </c>
      <c r="F149" s="107" t="str">
        <f aca="false">GI.6</f>
        <v>No cumple</v>
      </c>
      <c r="G149" s="97" t="n">
        <f aca="false">Madurez!D92</f>
        <v>1</v>
      </c>
      <c r="H149" s="80"/>
      <c r="I149" s="80"/>
      <c r="J149" s="1"/>
      <c r="K149" s="1"/>
      <c r="L149" s="1"/>
      <c r="M149" s="1"/>
      <c r="N149" s="1"/>
      <c r="O149" s="1"/>
      <c r="P149" s="1"/>
      <c r="Q149" s="1"/>
      <c r="R149" s="1"/>
      <c r="S149" s="1"/>
      <c r="T149" s="1"/>
      <c r="U149" s="1"/>
      <c r="V149" s="1"/>
      <c r="W149" s="1"/>
      <c r="X149" s="1"/>
      <c r="Y149" s="1"/>
      <c r="Z149" s="1"/>
    </row>
    <row r="150" customFormat="false" ht="30" hidden="false" customHeight="true" outlineLevel="0" collapsed="false">
      <c r="A150" s="135" t="s">
        <v>437</v>
      </c>
      <c r="B150" s="136" t="s">
        <v>426</v>
      </c>
      <c r="C150" s="136" t="n">
        <v>1</v>
      </c>
      <c r="D150" s="136" t="s">
        <v>102</v>
      </c>
      <c r="E150" s="91" t="str">
        <f aca="false">VLOOKUP($D150,REQUISITOS,2,FALSE())</f>
        <v>Responder ante incidentes de seguridad de la información.</v>
      </c>
      <c r="F150" s="92" t="n">
        <f aca="false">GI.5</f>
        <v>0</v>
      </c>
      <c r="G150" s="79" t="n">
        <f aca="false">Madurez!D94</f>
        <v>1</v>
      </c>
      <c r="H150" s="137" t="n">
        <f aca="false">AVERAGE(RE_PR_1)</f>
        <v>1</v>
      </c>
      <c r="I150" s="80" t="n">
        <f aca="false">AVERAGE(H150:H175)</f>
        <v>0.7133333333</v>
      </c>
      <c r="J150" s="1"/>
      <c r="K150" s="1"/>
      <c r="L150" s="1"/>
      <c r="M150" s="1"/>
      <c r="N150" s="1"/>
      <c r="O150" s="1"/>
      <c r="P150" s="1"/>
      <c r="Q150" s="1"/>
      <c r="R150" s="1"/>
      <c r="S150" s="1"/>
      <c r="T150" s="1"/>
      <c r="U150" s="1"/>
      <c r="V150" s="1"/>
      <c r="W150" s="1"/>
      <c r="X150" s="1"/>
      <c r="Y150" s="1"/>
      <c r="Z150" s="1"/>
    </row>
    <row r="151" customFormat="false" ht="30" hidden="false" customHeight="true" outlineLevel="0" collapsed="false">
      <c r="A151" s="138" t="s">
        <v>437</v>
      </c>
      <c r="B151" s="139" t="s">
        <v>438</v>
      </c>
      <c r="C151" s="140" t="n">
        <v>1</v>
      </c>
      <c r="D151" s="140" t="s">
        <v>92</v>
      </c>
      <c r="E151" s="77" t="str">
        <f aca="false">VLOOKUP($D151,REQUISITOS,2,FALSE())</f>
        <v>Concientizar y formar en materia de seguridad de la información a todo el personal.</v>
      </c>
      <c r="F151" s="78" t="n">
        <f aca="false">GH.2</f>
        <v>0</v>
      </c>
      <c r="G151" s="79" t="n">
        <f aca="false">Madurez!D95</f>
        <v>1</v>
      </c>
      <c r="H151" s="80" t="n">
        <f aca="false">AVERAGE(G151:G162)</f>
        <v>0.8</v>
      </c>
      <c r="I151" s="80"/>
      <c r="J151" s="1"/>
      <c r="K151" s="1"/>
      <c r="L151" s="1"/>
      <c r="M151" s="1"/>
      <c r="N151" s="1"/>
      <c r="O151" s="1"/>
      <c r="P151" s="1"/>
      <c r="Q151" s="1"/>
      <c r="R151" s="1"/>
      <c r="S151" s="1"/>
      <c r="T151" s="1"/>
      <c r="U151" s="1"/>
      <c r="V151" s="1"/>
      <c r="W151" s="1"/>
      <c r="X151" s="1"/>
      <c r="Y151" s="1"/>
      <c r="Z151" s="1"/>
    </row>
    <row r="152" customFormat="false" ht="30" hidden="false" customHeight="true" outlineLevel="0" collapsed="false">
      <c r="A152" s="141" t="s">
        <v>437</v>
      </c>
      <c r="B152" s="142" t="s">
        <v>439</v>
      </c>
      <c r="C152" s="143" t="n">
        <v>1</v>
      </c>
      <c r="D152" s="143" t="s">
        <v>94</v>
      </c>
      <c r="E152" s="83" t="str">
        <f aca="false">VLOOKUP($D152,REQUISITOS,2,FALSE())</f>
        <v>Planificar la gestión de los incidentes de seguridad de la información.</v>
      </c>
      <c r="F152" s="84" t="n">
        <f aca="false">GI.1</f>
        <v>0</v>
      </c>
      <c r="G152" s="79"/>
      <c r="H152" s="80"/>
      <c r="I152" s="80"/>
      <c r="J152" s="1"/>
      <c r="K152" s="1"/>
      <c r="L152" s="1"/>
      <c r="M152" s="1"/>
      <c r="N152" s="1"/>
      <c r="O152" s="1"/>
      <c r="P152" s="1"/>
      <c r="Q152" s="1"/>
      <c r="R152" s="1"/>
      <c r="S152" s="1"/>
      <c r="T152" s="1"/>
      <c r="U152" s="1"/>
      <c r="V152" s="1"/>
      <c r="W152" s="1"/>
      <c r="X152" s="1"/>
      <c r="Y152" s="1"/>
      <c r="Z152" s="1"/>
    </row>
    <row r="153" customFormat="false" ht="30" hidden="false" customHeight="true" outlineLevel="0" collapsed="false">
      <c r="A153" s="141" t="s">
        <v>437</v>
      </c>
      <c r="B153" s="142" t="s">
        <v>439</v>
      </c>
      <c r="C153" s="143" t="n">
        <v>1</v>
      </c>
      <c r="D153" s="143" t="s">
        <v>98</v>
      </c>
      <c r="E153" s="83" t="str">
        <f aca="false">VLOOKUP($D153,REQUISITOS,2,FALSE())</f>
        <v>Informar de forma completa e inmediata la existencia de un potencial incidente de seguridad informática al CERTuy o equipo de respuesta externo correspondiente.</v>
      </c>
      <c r="F153" s="84" t="n">
        <f aca="false">GI.3</f>
        <v>0</v>
      </c>
      <c r="G153" s="79"/>
      <c r="H153" s="80"/>
      <c r="I153" s="80"/>
      <c r="J153" s="1"/>
      <c r="K153" s="1"/>
      <c r="L153" s="1"/>
      <c r="M153" s="1"/>
      <c r="N153" s="1"/>
      <c r="O153" s="1"/>
      <c r="P153" s="1"/>
      <c r="Q153" s="1"/>
      <c r="R153" s="1"/>
      <c r="S153" s="1"/>
      <c r="T153" s="1"/>
      <c r="U153" s="1"/>
      <c r="V153" s="1"/>
      <c r="W153" s="1"/>
      <c r="X153" s="1"/>
      <c r="Y153" s="1"/>
      <c r="Z153" s="1"/>
    </row>
    <row r="154" customFormat="false" ht="30" hidden="false" customHeight="true" outlineLevel="0" collapsed="false">
      <c r="A154" s="144" t="s">
        <v>437</v>
      </c>
      <c r="B154" s="145" t="s">
        <v>439</v>
      </c>
      <c r="C154" s="146" t="n">
        <v>1</v>
      </c>
      <c r="D154" s="146" t="s">
        <v>102</v>
      </c>
      <c r="E154" s="87" t="str">
        <f aca="false">VLOOKUP($D154,REQUISITOS,2,FALSE())</f>
        <v>Responder ante incidentes de seguridad de la información.</v>
      </c>
      <c r="F154" s="88" t="n">
        <f aca="false">GI.5</f>
        <v>0</v>
      </c>
      <c r="G154" s="79"/>
      <c r="H154" s="80"/>
      <c r="I154" s="80"/>
      <c r="J154" s="1"/>
      <c r="K154" s="1"/>
      <c r="L154" s="1"/>
      <c r="M154" s="1"/>
      <c r="N154" s="1"/>
      <c r="O154" s="1"/>
      <c r="P154" s="1"/>
      <c r="Q154" s="1"/>
      <c r="R154" s="1"/>
      <c r="S154" s="1"/>
      <c r="T154" s="1"/>
      <c r="U154" s="1"/>
      <c r="V154" s="1"/>
      <c r="W154" s="1"/>
      <c r="X154" s="1"/>
      <c r="Y154" s="1"/>
      <c r="Z154" s="1"/>
    </row>
    <row r="155" customFormat="false" ht="30" hidden="false" customHeight="true" outlineLevel="0" collapsed="false">
      <c r="A155" s="147" t="s">
        <v>437</v>
      </c>
      <c r="B155" s="148" t="s">
        <v>438</v>
      </c>
      <c r="C155" s="149" t="n">
        <v>2</v>
      </c>
      <c r="D155" s="149" t="s">
        <v>116</v>
      </c>
      <c r="E155" s="95" t="str">
        <f aca="false">VLOOKUP($D155,REQUISITOS,2,FALSE())</f>
        <v>Definir los mecanismos para el contacto formal con autoridades y equipo de respuesta.</v>
      </c>
      <c r="F155" s="96" t="n">
        <f aca="false">OR.3</f>
        <v>0</v>
      </c>
      <c r="G155" s="97" t="n">
        <f aca="false">Madurez!D96</f>
        <v>1</v>
      </c>
      <c r="H155" s="80"/>
      <c r="I155" s="80"/>
      <c r="J155" s="1"/>
      <c r="K155" s="1"/>
      <c r="L155" s="1"/>
      <c r="M155" s="1"/>
      <c r="N155" s="1"/>
      <c r="O155" s="1"/>
      <c r="P155" s="1"/>
      <c r="Q155" s="1"/>
      <c r="R155" s="1"/>
      <c r="S155" s="1"/>
      <c r="T155" s="1"/>
      <c r="U155" s="1"/>
      <c r="V155" s="1"/>
      <c r="W155" s="1"/>
      <c r="X155" s="1"/>
      <c r="Y155" s="1"/>
      <c r="Z155" s="1"/>
    </row>
    <row r="156" customFormat="false" ht="30" hidden="false" customHeight="true" outlineLevel="0" collapsed="false">
      <c r="A156" s="141" t="s">
        <v>437</v>
      </c>
      <c r="B156" s="142" t="s">
        <v>438</v>
      </c>
      <c r="C156" s="143" t="n">
        <v>2</v>
      </c>
      <c r="D156" s="143" t="s">
        <v>94</v>
      </c>
      <c r="E156" s="83" t="str">
        <f aca="false">VLOOKUP($D156,REQUISITOS,2,FALSE())</f>
        <v>Planificar la gestión de los incidentes de seguridad de la información.</v>
      </c>
      <c r="F156" s="84" t="n">
        <f aca="false">GI.1</f>
        <v>0</v>
      </c>
      <c r="G156" s="97"/>
      <c r="H156" s="80"/>
      <c r="I156" s="80"/>
      <c r="J156" s="1"/>
      <c r="K156" s="1"/>
      <c r="L156" s="1"/>
      <c r="M156" s="1"/>
      <c r="N156" s="1"/>
      <c r="O156" s="1"/>
      <c r="P156" s="1"/>
      <c r="Q156" s="1"/>
      <c r="R156" s="1"/>
      <c r="S156" s="1"/>
      <c r="T156" s="1"/>
      <c r="U156" s="1"/>
      <c r="V156" s="1"/>
      <c r="W156" s="1"/>
      <c r="X156" s="1"/>
      <c r="Y156" s="1"/>
      <c r="Z156" s="1"/>
    </row>
    <row r="157" customFormat="false" ht="30" hidden="false" customHeight="true" outlineLevel="0" collapsed="false">
      <c r="A157" s="144" t="s">
        <v>437</v>
      </c>
      <c r="B157" s="145" t="s">
        <v>438</v>
      </c>
      <c r="C157" s="146" t="n">
        <v>2</v>
      </c>
      <c r="D157" s="146" t="s">
        <v>100</v>
      </c>
      <c r="E157" s="87" t="str">
        <f aca="false">VLOOKUP($D157,REQUISITOS,2,FALSE())</f>
        <v>Registrar y reportar las violaciones a la seguridad de la información, confirmadas o sospechadas de acuerdo a los procedimientos correspondientes.</v>
      </c>
      <c r="F157" s="88" t="n">
        <f aca="false">GI.4</f>
        <v>0</v>
      </c>
      <c r="G157" s="97"/>
      <c r="H157" s="80"/>
      <c r="I157" s="80"/>
      <c r="J157" s="1"/>
      <c r="K157" s="1"/>
      <c r="L157" s="1"/>
      <c r="M157" s="1"/>
      <c r="N157" s="1"/>
      <c r="O157" s="1"/>
      <c r="P157" s="1"/>
      <c r="Q157" s="1"/>
      <c r="R157" s="1"/>
      <c r="S157" s="1"/>
      <c r="T157" s="1"/>
      <c r="U157" s="1"/>
      <c r="V157" s="1"/>
      <c r="W157" s="1"/>
      <c r="X157" s="1"/>
      <c r="Y157" s="1"/>
      <c r="Z157" s="1"/>
    </row>
    <row r="158" customFormat="false" ht="30" hidden="false" customHeight="true" outlineLevel="0" collapsed="false">
      <c r="A158" s="135" t="s">
        <v>437</v>
      </c>
      <c r="B158" s="150" t="s">
        <v>438</v>
      </c>
      <c r="C158" s="136" t="n">
        <v>3</v>
      </c>
      <c r="D158" s="136" t="s">
        <v>102</v>
      </c>
      <c r="E158" s="91" t="str">
        <f aca="false">VLOOKUP($D158,REQUISITOS,2,FALSE())</f>
        <v>Responder ante incidentes de seguridad de la información.</v>
      </c>
      <c r="F158" s="92" t="n">
        <f aca="false">GI.5</f>
        <v>0</v>
      </c>
      <c r="G158" s="79" t="n">
        <f aca="false">Madurez!D97</f>
        <v>1</v>
      </c>
      <c r="H158" s="80"/>
      <c r="I158" s="80"/>
      <c r="J158" s="1"/>
      <c r="K158" s="1"/>
      <c r="L158" s="1"/>
      <c r="M158" s="1"/>
      <c r="N158" s="1"/>
      <c r="O158" s="1"/>
      <c r="P158" s="1"/>
      <c r="Q158" s="1"/>
      <c r="R158" s="1"/>
      <c r="S158" s="1"/>
      <c r="T158" s="1"/>
      <c r="U158" s="1"/>
      <c r="V158" s="1"/>
      <c r="W158" s="1"/>
      <c r="X158" s="1"/>
      <c r="Y158" s="1"/>
      <c r="Z158" s="1"/>
    </row>
    <row r="159" customFormat="false" ht="30" hidden="false" customHeight="true" outlineLevel="0" collapsed="false">
      <c r="A159" s="147" t="s">
        <v>437</v>
      </c>
      <c r="B159" s="148" t="s">
        <v>438</v>
      </c>
      <c r="C159" s="149" t="n">
        <v>4</v>
      </c>
      <c r="D159" s="149" t="s">
        <v>116</v>
      </c>
      <c r="E159" s="95" t="str">
        <f aca="false">VLOOKUP($D159,REQUISITOS,2,FALSE())</f>
        <v>Definir los mecanismos para el contacto formal con autoridades y equipo de respuesta.</v>
      </c>
      <c r="F159" s="96" t="n">
        <f aca="false">OR.3</f>
        <v>0</v>
      </c>
      <c r="G159" s="97" t="n">
        <f aca="false">Madurez!D98</f>
        <v>1</v>
      </c>
      <c r="H159" s="80"/>
      <c r="I159" s="80"/>
      <c r="J159" s="1"/>
      <c r="K159" s="1"/>
      <c r="L159" s="1"/>
      <c r="M159" s="1"/>
      <c r="N159" s="1"/>
      <c r="O159" s="1"/>
      <c r="P159" s="1"/>
      <c r="Q159" s="1"/>
      <c r="R159" s="1"/>
      <c r="S159" s="1"/>
      <c r="T159" s="1"/>
      <c r="U159" s="1"/>
      <c r="V159" s="1"/>
      <c r="W159" s="1"/>
      <c r="X159" s="1"/>
      <c r="Y159" s="1"/>
      <c r="Z159" s="1"/>
    </row>
    <row r="160" customFormat="false" ht="30" hidden="false" customHeight="true" outlineLevel="0" collapsed="false">
      <c r="A160" s="141" t="s">
        <v>437</v>
      </c>
      <c r="B160" s="142" t="s">
        <v>438</v>
      </c>
      <c r="C160" s="143" t="n">
        <v>4</v>
      </c>
      <c r="D160" s="143" t="s">
        <v>94</v>
      </c>
      <c r="E160" s="83" t="str">
        <f aca="false">VLOOKUP($D160,REQUISITOS,2,FALSE())</f>
        <v>Planificar la gestión de los incidentes de seguridad de la información.</v>
      </c>
      <c r="F160" s="84" t="n">
        <f aca="false">GI.1</f>
        <v>0</v>
      </c>
      <c r="G160" s="97"/>
      <c r="H160" s="80"/>
      <c r="I160" s="80"/>
      <c r="J160" s="1"/>
      <c r="K160" s="1"/>
      <c r="L160" s="1"/>
      <c r="M160" s="1"/>
      <c r="N160" s="1"/>
      <c r="O160" s="1"/>
      <c r="P160" s="1"/>
      <c r="Q160" s="1"/>
      <c r="R160" s="1"/>
      <c r="S160" s="1"/>
      <c r="T160" s="1"/>
      <c r="U160" s="1"/>
      <c r="V160" s="1"/>
      <c r="W160" s="1"/>
      <c r="X160" s="1"/>
      <c r="Y160" s="1"/>
      <c r="Z160" s="1"/>
    </row>
    <row r="161" customFormat="false" ht="30" hidden="false" customHeight="true" outlineLevel="0" collapsed="false">
      <c r="A161" s="144" t="s">
        <v>437</v>
      </c>
      <c r="B161" s="145" t="s">
        <v>438</v>
      </c>
      <c r="C161" s="146" t="n">
        <v>4</v>
      </c>
      <c r="D161" s="146" t="s">
        <v>102</v>
      </c>
      <c r="E161" s="87" t="str">
        <f aca="false">VLOOKUP($D161,REQUISITOS,2,FALSE())</f>
        <v>Responder ante incidentes de seguridad de la información.</v>
      </c>
      <c r="F161" s="88" t="n">
        <f aca="false">GI.5</f>
        <v>0</v>
      </c>
      <c r="G161" s="97"/>
      <c r="H161" s="80"/>
      <c r="I161" s="80"/>
      <c r="J161" s="1"/>
      <c r="K161" s="1"/>
      <c r="L161" s="1"/>
      <c r="M161" s="1"/>
      <c r="N161" s="1"/>
      <c r="O161" s="1"/>
      <c r="P161" s="1"/>
      <c r="Q161" s="1"/>
      <c r="R161" s="1"/>
      <c r="S161" s="1"/>
      <c r="T161" s="1"/>
      <c r="U161" s="1"/>
      <c r="V161" s="1"/>
      <c r="W161" s="1"/>
      <c r="X161" s="1"/>
      <c r="Y161" s="1"/>
      <c r="Z161" s="1"/>
    </row>
    <row r="162" customFormat="false" ht="30" hidden="false" customHeight="true" outlineLevel="0" collapsed="false">
      <c r="A162" s="151" t="s">
        <v>437</v>
      </c>
      <c r="B162" s="152" t="s">
        <v>438</v>
      </c>
      <c r="C162" s="153" t="n">
        <v>5</v>
      </c>
      <c r="D162" s="153" t="s">
        <v>116</v>
      </c>
      <c r="E162" s="106" t="str">
        <f aca="false">VLOOKUP($D162,REQUISITOS,2,FALSE())</f>
        <v>Definir los mecanismos para el contacto formal con autoridades y equipo de respuesta.</v>
      </c>
      <c r="F162" s="107" t="n">
        <f aca="false">OR.3</f>
        <v>0</v>
      </c>
      <c r="G162" s="97" t="n">
        <f aca="false">Madurez!D99</f>
        <v>0</v>
      </c>
      <c r="H162" s="80"/>
      <c r="I162" s="80"/>
      <c r="J162" s="1"/>
      <c r="K162" s="1"/>
      <c r="L162" s="1"/>
      <c r="M162" s="1"/>
      <c r="N162" s="1"/>
      <c r="O162" s="1"/>
      <c r="P162" s="1"/>
      <c r="Q162" s="1"/>
      <c r="R162" s="1"/>
      <c r="S162" s="1"/>
      <c r="T162" s="1"/>
      <c r="U162" s="1"/>
      <c r="V162" s="1"/>
      <c r="W162" s="1"/>
      <c r="X162" s="1"/>
      <c r="Y162" s="1"/>
      <c r="Z162" s="1"/>
    </row>
    <row r="163" customFormat="false" ht="30" hidden="false" customHeight="true" outlineLevel="0" collapsed="false">
      <c r="A163" s="138" t="s">
        <v>437</v>
      </c>
      <c r="B163" s="139" t="s">
        <v>421</v>
      </c>
      <c r="C163" s="140" t="n">
        <v>1</v>
      </c>
      <c r="D163" s="140" t="s">
        <v>96</v>
      </c>
      <c r="E163" s="77" t="str">
        <f aca="false">VLOOKUP($D163,REQUISITOS,2,FALSE())</f>
        <v>Contar con mecanismos que permitan evaluar los eventos de seguridad de la información y decidir si se clasifican como incidentes de seguridad de la información.</v>
      </c>
      <c r="F163" s="78" t="n">
        <f aca="false">GI.2</f>
        <v>0</v>
      </c>
      <c r="G163" s="79" t="n">
        <f aca="false">Madurez!D100</f>
        <v>1</v>
      </c>
      <c r="H163" s="80" t="n">
        <f aca="false">AVERAGE(G163:G170)</f>
        <v>0.6</v>
      </c>
      <c r="I163" s="80"/>
      <c r="J163" s="1"/>
      <c r="K163" s="1"/>
      <c r="L163" s="1"/>
      <c r="M163" s="1"/>
      <c r="N163" s="1"/>
      <c r="O163" s="1"/>
      <c r="P163" s="1"/>
      <c r="Q163" s="1"/>
      <c r="R163" s="1"/>
      <c r="S163" s="1"/>
      <c r="T163" s="1"/>
      <c r="U163" s="1"/>
      <c r="V163" s="1"/>
      <c r="W163" s="1"/>
      <c r="X163" s="1"/>
      <c r="Y163" s="1"/>
      <c r="Z163" s="1"/>
    </row>
    <row r="164" customFormat="false" ht="30" hidden="false" customHeight="true" outlineLevel="0" collapsed="false">
      <c r="A164" s="141" t="s">
        <v>437</v>
      </c>
      <c r="B164" s="142" t="s">
        <v>421</v>
      </c>
      <c r="C164" s="143" t="n">
        <v>1</v>
      </c>
      <c r="D164" s="143" t="s">
        <v>102</v>
      </c>
      <c r="E164" s="83" t="str">
        <f aca="false">VLOOKUP($D164,REQUISITOS,2,FALSE())</f>
        <v>Responder ante incidentes de seguridad de la información.</v>
      </c>
      <c r="F164" s="84" t="n">
        <f aca="false">GI.5</f>
        <v>0</v>
      </c>
      <c r="G164" s="79"/>
      <c r="H164" s="80"/>
      <c r="I164" s="80"/>
      <c r="J164" s="1"/>
      <c r="K164" s="1"/>
      <c r="L164" s="1"/>
      <c r="M164" s="1"/>
      <c r="N164" s="1"/>
      <c r="O164" s="1"/>
      <c r="P164" s="1"/>
      <c r="Q164" s="1"/>
      <c r="R164" s="1"/>
      <c r="S164" s="1"/>
      <c r="T164" s="1"/>
      <c r="U164" s="1"/>
      <c r="V164" s="1"/>
      <c r="W164" s="1"/>
      <c r="X164" s="1"/>
      <c r="Y164" s="1"/>
      <c r="Z164" s="1"/>
    </row>
    <row r="165" customFormat="false" ht="30" hidden="false" customHeight="true" outlineLevel="0" collapsed="false">
      <c r="A165" s="144" t="s">
        <v>437</v>
      </c>
      <c r="B165" s="145" t="s">
        <v>421</v>
      </c>
      <c r="C165" s="146" t="n">
        <v>1</v>
      </c>
      <c r="D165" s="146" t="s">
        <v>182</v>
      </c>
      <c r="E165" s="87" t="str">
        <f aca="false">VLOOKUP($D165,REQUISITOS,2,FALSE())</f>
        <v>Contar con un sistema de gestión y monitoreo centralizado capaz de alertar fallas en componentes críticos.</v>
      </c>
      <c r="F165" s="88" t="n">
        <f aca="false">SO.7</f>
        <v>0</v>
      </c>
      <c r="G165" s="79"/>
      <c r="H165" s="80"/>
      <c r="I165" s="80"/>
      <c r="J165" s="1"/>
      <c r="K165" s="1"/>
      <c r="L165" s="1"/>
      <c r="M165" s="1"/>
      <c r="N165" s="1"/>
      <c r="O165" s="1"/>
      <c r="P165" s="1"/>
      <c r="Q165" s="1"/>
      <c r="R165" s="1"/>
      <c r="S165" s="1"/>
      <c r="T165" s="1"/>
      <c r="U165" s="1"/>
      <c r="V165" s="1"/>
      <c r="W165" s="1"/>
      <c r="X165" s="1"/>
      <c r="Y165" s="1"/>
      <c r="Z165" s="1"/>
    </row>
    <row r="166" customFormat="false" ht="30" hidden="false" customHeight="true" outlineLevel="0" collapsed="false">
      <c r="A166" s="147" t="s">
        <v>437</v>
      </c>
      <c r="B166" s="148" t="s">
        <v>421</v>
      </c>
      <c r="C166" s="149" t="n">
        <v>2</v>
      </c>
      <c r="D166" s="149" t="s">
        <v>96</v>
      </c>
      <c r="E166" s="95" t="str">
        <f aca="false">VLOOKUP($D166,REQUISITOS,2,FALSE())</f>
        <v>Contar con mecanismos que permitan evaluar los eventos de seguridad de la información y decidir si se clasifican como incidentes de seguridad de la información.</v>
      </c>
      <c r="F166" s="96" t="n">
        <f aca="false">GI.2</f>
        <v>0</v>
      </c>
      <c r="G166" s="97" t="n">
        <f aca="false">Madurez!D101</f>
        <v>1</v>
      </c>
      <c r="H166" s="80"/>
      <c r="I166" s="80"/>
      <c r="J166" s="1"/>
      <c r="K166" s="1"/>
      <c r="L166" s="1"/>
      <c r="M166" s="1"/>
      <c r="N166" s="1"/>
      <c r="O166" s="1"/>
      <c r="P166" s="1"/>
      <c r="Q166" s="1"/>
      <c r="R166" s="1"/>
      <c r="S166" s="1"/>
      <c r="T166" s="1"/>
      <c r="U166" s="1"/>
      <c r="V166" s="1"/>
      <c r="W166" s="1"/>
      <c r="X166" s="1"/>
      <c r="Y166" s="1"/>
      <c r="Z166" s="1"/>
    </row>
    <row r="167" customFormat="false" ht="30" hidden="false" customHeight="true" outlineLevel="0" collapsed="false">
      <c r="A167" s="144" t="s">
        <v>437</v>
      </c>
      <c r="B167" s="145" t="s">
        <v>421</v>
      </c>
      <c r="C167" s="146" t="n">
        <v>2</v>
      </c>
      <c r="D167" s="146" t="s">
        <v>102</v>
      </c>
      <c r="E167" s="87" t="str">
        <f aca="false">VLOOKUP($D167,REQUISITOS,2,FALSE())</f>
        <v>Responder ante incidentes de seguridad de la información.</v>
      </c>
      <c r="F167" s="88" t="n">
        <f aca="false">GI.5</f>
        <v>0</v>
      </c>
      <c r="G167" s="97"/>
      <c r="H167" s="80"/>
      <c r="I167" s="80"/>
      <c r="J167" s="1"/>
      <c r="K167" s="1"/>
      <c r="L167" s="1"/>
      <c r="M167" s="1"/>
      <c r="N167" s="1"/>
      <c r="O167" s="1"/>
      <c r="P167" s="1"/>
      <c r="Q167" s="1"/>
      <c r="R167" s="1"/>
      <c r="S167" s="1"/>
      <c r="T167" s="1"/>
      <c r="U167" s="1"/>
      <c r="V167" s="1"/>
      <c r="W167" s="1"/>
      <c r="X167" s="1"/>
      <c r="Y167" s="1"/>
      <c r="Z167" s="1"/>
    </row>
    <row r="168" customFormat="false" ht="30" hidden="false" customHeight="true" outlineLevel="0" collapsed="false">
      <c r="A168" s="147" t="s">
        <v>437</v>
      </c>
      <c r="B168" s="148" t="s">
        <v>421</v>
      </c>
      <c r="C168" s="149" t="n">
        <v>3</v>
      </c>
      <c r="D168" s="149" t="s">
        <v>102</v>
      </c>
      <c r="E168" s="95" t="str">
        <f aca="false">VLOOKUP($D168,REQUISITOS,2,FALSE())</f>
        <v>Responder ante incidentes de seguridad de la información.</v>
      </c>
      <c r="F168" s="96" t="n">
        <f aca="false">GI.5</f>
        <v>0</v>
      </c>
      <c r="G168" s="154" t="n">
        <f aca="false">Madurez!D102</f>
        <v>0</v>
      </c>
      <c r="H168" s="80"/>
      <c r="I168" s="80"/>
      <c r="J168" s="1"/>
      <c r="K168" s="1"/>
      <c r="L168" s="1"/>
      <c r="M168" s="1"/>
      <c r="N168" s="1"/>
      <c r="O168" s="1"/>
      <c r="P168" s="1"/>
      <c r="Q168" s="1"/>
      <c r="R168" s="1"/>
      <c r="S168" s="1"/>
      <c r="T168" s="1"/>
      <c r="U168" s="1"/>
      <c r="V168" s="1"/>
      <c r="W168" s="1"/>
      <c r="X168" s="1"/>
      <c r="Y168" s="1"/>
      <c r="Z168" s="1"/>
    </row>
    <row r="169" customFormat="false" ht="30" hidden="false" customHeight="true" outlineLevel="0" collapsed="false">
      <c r="A169" s="144" t="s">
        <v>437</v>
      </c>
      <c r="B169" s="145" t="s">
        <v>421</v>
      </c>
      <c r="C169" s="146" t="n">
        <v>4</v>
      </c>
      <c r="D169" s="146" t="s">
        <v>96</v>
      </c>
      <c r="E169" s="87" t="str">
        <f aca="false">VLOOKUP($D169,REQUISITOS,2,FALSE())</f>
        <v>Contar con mecanismos que permitan evaluar los eventos de seguridad de la información y decidir si se clasifican como incidentes de seguridad de la información.</v>
      </c>
      <c r="F169" s="88" t="n">
        <f aca="false">GI.2</f>
        <v>0</v>
      </c>
      <c r="G169" s="102" t="n">
        <f aca="false">Madurez!D103</f>
        <v>1</v>
      </c>
      <c r="H169" s="80"/>
      <c r="I169" s="80"/>
      <c r="J169" s="1"/>
      <c r="K169" s="1"/>
      <c r="L169" s="1"/>
      <c r="M169" s="1"/>
      <c r="N169" s="1"/>
      <c r="O169" s="1"/>
      <c r="P169" s="1"/>
      <c r="Q169" s="1"/>
      <c r="R169" s="1"/>
      <c r="S169" s="1"/>
      <c r="T169" s="1"/>
      <c r="U169" s="1"/>
      <c r="V169" s="1"/>
      <c r="W169" s="1"/>
      <c r="X169" s="1"/>
      <c r="Y169" s="1"/>
      <c r="Z169" s="1"/>
    </row>
    <row r="170" customFormat="false" ht="30" hidden="false" customHeight="true" outlineLevel="0" collapsed="false">
      <c r="A170" s="151" t="s">
        <v>437</v>
      </c>
      <c r="B170" s="152" t="s">
        <v>421</v>
      </c>
      <c r="C170" s="153" t="n">
        <v>5</v>
      </c>
      <c r="D170" s="153" t="s">
        <v>102</v>
      </c>
      <c r="E170" s="106" t="str">
        <f aca="false">VLOOKUP($D170,REQUISITOS,2,FALSE())</f>
        <v>Responder ante incidentes de seguridad de la información.</v>
      </c>
      <c r="F170" s="107" t="n">
        <f aca="false">GI.5</f>
        <v>0</v>
      </c>
      <c r="G170" s="97" t="n">
        <f aca="false">Madurez!D104</f>
        <v>0</v>
      </c>
      <c r="H170" s="80"/>
      <c r="I170" s="80"/>
      <c r="J170" s="1"/>
      <c r="K170" s="1"/>
      <c r="L170" s="1"/>
      <c r="M170" s="1"/>
      <c r="N170" s="1"/>
      <c r="O170" s="1"/>
      <c r="P170" s="1"/>
      <c r="Q170" s="1"/>
      <c r="R170" s="1"/>
      <c r="S170" s="1"/>
      <c r="T170" s="1"/>
      <c r="U170" s="1"/>
      <c r="V170" s="1"/>
      <c r="W170" s="1"/>
      <c r="X170" s="1"/>
      <c r="Y170" s="1"/>
      <c r="Z170" s="1"/>
    </row>
    <row r="171" customFormat="false" ht="30" hidden="false" customHeight="true" outlineLevel="0" collapsed="false">
      <c r="A171" s="135" t="s">
        <v>437</v>
      </c>
      <c r="B171" s="150" t="s">
        <v>440</v>
      </c>
      <c r="C171" s="136" t="n">
        <v>1</v>
      </c>
      <c r="D171" s="136" t="s">
        <v>102</v>
      </c>
      <c r="E171" s="91" t="str">
        <f aca="false">VLOOKUP($D171,REQUISITOS,2,FALSE())</f>
        <v>Responder ante incidentes de seguridad de la información.</v>
      </c>
      <c r="F171" s="92" t="n">
        <f aca="false">GI.5</f>
        <v>0</v>
      </c>
      <c r="G171" s="79" t="n">
        <f aca="false">Madurez!D105</f>
        <v>1</v>
      </c>
      <c r="H171" s="80" t="n">
        <f aca="false">AVERAGE(G171:G173)</f>
        <v>0.6666666667</v>
      </c>
      <c r="I171" s="80"/>
      <c r="J171" s="1"/>
      <c r="K171" s="1"/>
      <c r="L171" s="1"/>
      <c r="M171" s="1"/>
      <c r="N171" s="1"/>
      <c r="O171" s="1"/>
      <c r="P171" s="1"/>
      <c r="Q171" s="1"/>
      <c r="R171" s="1"/>
      <c r="S171" s="1"/>
      <c r="T171" s="1"/>
      <c r="U171" s="1"/>
      <c r="V171" s="1"/>
      <c r="W171" s="1"/>
      <c r="X171" s="1"/>
      <c r="Y171" s="1"/>
      <c r="Z171" s="1"/>
    </row>
    <row r="172" customFormat="false" ht="30" hidden="false" customHeight="true" outlineLevel="0" collapsed="false">
      <c r="A172" s="151" t="s">
        <v>437</v>
      </c>
      <c r="B172" s="152" t="s">
        <v>440</v>
      </c>
      <c r="C172" s="153" t="n">
        <v>2</v>
      </c>
      <c r="D172" s="153" t="s">
        <v>102</v>
      </c>
      <c r="E172" s="106" t="str">
        <f aca="false">VLOOKUP($D172,REQUISITOS,2,FALSE())</f>
        <v>Responder ante incidentes de seguridad de la información.</v>
      </c>
      <c r="F172" s="107" t="n">
        <f aca="false">GI.5</f>
        <v>0</v>
      </c>
      <c r="G172" s="97" t="n">
        <f aca="false">Madurez!D106</f>
        <v>1</v>
      </c>
      <c r="H172" s="80"/>
      <c r="I172" s="80"/>
      <c r="J172" s="1"/>
      <c r="K172" s="1"/>
      <c r="L172" s="1"/>
      <c r="M172" s="1"/>
      <c r="N172" s="1"/>
      <c r="O172" s="1"/>
      <c r="P172" s="1"/>
      <c r="Q172" s="1"/>
      <c r="R172" s="1"/>
      <c r="S172" s="1"/>
      <c r="T172" s="1"/>
      <c r="U172" s="1"/>
      <c r="V172" s="1"/>
      <c r="W172" s="1"/>
      <c r="X172" s="1"/>
      <c r="Y172" s="1"/>
      <c r="Z172" s="1"/>
    </row>
    <row r="173" customFormat="false" ht="30" hidden="false" customHeight="true" outlineLevel="0" collapsed="false">
      <c r="A173" s="151" t="s">
        <v>437</v>
      </c>
      <c r="B173" s="152" t="s">
        <v>440</v>
      </c>
      <c r="C173" s="153" t="n">
        <v>3</v>
      </c>
      <c r="D173" s="153" t="s">
        <v>170</v>
      </c>
      <c r="E173" s="106" t="str">
        <f aca="false">VLOOKUP($D173,REQUISITOS,2,FALSE())</f>
        <v>Gestionar las vulnerabilidades técnicas.</v>
      </c>
      <c r="F173" s="107" t="n">
        <f aca="false">SO.1</f>
        <v>0</v>
      </c>
      <c r="G173" s="97" t="n">
        <f aca="false">Madurez!D107</f>
        <v>0</v>
      </c>
      <c r="H173" s="80"/>
      <c r="I173" s="80"/>
      <c r="J173" s="1"/>
      <c r="K173" s="1"/>
      <c r="L173" s="1"/>
      <c r="M173" s="1"/>
      <c r="N173" s="1"/>
      <c r="O173" s="1"/>
      <c r="P173" s="1"/>
      <c r="Q173" s="1"/>
      <c r="R173" s="1"/>
      <c r="S173" s="1"/>
      <c r="T173" s="1"/>
      <c r="U173" s="1"/>
      <c r="V173" s="1"/>
      <c r="W173" s="1"/>
      <c r="X173" s="1"/>
      <c r="Y173" s="1"/>
      <c r="Z173" s="1"/>
    </row>
    <row r="174" customFormat="false" ht="30" hidden="false" customHeight="true" outlineLevel="0" collapsed="false">
      <c r="A174" s="135" t="s">
        <v>437</v>
      </c>
      <c r="B174" s="150" t="s">
        <v>441</v>
      </c>
      <c r="C174" s="136" t="n">
        <v>1</v>
      </c>
      <c r="D174" s="136" t="s">
        <v>104</v>
      </c>
      <c r="E174" s="91" t="str">
        <f aca="false">VLOOKUP($D174,REQUISITOS,2,FALSE())</f>
        <v>Establecer los mecanismos que le permitan a la organización aprender de los incidentes ocurridos.</v>
      </c>
      <c r="F174" s="92" t="str">
        <f aca="false">GI.6</f>
        <v>No cumple</v>
      </c>
      <c r="G174" s="79" t="n">
        <f aca="false">Madurez!D108</f>
        <v>1</v>
      </c>
      <c r="H174" s="80" t="n">
        <f aca="false">AVERAGE(G174:G175)</f>
        <v>0.5</v>
      </c>
      <c r="I174" s="80"/>
      <c r="J174" s="1"/>
      <c r="K174" s="1"/>
      <c r="L174" s="1"/>
      <c r="M174" s="1"/>
      <c r="N174" s="1"/>
      <c r="O174" s="1"/>
      <c r="P174" s="1"/>
      <c r="Q174" s="1"/>
      <c r="R174" s="1"/>
      <c r="S174" s="1"/>
      <c r="T174" s="1"/>
      <c r="U174" s="1"/>
      <c r="V174" s="1"/>
      <c r="W174" s="1"/>
      <c r="X174" s="1"/>
      <c r="Y174" s="1"/>
      <c r="Z174" s="1"/>
    </row>
    <row r="175" customFormat="false" ht="30" hidden="false" customHeight="true" outlineLevel="0" collapsed="false">
      <c r="A175" s="151" t="s">
        <v>437</v>
      </c>
      <c r="B175" s="152" t="s">
        <v>441</v>
      </c>
      <c r="C175" s="153" t="n">
        <v>2</v>
      </c>
      <c r="D175" s="153" t="s">
        <v>102</v>
      </c>
      <c r="E175" s="106" t="str">
        <f aca="false">VLOOKUP($D175,REQUISITOS,2,FALSE())</f>
        <v>Responder ante incidentes de seguridad de la información.</v>
      </c>
      <c r="F175" s="107" t="n">
        <f aca="false">GI.5</f>
        <v>0</v>
      </c>
      <c r="G175" s="97" t="n">
        <f aca="false">Madurez!D109</f>
        <v>0</v>
      </c>
      <c r="H175" s="80"/>
      <c r="I175" s="80"/>
      <c r="J175" s="1"/>
      <c r="K175" s="1"/>
      <c r="L175" s="1"/>
      <c r="M175" s="1"/>
      <c r="N175" s="1"/>
      <c r="O175" s="1"/>
      <c r="P175" s="1"/>
      <c r="Q175" s="1"/>
      <c r="R175" s="1"/>
      <c r="S175" s="1"/>
      <c r="T175" s="1"/>
      <c r="U175" s="1"/>
      <c r="V175" s="1"/>
      <c r="W175" s="1"/>
      <c r="X175" s="1"/>
      <c r="Y175" s="1"/>
      <c r="Z175" s="1"/>
    </row>
    <row r="176" customFormat="false" ht="30" hidden="false" customHeight="true" outlineLevel="0" collapsed="false">
      <c r="A176" s="155" t="s">
        <v>442</v>
      </c>
      <c r="B176" s="156" t="s">
        <v>426</v>
      </c>
      <c r="C176" s="156" t="n">
        <v>1</v>
      </c>
      <c r="D176" s="156" t="s">
        <v>102</v>
      </c>
      <c r="E176" s="77" t="str">
        <f aca="false">VLOOKUP($D176,REQUISITOS,2,FALSE())</f>
        <v>Responder ante incidentes de seguridad de la información.</v>
      </c>
      <c r="F176" s="78" t="n">
        <f aca="false">GI.5</f>
        <v>0</v>
      </c>
      <c r="G176" s="79" t="n">
        <f aca="false">Madurez!D111</f>
        <v>1</v>
      </c>
      <c r="H176" s="80" t="n">
        <f aca="false">AVERAGE(RC_PR_1)</f>
        <v>1</v>
      </c>
      <c r="I176" s="80" t="n">
        <f aca="false">AVERAGE(H176:H183)</f>
        <v>1</v>
      </c>
      <c r="J176" s="1"/>
      <c r="K176" s="1"/>
      <c r="L176" s="1"/>
      <c r="M176" s="1"/>
      <c r="N176" s="1"/>
      <c r="O176" s="1"/>
      <c r="P176" s="1"/>
      <c r="Q176" s="1"/>
      <c r="R176" s="1"/>
      <c r="S176" s="1"/>
      <c r="T176" s="1"/>
      <c r="U176" s="1"/>
      <c r="V176" s="1"/>
      <c r="W176" s="1"/>
      <c r="X176" s="1"/>
      <c r="Y176" s="1"/>
      <c r="Z176" s="1"/>
    </row>
    <row r="177" customFormat="false" ht="30" hidden="false" customHeight="true" outlineLevel="0" collapsed="false">
      <c r="A177" s="157" t="s">
        <v>442</v>
      </c>
      <c r="B177" s="158" t="s">
        <v>426</v>
      </c>
      <c r="C177" s="158" t="n">
        <v>1</v>
      </c>
      <c r="D177" s="158" t="s">
        <v>104</v>
      </c>
      <c r="E177" s="83" t="str">
        <f aca="false">VLOOKUP($D177,REQUISITOS,2,FALSE())</f>
        <v>Establecer los mecanismos que le permitan a la organización aprender de los incidentes ocurridos.</v>
      </c>
      <c r="F177" s="84" t="str">
        <f aca="false">GI.6</f>
        <v>No cumple</v>
      </c>
      <c r="G177" s="79"/>
      <c r="H177" s="80"/>
      <c r="I177" s="80"/>
      <c r="J177" s="1"/>
      <c r="K177" s="1"/>
      <c r="L177" s="1"/>
      <c r="M177" s="1"/>
      <c r="N177" s="1"/>
      <c r="O177" s="1"/>
      <c r="P177" s="1"/>
      <c r="Q177" s="1"/>
      <c r="R177" s="1"/>
      <c r="S177" s="1"/>
      <c r="T177" s="1"/>
      <c r="U177" s="1"/>
      <c r="V177" s="1"/>
      <c r="W177" s="1"/>
      <c r="X177" s="1"/>
      <c r="Y177" s="1"/>
      <c r="Z177" s="1"/>
    </row>
    <row r="178" customFormat="false" ht="30" hidden="false" customHeight="true" outlineLevel="0" collapsed="false">
      <c r="A178" s="159" t="s">
        <v>442</v>
      </c>
      <c r="B178" s="160" t="s">
        <v>426</v>
      </c>
      <c r="C178" s="160" t="n">
        <v>1</v>
      </c>
      <c r="D178" s="160" t="s">
        <v>74</v>
      </c>
      <c r="E178" s="87" t="str">
        <f aca="false">VLOOKUP($D178,REQUISITOS,2,FALSE())</f>
        <v>Planificar la continuidad de las operaciones y recuperación ante desastres.</v>
      </c>
      <c r="F178" s="88" t="n">
        <f aca="false">CO.4</f>
        <v>0</v>
      </c>
      <c r="G178" s="79"/>
      <c r="H178" s="80"/>
      <c r="I178" s="80"/>
      <c r="J178" s="1"/>
      <c r="K178" s="1"/>
      <c r="L178" s="1"/>
      <c r="M178" s="1"/>
      <c r="N178" s="1"/>
      <c r="O178" s="1"/>
      <c r="P178" s="1"/>
      <c r="Q178" s="1"/>
      <c r="R178" s="1"/>
      <c r="S178" s="1"/>
      <c r="T178" s="1"/>
      <c r="U178" s="1"/>
      <c r="V178" s="1"/>
      <c r="W178" s="1"/>
      <c r="X178" s="1"/>
      <c r="Y178" s="1"/>
      <c r="Z178" s="1"/>
    </row>
    <row r="179" customFormat="false" ht="30" hidden="false" customHeight="true" outlineLevel="0" collapsed="false">
      <c r="A179" s="161" t="s">
        <v>442</v>
      </c>
      <c r="B179" s="162" t="s">
        <v>443</v>
      </c>
      <c r="C179" s="162" t="n">
        <v>1</v>
      </c>
      <c r="D179" s="162" t="s">
        <v>104</v>
      </c>
      <c r="E179" s="91" t="str">
        <f aca="false">VLOOKUP($D179,REQUISITOS,2,FALSE())</f>
        <v>Establecer los mecanismos que le permitan a la organización aprender de los incidentes ocurridos.</v>
      </c>
      <c r="F179" s="92" t="str">
        <f aca="false">GI.6</f>
        <v>No cumple</v>
      </c>
      <c r="G179" s="79" t="n">
        <f aca="false">Madurez!D112</f>
        <v>1</v>
      </c>
      <c r="H179" s="80" t="n">
        <f aca="false">AVERAGE(G179:G180)</f>
        <v>1</v>
      </c>
      <c r="I179" s="80"/>
      <c r="J179" s="1"/>
      <c r="K179" s="1"/>
      <c r="L179" s="1"/>
      <c r="M179" s="1"/>
      <c r="N179" s="1"/>
      <c r="O179" s="1"/>
      <c r="P179" s="1"/>
      <c r="Q179" s="1"/>
      <c r="R179" s="1"/>
      <c r="S179" s="1"/>
      <c r="T179" s="1"/>
      <c r="U179" s="1"/>
      <c r="V179" s="1"/>
      <c r="W179" s="1"/>
      <c r="X179" s="1"/>
      <c r="Y179" s="1"/>
      <c r="Z179" s="1"/>
    </row>
    <row r="180" customFormat="false" ht="30" hidden="false" customHeight="true" outlineLevel="0" collapsed="false">
      <c r="A180" s="163" t="s">
        <v>442</v>
      </c>
      <c r="B180" s="164" t="s">
        <v>443</v>
      </c>
      <c r="C180" s="164" t="n">
        <v>2</v>
      </c>
      <c r="D180" s="164" t="s">
        <v>126</v>
      </c>
      <c r="E180" s="106" t="str">
        <f aca="false">VLOOKUP($D180,REQUISITOS,2,FALSE())</f>
        <v>Revisión periódica y mejora continua del SGSI.</v>
      </c>
      <c r="F180" s="107" t="n">
        <f aca="false">PL.2</f>
        <v>0</v>
      </c>
      <c r="G180" s="97" t="n">
        <f aca="false">Madurez!D113</f>
        <v>1</v>
      </c>
      <c r="H180" s="80"/>
      <c r="I180" s="80"/>
      <c r="J180" s="1"/>
      <c r="K180" s="1"/>
      <c r="L180" s="1"/>
      <c r="M180" s="1"/>
      <c r="N180" s="1"/>
      <c r="O180" s="1"/>
      <c r="P180" s="1"/>
      <c r="Q180" s="1"/>
      <c r="R180" s="1"/>
      <c r="S180" s="1"/>
      <c r="T180" s="1"/>
      <c r="U180" s="1"/>
      <c r="V180" s="1"/>
      <c r="W180" s="1"/>
      <c r="X180" s="1"/>
      <c r="Y180" s="1"/>
      <c r="Z180" s="1"/>
    </row>
    <row r="181" customFormat="false" ht="30" hidden="false" customHeight="true" outlineLevel="0" collapsed="false">
      <c r="A181" s="161" t="s">
        <v>442</v>
      </c>
      <c r="B181" s="162" t="s">
        <v>439</v>
      </c>
      <c r="C181" s="162" t="n">
        <v>1</v>
      </c>
      <c r="D181" s="162" t="s">
        <v>78</v>
      </c>
      <c r="E181" s="91" t="str">
        <f aca="false">VLOOKUP($D181,REQUISITOS,2,FALSE())</f>
        <v>Definir los mecanismos de comunicación e interlocutores válidos.</v>
      </c>
      <c r="F181" s="92" t="n">
        <f aca="false">CO.6</f>
        <v>0</v>
      </c>
      <c r="G181" s="79" t="n">
        <f aca="false">Madurez!D114</f>
        <v>1</v>
      </c>
      <c r="H181" s="80" t="n">
        <f aca="false">AVERAGE(G181:G183)</f>
        <v>1</v>
      </c>
      <c r="I181" s="80"/>
      <c r="J181" s="1"/>
      <c r="K181" s="1"/>
      <c r="L181" s="1"/>
      <c r="M181" s="1"/>
      <c r="N181" s="1"/>
      <c r="O181" s="1"/>
      <c r="P181" s="1"/>
      <c r="Q181" s="1"/>
      <c r="R181" s="1"/>
      <c r="S181" s="1"/>
      <c r="T181" s="1"/>
      <c r="U181" s="1"/>
      <c r="V181" s="1"/>
      <c r="W181" s="1"/>
      <c r="X181" s="1"/>
      <c r="Y181" s="1"/>
      <c r="Z181" s="1"/>
    </row>
    <row r="182" customFormat="false" ht="30" hidden="false" customHeight="true" outlineLevel="0" collapsed="false">
      <c r="A182" s="161" t="s">
        <v>442</v>
      </c>
      <c r="B182" s="162" t="s">
        <v>439</v>
      </c>
      <c r="C182" s="162" t="n">
        <v>2</v>
      </c>
      <c r="D182" s="162" t="s">
        <v>78</v>
      </c>
      <c r="E182" s="91" t="str">
        <f aca="false">VLOOKUP($D182,REQUISITOS,2,FALSE())</f>
        <v>Definir los mecanismos de comunicación e interlocutores válidos.</v>
      </c>
      <c r="F182" s="92" t="n">
        <f aca="false">CO.6</f>
        <v>0</v>
      </c>
      <c r="G182" s="79" t="n">
        <f aca="false">Madurez!D115</f>
        <v>1</v>
      </c>
      <c r="H182" s="80"/>
      <c r="I182" s="80"/>
      <c r="J182" s="1"/>
      <c r="K182" s="1"/>
      <c r="L182" s="1"/>
      <c r="M182" s="1"/>
      <c r="N182" s="1"/>
      <c r="O182" s="1"/>
      <c r="P182" s="1"/>
      <c r="Q182" s="1"/>
      <c r="R182" s="1"/>
      <c r="S182" s="1"/>
      <c r="T182" s="1"/>
      <c r="U182" s="1"/>
      <c r="V182" s="1"/>
      <c r="W182" s="1"/>
      <c r="X182" s="1"/>
      <c r="Y182" s="1"/>
      <c r="Z182" s="1"/>
    </row>
    <row r="183" customFormat="false" ht="30" hidden="false" customHeight="true" outlineLevel="0" collapsed="false">
      <c r="A183" s="163" t="s">
        <v>442</v>
      </c>
      <c r="B183" s="164" t="s">
        <v>439</v>
      </c>
      <c r="C183" s="164" t="n">
        <v>3</v>
      </c>
      <c r="D183" s="164" t="s">
        <v>78</v>
      </c>
      <c r="E183" s="106" t="str">
        <f aca="false">VLOOKUP($D183,REQUISITOS,2,FALSE())</f>
        <v>Definir los mecanismos de comunicación e interlocutores válidos.</v>
      </c>
      <c r="F183" s="107" t="n">
        <f aca="false">CO.6</f>
        <v>0</v>
      </c>
      <c r="G183" s="97" t="n">
        <f aca="false">Madurez!D116</f>
        <v>1</v>
      </c>
      <c r="H183" s="80"/>
      <c r="I183" s="80"/>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8"/>
      <c r="B184" s="18"/>
      <c r="C184" s="18"/>
      <c r="D184" s="18"/>
      <c r="E184" s="18"/>
      <c r="F184" s="68"/>
      <c r="G184" s="18"/>
      <c r="H184" s="18"/>
      <c r="I184" s="18"/>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8"/>
      <c r="B185" s="18"/>
      <c r="C185" s="18"/>
      <c r="D185" s="18"/>
      <c r="E185" s="18"/>
      <c r="F185" s="68"/>
      <c r="G185" s="18"/>
      <c r="H185" s="18"/>
      <c r="I185" s="18"/>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8"/>
      <c r="B186" s="18"/>
      <c r="C186" s="18"/>
      <c r="D186" s="18"/>
      <c r="E186" s="18"/>
      <c r="F186" s="68"/>
      <c r="G186" s="18"/>
      <c r="H186" s="18"/>
      <c r="I186" s="18"/>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8"/>
      <c r="B187" s="18"/>
      <c r="C187" s="18"/>
      <c r="D187" s="18"/>
      <c r="E187" s="18"/>
      <c r="F187" s="68"/>
      <c r="G187" s="18"/>
      <c r="H187" s="18"/>
      <c r="I187" s="18"/>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8"/>
      <c r="B188" s="18"/>
      <c r="C188" s="18"/>
      <c r="D188" s="18"/>
      <c r="E188" s="18"/>
      <c r="F188" s="68"/>
      <c r="G188" s="18"/>
      <c r="H188" s="18"/>
      <c r="I188" s="18"/>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8"/>
      <c r="B189" s="18"/>
      <c r="C189" s="18"/>
      <c r="D189" s="18"/>
      <c r="E189" s="18"/>
      <c r="F189" s="68"/>
      <c r="G189" s="18"/>
      <c r="H189" s="18"/>
      <c r="I189" s="18"/>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8"/>
      <c r="B190" s="18"/>
      <c r="C190" s="18"/>
      <c r="D190" s="18"/>
      <c r="E190" s="18"/>
      <c r="F190" s="68"/>
      <c r="G190" s="18"/>
      <c r="H190" s="18"/>
      <c r="I190" s="18"/>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8"/>
      <c r="B191" s="18"/>
      <c r="C191" s="18"/>
      <c r="D191" s="18"/>
      <c r="E191" s="18"/>
      <c r="F191" s="68"/>
      <c r="G191" s="18"/>
      <c r="H191" s="18"/>
      <c r="I191" s="18"/>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8"/>
      <c r="B192" s="18"/>
      <c r="C192" s="18"/>
      <c r="D192" s="18"/>
      <c r="E192" s="18"/>
      <c r="F192" s="68"/>
      <c r="G192" s="18"/>
      <c r="H192" s="18"/>
      <c r="I192" s="18"/>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8"/>
      <c r="B193" s="18"/>
      <c r="C193" s="18"/>
      <c r="D193" s="18"/>
      <c r="E193" s="18"/>
      <c r="F193" s="68"/>
      <c r="G193" s="18"/>
      <c r="H193" s="18"/>
      <c r="I193" s="18"/>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8"/>
      <c r="B194" s="18"/>
      <c r="C194" s="18"/>
      <c r="D194" s="18"/>
      <c r="E194" s="18"/>
      <c r="F194" s="68"/>
      <c r="G194" s="18"/>
      <c r="H194" s="18"/>
      <c r="I194" s="18"/>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8"/>
      <c r="B195" s="18"/>
      <c r="C195" s="18"/>
      <c r="D195" s="18"/>
      <c r="E195" s="18"/>
      <c r="F195" s="68"/>
      <c r="G195" s="18"/>
      <c r="H195" s="18"/>
      <c r="I195" s="18"/>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8"/>
      <c r="B196" s="18"/>
      <c r="C196" s="18"/>
      <c r="D196" s="18"/>
      <c r="E196" s="18"/>
      <c r="F196" s="68"/>
      <c r="G196" s="18"/>
      <c r="H196" s="18"/>
      <c r="I196" s="18"/>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8"/>
      <c r="B197" s="18"/>
      <c r="C197" s="18"/>
      <c r="D197" s="18"/>
      <c r="E197" s="18"/>
      <c r="F197" s="68"/>
      <c r="G197" s="18"/>
      <c r="H197" s="18"/>
      <c r="I197" s="18"/>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8"/>
      <c r="B198" s="18"/>
      <c r="C198" s="18"/>
      <c r="D198" s="18"/>
      <c r="E198" s="18"/>
      <c r="F198" s="68"/>
      <c r="G198" s="18"/>
      <c r="H198" s="18"/>
      <c r="I198" s="18"/>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8"/>
      <c r="B199" s="18"/>
      <c r="C199" s="18"/>
      <c r="D199" s="18"/>
      <c r="E199" s="18"/>
      <c r="F199" s="68"/>
      <c r="G199" s="18"/>
      <c r="H199" s="18"/>
      <c r="I199" s="18"/>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8"/>
      <c r="B200" s="18"/>
      <c r="C200" s="18"/>
      <c r="D200" s="18"/>
      <c r="E200" s="18"/>
      <c r="F200" s="68"/>
      <c r="G200" s="18"/>
      <c r="H200" s="18"/>
      <c r="I200" s="18"/>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8"/>
      <c r="B201" s="18"/>
      <c r="C201" s="18"/>
      <c r="D201" s="18"/>
      <c r="E201" s="18"/>
      <c r="F201" s="68"/>
      <c r="G201" s="18"/>
      <c r="H201" s="18"/>
      <c r="I201" s="18"/>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8"/>
      <c r="B202" s="18"/>
      <c r="C202" s="18"/>
      <c r="D202" s="18"/>
      <c r="E202" s="18"/>
      <c r="F202" s="68"/>
      <c r="G202" s="18"/>
      <c r="H202" s="18"/>
      <c r="I202" s="18"/>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8"/>
      <c r="B203" s="18"/>
      <c r="C203" s="18"/>
      <c r="D203" s="18"/>
      <c r="E203" s="18"/>
      <c r="F203" s="68"/>
      <c r="G203" s="18"/>
      <c r="H203" s="18"/>
      <c r="I203" s="18"/>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8"/>
      <c r="B204" s="18"/>
      <c r="C204" s="18"/>
      <c r="D204" s="18"/>
      <c r="E204" s="18"/>
      <c r="F204" s="68"/>
      <c r="G204" s="18"/>
      <c r="H204" s="18"/>
      <c r="I204" s="18"/>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8"/>
      <c r="B205" s="18"/>
      <c r="C205" s="18"/>
      <c r="D205" s="18"/>
      <c r="E205" s="18"/>
      <c r="F205" s="68"/>
      <c r="G205" s="18"/>
      <c r="H205" s="18"/>
      <c r="I205" s="18"/>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8"/>
      <c r="B206" s="18"/>
      <c r="C206" s="18"/>
      <c r="D206" s="18"/>
      <c r="E206" s="18"/>
      <c r="F206" s="68"/>
      <c r="G206" s="18"/>
      <c r="H206" s="18"/>
      <c r="I206" s="18"/>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8"/>
      <c r="B207" s="18"/>
      <c r="C207" s="18"/>
      <c r="D207" s="18"/>
      <c r="E207" s="18"/>
      <c r="F207" s="68"/>
      <c r="G207" s="18"/>
      <c r="H207" s="18"/>
      <c r="I207" s="18"/>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8"/>
      <c r="B208" s="18"/>
      <c r="C208" s="18"/>
      <c r="D208" s="18"/>
      <c r="E208" s="18"/>
      <c r="F208" s="68"/>
      <c r="G208" s="18"/>
      <c r="H208" s="18"/>
      <c r="I208" s="18"/>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8"/>
      <c r="B209" s="18"/>
      <c r="C209" s="18"/>
      <c r="D209" s="18"/>
      <c r="E209" s="18"/>
      <c r="F209" s="68"/>
      <c r="G209" s="18"/>
      <c r="H209" s="18"/>
      <c r="I209" s="18"/>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8"/>
      <c r="B210" s="18"/>
      <c r="C210" s="18"/>
      <c r="D210" s="18"/>
      <c r="E210" s="18"/>
      <c r="F210" s="68"/>
      <c r="G210" s="18"/>
      <c r="H210" s="18"/>
      <c r="I210" s="18"/>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8"/>
      <c r="B211" s="18"/>
      <c r="C211" s="18"/>
      <c r="D211" s="18"/>
      <c r="E211" s="18"/>
      <c r="F211" s="68"/>
      <c r="G211" s="18"/>
      <c r="H211" s="18"/>
      <c r="I211" s="18"/>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8"/>
      <c r="B212" s="18"/>
      <c r="C212" s="18"/>
      <c r="D212" s="18"/>
      <c r="E212" s="18"/>
      <c r="F212" s="68"/>
      <c r="G212" s="18"/>
      <c r="H212" s="18"/>
      <c r="I212" s="18"/>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8"/>
      <c r="B213" s="18"/>
      <c r="C213" s="18"/>
      <c r="D213" s="18"/>
      <c r="E213" s="18"/>
      <c r="F213" s="68"/>
      <c r="G213" s="18"/>
      <c r="H213" s="18"/>
      <c r="I213" s="18"/>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8"/>
      <c r="B214" s="18"/>
      <c r="C214" s="18"/>
      <c r="D214" s="18"/>
      <c r="E214" s="18"/>
      <c r="F214" s="68"/>
      <c r="G214" s="18"/>
      <c r="H214" s="18"/>
      <c r="I214" s="18"/>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8"/>
      <c r="B215" s="18"/>
      <c r="C215" s="18"/>
      <c r="D215" s="18"/>
      <c r="E215" s="18"/>
      <c r="F215" s="68"/>
      <c r="G215" s="18"/>
      <c r="H215" s="18"/>
      <c r="I215" s="18"/>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8"/>
      <c r="B216" s="18"/>
      <c r="C216" s="18"/>
      <c r="D216" s="18"/>
      <c r="E216" s="18"/>
      <c r="F216" s="68"/>
      <c r="G216" s="18"/>
      <c r="H216" s="18"/>
      <c r="I216" s="18"/>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8"/>
      <c r="B217" s="18"/>
      <c r="C217" s="18"/>
      <c r="D217" s="18"/>
      <c r="E217" s="18"/>
      <c r="F217" s="68"/>
      <c r="G217" s="18"/>
      <c r="H217" s="18"/>
      <c r="I217" s="18"/>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8"/>
      <c r="B218" s="18"/>
      <c r="C218" s="18"/>
      <c r="D218" s="18"/>
      <c r="E218" s="18"/>
      <c r="F218" s="68"/>
      <c r="G218" s="18"/>
      <c r="H218" s="18"/>
      <c r="I218" s="18"/>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8"/>
      <c r="B219" s="18"/>
      <c r="C219" s="18"/>
      <c r="D219" s="18"/>
      <c r="E219" s="18"/>
      <c r="F219" s="68"/>
      <c r="G219" s="18"/>
      <c r="H219" s="18"/>
      <c r="I219" s="18"/>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8"/>
      <c r="B220" s="18"/>
      <c r="C220" s="18"/>
      <c r="D220" s="18"/>
      <c r="E220" s="18"/>
      <c r="F220" s="68"/>
      <c r="G220" s="18"/>
      <c r="H220" s="18"/>
      <c r="I220" s="18"/>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8"/>
      <c r="B221" s="18"/>
      <c r="C221" s="18"/>
      <c r="D221" s="18"/>
      <c r="E221" s="18"/>
      <c r="F221" s="68"/>
      <c r="G221" s="18"/>
      <c r="H221" s="18"/>
      <c r="I221" s="18"/>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8"/>
      <c r="B222" s="18"/>
      <c r="C222" s="18"/>
      <c r="D222" s="18"/>
      <c r="E222" s="18"/>
      <c r="F222" s="68"/>
      <c r="G222" s="18"/>
      <c r="H222" s="18"/>
      <c r="I222" s="18"/>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8"/>
      <c r="B223" s="18"/>
      <c r="C223" s="18"/>
      <c r="D223" s="18"/>
      <c r="E223" s="18"/>
      <c r="F223" s="68"/>
      <c r="G223" s="18"/>
      <c r="H223" s="18"/>
      <c r="I223" s="18"/>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8"/>
      <c r="B224" s="18"/>
      <c r="C224" s="18"/>
      <c r="D224" s="18"/>
      <c r="E224" s="18"/>
      <c r="F224" s="68"/>
      <c r="G224" s="18"/>
      <c r="H224" s="18"/>
      <c r="I224" s="18"/>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8"/>
      <c r="B225" s="18"/>
      <c r="C225" s="18"/>
      <c r="D225" s="18"/>
      <c r="E225" s="18"/>
      <c r="F225" s="68"/>
      <c r="G225" s="18"/>
      <c r="H225" s="18"/>
      <c r="I225" s="18"/>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8"/>
      <c r="B226" s="18"/>
      <c r="C226" s="18"/>
      <c r="D226" s="18"/>
      <c r="E226" s="18"/>
      <c r="F226" s="68"/>
      <c r="G226" s="18"/>
      <c r="H226" s="18"/>
      <c r="I226" s="18"/>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8"/>
      <c r="B227" s="18"/>
      <c r="C227" s="18"/>
      <c r="D227" s="18"/>
      <c r="E227" s="18"/>
      <c r="F227" s="68"/>
      <c r="G227" s="18"/>
      <c r="H227" s="18"/>
      <c r="I227" s="18"/>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8"/>
      <c r="B228" s="18"/>
      <c r="C228" s="18"/>
      <c r="D228" s="18"/>
      <c r="E228" s="18"/>
      <c r="F228" s="68"/>
      <c r="G228" s="18"/>
      <c r="H228" s="18"/>
      <c r="I228" s="18"/>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8"/>
      <c r="B229" s="18"/>
      <c r="C229" s="18"/>
      <c r="D229" s="18"/>
      <c r="E229" s="18"/>
      <c r="F229" s="68"/>
      <c r="G229" s="18"/>
      <c r="H229" s="18"/>
      <c r="I229" s="18"/>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8"/>
      <c r="B230" s="18"/>
      <c r="C230" s="18"/>
      <c r="D230" s="18"/>
      <c r="E230" s="18"/>
      <c r="F230" s="68"/>
      <c r="G230" s="18"/>
      <c r="H230" s="18"/>
      <c r="I230" s="18"/>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8"/>
      <c r="B231" s="18"/>
      <c r="C231" s="18"/>
      <c r="D231" s="18"/>
      <c r="E231" s="18"/>
      <c r="F231" s="68"/>
      <c r="G231" s="18"/>
      <c r="H231" s="18"/>
      <c r="I231" s="18"/>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8"/>
      <c r="B232" s="18"/>
      <c r="C232" s="18"/>
      <c r="D232" s="18"/>
      <c r="E232" s="18"/>
      <c r="F232" s="68"/>
      <c r="G232" s="18"/>
      <c r="H232" s="18"/>
      <c r="I232" s="18"/>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8"/>
      <c r="B233" s="18"/>
      <c r="C233" s="18"/>
      <c r="D233" s="18"/>
      <c r="E233" s="18"/>
      <c r="F233" s="68"/>
      <c r="G233" s="18"/>
      <c r="H233" s="18"/>
      <c r="I233" s="18"/>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8"/>
      <c r="B234" s="18"/>
      <c r="C234" s="18"/>
      <c r="D234" s="18"/>
      <c r="E234" s="18"/>
      <c r="F234" s="68"/>
      <c r="G234" s="18"/>
      <c r="H234" s="18"/>
      <c r="I234" s="18"/>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8"/>
      <c r="B235" s="18"/>
      <c r="C235" s="18"/>
      <c r="D235" s="18"/>
      <c r="E235" s="18"/>
      <c r="F235" s="68"/>
      <c r="G235" s="18"/>
      <c r="H235" s="18"/>
      <c r="I235" s="18"/>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8"/>
      <c r="B236" s="18"/>
      <c r="C236" s="18"/>
      <c r="D236" s="18"/>
      <c r="E236" s="18"/>
      <c r="F236" s="68"/>
      <c r="G236" s="18"/>
      <c r="H236" s="18"/>
      <c r="I236" s="18"/>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8"/>
      <c r="B237" s="18"/>
      <c r="C237" s="18"/>
      <c r="D237" s="18"/>
      <c r="E237" s="18"/>
      <c r="F237" s="68"/>
      <c r="G237" s="18"/>
      <c r="H237" s="18"/>
      <c r="I237" s="18"/>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8"/>
      <c r="B238" s="18"/>
      <c r="C238" s="18"/>
      <c r="D238" s="18"/>
      <c r="E238" s="18"/>
      <c r="F238" s="68"/>
      <c r="G238" s="18"/>
      <c r="H238" s="18"/>
      <c r="I238" s="18"/>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8"/>
      <c r="B239" s="18"/>
      <c r="C239" s="18"/>
      <c r="D239" s="18"/>
      <c r="E239" s="18"/>
      <c r="F239" s="68"/>
      <c r="G239" s="18"/>
      <c r="H239" s="18"/>
      <c r="I239" s="18"/>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8"/>
      <c r="B240" s="18"/>
      <c r="C240" s="18"/>
      <c r="D240" s="18"/>
      <c r="E240" s="18"/>
      <c r="F240" s="68"/>
      <c r="G240" s="18"/>
      <c r="H240" s="18"/>
      <c r="I240" s="18"/>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8"/>
      <c r="B241" s="18"/>
      <c r="C241" s="18"/>
      <c r="D241" s="18"/>
      <c r="E241" s="18"/>
      <c r="F241" s="68"/>
      <c r="G241" s="18"/>
      <c r="H241" s="18"/>
      <c r="I241" s="18"/>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8"/>
      <c r="B242" s="18"/>
      <c r="C242" s="18"/>
      <c r="D242" s="18"/>
      <c r="E242" s="18"/>
      <c r="F242" s="68"/>
      <c r="G242" s="18"/>
      <c r="H242" s="18"/>
      <c r="I242" s="18"/>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8"/>
      <c r="B243" s="18"/>
      <c r="C243" s="18"/>
      <c r="D243" s="18"/>
      <c r="E243" s="18"/>
      <c r="F243" s="68"/>
      <c r="G243" s="18"/>
      <c r="H243" s="18"/>
      <c r="I243" s="18"/>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8"/>
      <c r="B244" s="18"/>
      <c r="C244" s="18"/>
      <c r="D244" s="18"/>
      <c r="E244" s="18"/>
      <c r="F244" s="68"/>
      <c r="G244" s="18"/>
      <c r="H244" s="18"/>
      <c r="I244" s="18"/>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8"/>
      <c r="B245" s="18"/>
      <c r="C245" s="18"/>
      <c r="D245" s="18"/>
      <c r="E245" s="18"/>
      <c r="F245" s="68"/>
      <c r="G245" s="18"/>
      <c r="H245" s="18"/>
      <c r="I245" s="18"/>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8"/>
      <c r="B246" s="18"/>
      <c r="C246" s="18"/>
      <c r="D246" s="18"/>
      <c r="E246" s="18"/>
      <c r="F246" s="68"/>
      <c r="G246" s="18"/>
      <c r="H246" s="18"/>
      <c r="I246" s="18"/>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8"/>
      <c r="B247" s="18"/>
      <c r="C247" s="18"/>
      <c r="D247" s="18"/>
      <c r="E247" s="18"/>
      <c r="F247" s="68"/>
      <c r="G247" s="18"/>
      <c r="H247" s="18"/>
      <c r="I247" s="18"/>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8"/>
      <c r="B248" s="18"/>
      <c r="C248" s="18"/>
      <c r="D248" s="18"/>
      <c r="E248" s="18"/>
      <c r="F248" s="68"/>
      <c r="G248" s="18"/>
      <c r="H248" s="18"/>
      <c r="I248" s="18"/>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8"/>
      <c r="B249" s="18"/>
      <c r="C249" s="18"/>
      <c r="D249" s="18"/>
      <c r="E249" s="18"/>
      <c r="F249" s="68"/>
      <c r="G249" s="18"/>
      <c r="H249" s="18"/>
      <c r="I249" s="18"/>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8"/>
      <c r="B250" s="18"/>
      <c r="C250" s="18"/>
      <c r="D250" s="18"/>
      <c r="E250" s="18"/>
      <c r="F250" s="68"/>
      <c r="G250" s="18"/>
      <c r="H250" s="18"/>
      <c r="I250" s="18"/>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8"/>
      <c r="B251" s="18"/>
      <c r="C251" s="18"/>
      <c r="D251" s="18"/>
      <c r="E251" s="18"/>
      <c r="F251" s="68"/>
      <c r="G251" s="18"/>
      <c r="H251" s="18"/>
      <c r="I251" s="18"/>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8"/>
      <c r="B252" s="18"/>
      <c r="C252" s="18"/>
      <c r="D252" s="18"/>
      <c r="E252" s="18"/>
      <c r="F252" s="68"/>
      <c r="G252" s="18"/>
      <c r="H252" s="18"/>
      <c r="I252" s="18"/>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8"/>
      <c r="B253" s="18"/>
      <c r="C253" s="18"/>
      <c r="D253" s="18"/>
      <c r="E253" s="18"/>
      <c r="F253" s="68"/>
      <c r="G253" s="18"/>
      <c r="H253" s="18"/>
      <c r="I253" s="18"/>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8"/>
      <c r="B254" s="18"/>
      <c r="C254" s="18"/>
      <c r="D254" s="18"/>
      <c r="E254" s="18"/>
      <c r="F254" s="68"/>
      <c r="G254" s="18"/>
      <c r="H254" s="18"/>
      <c r="I254" s="18"/>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8"/>
      <c r="B255" s="18"/>
      <c r="C255" s="18"/>
      <c r="D255" s="18"/>
      <c r="E255" s="18"/>
      <c r="F255" s="68"/>
      <c r="G255" s="18"/>
      <c r="H255" s="18"/>
      <c r="I255" s="18"/>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8"/>
      <c r="B256" s="18"/>
      <c r="C256" s="18"/>
      <c r="D256" s="18"/>
      <c r="E256" s="18"/>
      <c r="F256" s="68"/>
      <c r="G256" s="18"/>
      <c r="H256" s="18"/>
      <c r="I256" s="18"/>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8"/>
      <c r="B257" s="18"/>
      <c r="C257" s="18"/>
      <c r="D257" s="18"/>
      <c r="E257" s="18"/>
      <c r="F257" s="68"/>
      <c r="G257" s="18"/>
      <c r="H257" s="18"/>
      <c r="I257" s="18"/>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8"/>
      <c r="B258" s="18"/>
      <c r="C258" s="18"/>
      <c r="D258" s="18"/>
      <c r="E258" s="18"/>
      <c r="F258" s="68"/>
      <c r="G258" s="18"/>
      <c r="H258" s="18"/>
      <c r="I258" s="18"/>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8"/>
      <c r="B259" s="18"/>
      <c r="C259" s="18"/>
      <c r="D259" s="18"/>
      <c r="E259" s="18"/>
      <c r="F259" s="68"/>
      <c r="G259" s="18"/>
      <c r="H259" s="18"/>
      <c r="I259" s="18"/>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8"/>
      <c r="B260" s="18"/>
      <c r="C260" s="18"/>
      <c r="D260" s="18"/>
      <c r="E260" s="18"/>
      <c r="F260" s="68"/>
      <c r="G260" s="18"/>
      <c r="H260" s="18"/>
      <c r="I260" s="18"/>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8"/>
      <c r="B261" s="18"/>
      <c r="C261" s="18"/>
      <c r="D261" s="18"/>
      <c r="E261" s="18"/>
      <c r="F261" s="68"/>
      <c r="G261" s="18"/>
      <c r="H261" s="18"/>
      <c r="I261" s="18"/>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8"/>
      <c r="B262" s="18"/>
      <c r="C262" s="18"/>
      <c r="D262" s="18"/>
      <c r="E262" s="18"/>
      <c r="F262" s="68"/>
      <c r="G262" s="18"/>
      <c r="H262" s="18"/>
      <c r="I262" s="18"/>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8"/>
      <c r="B263" s="18"/>
      <c r="C263" s="18"/>
      <c r="D263" s="18"/>
      <c r="E263" s="18"/>
      <c r="F263" s="68"/>
      <c r="G263" s="18"/>
      <c r="H263" s="18"/>
      <c r="I263" s="18"/>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8"/>
      <c r="B264" s="18"/>
      <c r="C264" s="18"/>
      <c r="D264" s="18"/>
      <c r="E264" s="18"/>
      <c r="F264" s="68"/>
      <c r="G264" s="18"/>
      <c r="H264" s="18"/>
      <c r="I264" s="18"/>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8"/>
      <c r="B265" s="18"/>
      <c r="C265" s="18"/>
      <c r="D265" s="18"/>
      <c r="E265" s="18"/>
      <c r="F265" s="68"/>
      <c r="G265" s="18"/>
      <c r="H265" s="18"/>
      <c r="I265" s="18"/>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8"/>
      <c r="B266" s="18"/>
      <c r="C266" s="18"/>
      <c r="D266" s="18"/>
      <c r="E266" s="18"/>
      <c r="F266" s="68"/>
      <c r="G266" s="18"/>
      <c r="H266" s="18"/>
      <c r="I266" s="18"/>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8"/>
      <c r="B267" s="18"/>
      <c r="C267" s="18"/>
      <c r="D267" s="18"/>
      <c r="E267" s="18"/>
      <c r="F267" s="68"/>
      <c r="G267" s="18"/>
      <c r="H267" s="18"/>
      <c r="I267" s="18"/>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8"/>
      <c r="B268" s="18"/>
      <c r="C268" s="18"/>
      <c r="D268" s="18"/>
      <c r="E268" s="18"/>
      <c r="F268" s="68"/>
      <c r="G268" s="18"/>
      <c r="H268" s="18"/>
      <c r="I268" s="18"/>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8"/>
      <c r="B269" s="18"/>
      <c r="C269" s="18"/>
      <c r="D269" s="18"/>
      <c r="E269" s="18"/>
      <c r="F269" s="68"/>
      <c r="G269" s="18"/>
      <c r="H269" s="18"/>
      <c r="I269" s="18"/>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8"/>
      <c r="B270" s="18"/>
      <c r="C270" s="18"/>
      <c r="D270" s="18"/>
      <c r="E270" s="18"/>
      <c r="F270" s="68"/>
      <c r="G270" s="18"/>
      <c r="H270" s="18"/>
      <c r="I270" s="18"/>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8"/>
      <c r="B271" s="18"/>
      <c r="C271" s="18"/>
      <c r="D271" s="18"/>
      <c r="E271" s="18"/>
      <c r="F271" s="68"/>
      <c r="G271" s="18"/>
      <c r="H271" s="18"/>
      <c r="I271" s="18"/>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8"/>
      <c r="B272" s="18"/>
      <c r="C272" s="18"/>
      <c r="D272" s="18"/>
      <c r="E272" s="18"/>
      <c r="F272" s="68"/>
      <c r="G272" s="18"/>
      <c r="H272" s="18"/>
      <c r="I272" s="18"/>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8"/>
      <c r="B273" s="18"/>
      <c r="C273" s="18"/>
      <c r="D273" s="18"/>
      <c r="E273" s="18"/>
      <c r="F273" s="68"/>
      <c r="G273" s="18"/>
      <c r="H273" s="18"/>
      <c r="I273" s="18"/>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8"/>
      <c r="B274" s="18"/>
      <c r="C274" s="18"/>
      <c r="D274" s="18"/>
      <c r="E274" s="18"/>
      <c r="F274" s="68"/>
      <c r="G274" s="18"/>
      <c r="H274" s="18"/>
      <c r="I274" s="18"/>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8"/>
      <c r="B275" s="18"/>
      <c r="C275" s="18"/>
      <c r="D275" s="18"/>
      <c r="E275" s="18"/>
      <c r="F275" s="68"/>
      <c r="G275" s="18"/>
      <c r="H275" s="18"/>
      <c r="I275" s="18"/>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8"/>
      <c r="B276" s="18"/>
      <c r="C276" s="18"/>
      <c r="D276" s="18"/>
      <c r="E276" s="18"/>
      <c r="F276" s="68"/>
      <c r="G276" s="18"/>
      <c r="H276" s="18"/>
      <c r="I276" s="18"/>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8"/>
      <c r="B277" s="18"/>
      <c r="C277" s="18"/>
      <c r="D277" s="18"/>
      <c r="E277" s="18"/>
      <c r="F277" s="68"/>
      <c r="G277" s="18"/>
      <c r="H277" s="18"/>
      <c r="I277" s="18"/>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8"/>
      <c r="B278" s="18"/>
      <c r="C278" s="18"/>
      <c r="D278" s="18"/>
      <c r="E278" s="18"/>
      <c r="F278" s="68"/>
      <c r="G278" s="18"/>
      <c r="H278" s="18"/>
      <c r="I278" s="18"/>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8"/>
      <c r="B279" s="18"/>
      <c r="C279" s="18"/>
      <c r="D279" s="18"/>
      <c r="E279" s="18"/>
      <c r="F279" s="68"/>
      <c r="G279" s="18"/>
      <c r="H279" s="18"/>
      <c r="I279" s="18"/>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8"/>
      <c r="B280" s="18"/>
      <c r="C280" s="18"/>
      <c r="D280" s="18"/>
      <c r="E280" s="18"/>
      <c r="F280" s="68"/>
      <c r="G280" s="18"/>
      <c r="H280" s="18"/>
      <c r="I280" s="18"/>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8"/>
      <c r="B281" s="18"/>
      <c r="C281" s="18"/>
      <c r="D281" s="18"/>
      <c r="E281" s="18"/>
      <c r="F281" s="68"/>
      <c r="G281" s="18"/>
      <c r="H281" s="18"/>
      <c r="I281" s="18"/>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8"/>
      <c r="B282" s="18"/>
      <c r="C282" s="18"/>
      <c r="D282" s="18"/>
      <c r="E282" s="18"/>
      <c r="F282" s="68"/>
      <c r="G282" s="18"/>
      <c r="H282" s="18"/>
      <c r="I282" s="18"/>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8"/>
      <c r="B283" s="18"/>
      <c r="C283" s="18"/>
      <c r="D283" s="18"/>
      <c r="E283" s="18"/>
      <c r="F283" s="68"/>
      <c r="G283" s="18"/>
      <c r="H283" s="18"/>
      <c r="I283" s="18"/>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8"/>
      <c r="B284" s="18"/>
      <c r="C284" s="18"/>
      <c r="D284" s="18"/>
      <c r="E284" s="18"/>
      <c r="F284" s="68"/>
      <c r="G284" s="18"/>
      <c r="H284" s="18"/>
      <c r="I284" s="18"/>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8"/>
      <c r="B285" s="18"/>
      <c r="C285" s="18"/>
      <c r="D285" s="18"/>
      <c r="E285" s="18"/>
      <c r="F285" s="68"/>
      <c r="G285" s="18"/>
      <c r="H285" s="18"/>
      <c r="I285" s="18"/>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8"/>
      <c r="B286" s="18"/>
      <c r="C286" s="18"/>
      <c r="D286" s="18"/>
      <c r="E286" s="18"/>
      <c r="F286" s="68"/>
      <c r="G286" s="18"/>
      <c r="H286" s="18"/>
      <c r="I286" s="18"/>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8"/>
      <c r="B287" s="18"/>
      <c r="C287" s="18"/>
      <c r="D287" s="18"/>
      <c r="E287" s="18"/>
      <c r="F287" s="68"/>
      <c r="G287" s="18"/>
      <c r="H287" s="18"/>
      <c r="I287" s="18"/>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8"/>
      <c r="B288" s="18"/>
      <c r="C288" s="18"/>
      <c r="D288" s="18"/>
      <c r="E288" s="18"/>
      <c r="F288" s="68"/>
      <c r="G288" s="18"/>
      <c r="H288" s="18"/>
      <c r="I288" s="18"/>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8"/>
      <c r="B289" s="18"/>
      <c r="C289" s="18"/>
      <c r="D289" s="18"/>
      <c r="E289" s="18"/>
      <c r="F289" s="68"/>
      <c r="G289" s="18"/>
      <c r="H289" s="18"/>
      <c r="I289" s="18"/>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8"/>
      <c r="B290" s="18"/>
      <c r="C290" s="18"/>
      <c r="D290" s="18"/>
      <c r="E290" s="18"/>
      <c r="F290" s="68"/>
      <c r="G290" s="18"/>
      <c r="H290" s="18"/>
      <c r="I290" s="18"/>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8"/>
      <c r="B291" s="18"/>
      <c r="C291" s="18"/>
      <c r="D291" s="18"/>
      <c r="E291" s="18"/>
      <c r="F291" s="68"/>
      <c r="G291" s="18"/>
      <c r="H291" s="18"/>
      <c r="I291" s="18"/>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8"/>
      <c r="B292" s="18"/>
      <c r="C292" s="18"/>
      <c r="D292" s="18"/>
      <c r="E292" s="18"/>
      <c r="F292" s="68"/>
      <c r="G292" s="18"/>
      <c r="H292" s="18"/>
      <c r="I292" s="18"/>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8"/>
      <c r="B293" s="18"/>
      <c r="C293" s="18"/>
      <c r="D293" s="18"/>
      <c r="E293" s="18"/>
      <c r="F293" s="68"/>
      <c r="G293" s="18"/>
      <c r="H293" s="18"/>
      <c r="I293" s="18"/>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8"/>
      <c r="B294" s="18"/>
      <c r="C294" s="18"/>
      <c r="D294" s="18"/>
      <c r="E294" s="18"/>
      <c r="F294" s="68"/>
      <c r="G294" s="18"/>
      <c r="H294" s="18"/>
      <c r="I294" s="18"/>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8"/>
      <c r="B295" s="18"/>
      <c r="C295" s="18"/>
      <c r="D295" s="18"/>
      <c r="E295" s="18"/>
      <c r="F295" s="68"/>
      <c r="G295" s="18"/>
      <c r="H295" s="18"/>
      <c r="I295" s="18"/>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8"/>
      <c r="B296" s="18"/>
      <c r="C296" s="18"/>
      <c r="D296" s="18"/>
      <c r="E296" s="18"/>
      <c r="F296" s="68"/>
      <c r="G296" s="18"/>
      <c r="H296" s="18"/>
      <c r="I296" s="18"/>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8"/>
      <c r="B297" s="18"/>
      <c r="C297" s="18"/>
      <c r="D297" s="18"/>
      <c r="E297" s="18"/>
      <c r="F297" s="68"/>
      <c r="G297" s="18"/>
      <c r="H297" s="18"/>
      <c r="I297" s="18"/>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8"/>
      <c r="B298" s="18"/>
      <c r="C298" s="18"/>
      <c r="D298" s="18"/>
      <c r="E298" s="18"/>
      <c r="F298" s="68"/>
      <c r="G298" s="18"/>
      <c r="H298" s="18"/>
      <c r="I298" s="18"/>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8"/>
      <c r="B299" s="18"/>
      <c r="C299" s="18"/>
      <c r="D299" s="18"/>
      <c r="E299" s="18"/>
      <c r="F299" s="68"/>
      <c r="G299" s="18"/>
      <c r="H299" s="18"/>
      <c r="I299" s="18"/>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8"/>
      <c r="B300" s="18"/>
      <c r="C300" s="18"/>
      <c r="D300" s="18"/>
      <c r="E300" s="18"/>
      <c r="F300" s="68"/>
      <c r="G300" s="18"/>
      <c r="H300" s="18"/>
      <c r="I300" s="18"/>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8"/>
      <c r="B301" s="18"/>
      <c r="C301" s="18"/>
      <c r="D301" s="18"/>
      <c r="E301" s="18"/>
      <c r="F301" s="68"/>
      <c r="G301" s="18"/>
      <c r="H301" s="18"/>
      <c r="I301" s="18"/>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8"/>
      <c r="B302" s="18"/>
      <c r="C302" s="18"/>
      <c r="D302" s="18"/>
      <c r="E302" s="18"/>
      <c r="F302" s="68"/>
      <c r="G302" s="18"/>
      <c r="H302" s="18"/>
      <c r="I302" s="18"/>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8"/>
      <c r="B303" s="18"/>
      <c r="C303" s="18"/>
      <c r="D303" s="18"/>
      <c r="E303" s="18"/>
      <c r="F303" s="68"/>
      <c r="G303" s="18"/>
      <c r="H303" s="18"/>
      <c r="I303" s="18"/>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8"/>
      <c r="B304" s="18"/>
      <c r="C304" s="18"/>
      <c r="D304" s="18"/>
      <c r="E304" s="18"/>
      <c r="F304" s="68"/>
      <c r="G304" s="18"/>
      <c r="H304" s="18"/>
      <c r="I304" s="18"/>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8"/>
      <c r="B305" s="18"/>
      <c r="C305" s="18"/>
      <c r="D305" s="18"/>
      <c r="E305" s="18"/>
      <c r="F305" s="68"/>
      <c r="G305" s="18"/>
      <c r="H305" s="18"/>
      <c r="I305" s="18"/>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8"/>
      <c r="B306" s="18"/>
      <c r="C306" s="18"/>
      <c r="D306" s="18"/>
      <c r="E306" s="18"/>
      <c r="F306" s="68"/>
      <c r="G306" s="18"/>
      <c r="H306" s="18"/>
      <c r="I306" s="18"/>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8"/>
      <c r="B307" s="18"/>
      <c r="C307" s="18"/>
      <c r="D307" s="18"/>
      <c r="E307" s="18"/>
      <c r="F307" s="68"/>
      <c r="G307" s="18"/>
      <c r="H307" s="18"/>
      <c r="I307" s="18"/>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8"/>
      <c r="B308" s="18"/>
      <c r="C308" s="18"/>
      <c r="D308" s="18"/>
      <c r="E308" s="18"/>
      <c r="F308" s="68"/>
      <c r="G308" s="18"/>
      <c r="H308" s="18"/>
      <c r="I308" s="18"/>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8"/>
      <c r="B309" s="18"/>
      <c r="C309" s="18"/>
      <c r="D309" s="18"/>
      <c r="E309" s="18"/>
      <c r="F309" s="68"/>
      <c r="G309" s="18"/>
      <c r="H309" s="18"/>
      <c r="I309" s="18"/>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8"/>
      <c r="B310" s="18"/>
      <c r="C310" s="18"/>
      <c r="D310" s="18"/>
      <c r="E310" s="18"/>
      <c r="F310" s="68"/>
      <c r="G310" s="18"/>
      <c r="H310" s="18"/>
      <c r="I310" s="18"/>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8"/>
      <c r="B311" s="18"/>
      <c r="C311" s="18"/>
      <c r="D311" s="18"/>
      <c r="E311" s="18"/>
      <c r="F311" s="68"/>
      <c r="G311" s="18"/>
      <c r="H311" s="18"/>
      <c r="I311" s="18"/>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8"/>
      <c r="B312" s="18"/>
      <c r="C312" s="18"/>
      <c r="D312" s="18"/>
      <c r="E312" s="18"/>
      <c r="F312" s="68"/>
      <c r="G312" s="18"/>
      <c r="H312" s="18"/>
      <c r="I312" s="18"/>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8"/>
      <c r="B313" s="18"/>
      <c r="C313" s="18"/>
      <c r="D313" s="18"/>
      <c r="E313" s="18"/>
      <c r="F313" s="68"/>
      <c r="G313" s="18"/>
      <c r="H313" s="18"/>
      <c r="I313" s="18"/>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8"/>
      <c r="B314" s="18"/>
      <c r="C314" s="18"/>
      <c r="D314" s="18"/>
      <c r="E314" s="18"/>
      <c r="F314" s="68"/>
      <c r="G314" s="18"/>
      <c r="H314" s="18"/>
      <c r="I314" s="18"/>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8"/>
      <c r="B315" s="18"/>
      <c r="C315" s="18"/>
      <c r="D315" s="18"/>
      <c r="E315" s="18"/>
      <c r="F315" s="68"/>
      <c r="G315" s="18"/>
      <c r="H315" s="18"/>
      <c r="I315" s="18"/>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8"/>
      <c r="B316" s="18"/>
      <c r="C316" s="18"/>
      <c r="D316" s="18"/>
      <c r="E316" s="18"/>
      <c r="F316" s="68"/>
      <c r="G316" s="18"/>
      <c r="H316" s="18"/>
      <c r="I316" s="18"/>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8"/>
      <c r="B317" s="18"/>
      <c r="C317" s="18"/>
      <c r="D317" s="18"/>
      <c r="E317" s="18"/>
      <c r="F317" s="68"/>
      <c r="G317" s="18"/>
      <c r="H317" s="18"/>
      <c r="I317" s="18"/>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8"/>
      <c r="B318" s="18"/>
      <c r="C318" s="18"/>
      <c r="D318" s="18"/>
      <c r="E318" s="18"/>
      <c r="F318" s="68"/>
      <c r="G318" s="18"/>
      <c r="H318" s="18"/>
      <c r="I318" s="18"/>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8"/>
      <c r="B319" s="18"/>
      <c r="C319" s="18"/>
      <c r="D319" s="18"/>
      <c r="E319" s="18"/>
      <c r="F319" s="68"/>
      <c r="G319" s="18"/>
      <c r="H319" s="18"/>
      <c r="I319" s="18"/>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8"/>
      <c r="B320" s="18"/>
      <c r="C320" s="18"/>
      <c r="D320" s="18"/>
      <c r="E320" s="18"/>
      <c r="F320" s="68"/>
      <c r="G320" s="18"/>
      <c r="H320" s="18"/>
      <c r="I320" s="18"/>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8"/>
      <c r="B321" s="18"/>
      <c r="C321" s="18"/>
      <c r="D321" s="18"/>
      <c r="E321" s="18"/>
      <c r="F321" s="68"/>
      <c r="G321" s="18"/>
      <c r="H321" s="18"/>
      <c r="I321" s="18"/>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8"/>
      <c r="B322" s="18"/>
      <c r="C322" s="18"/>
      <c r="D322" s="18"/>
      <c r="E322" s="18"/>
      <c r="F322" s="68"/>
      <c r="G322" s="18"/>
      <c r="H322" s="18"/>
      <c r="I322" s="18"/>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8"/>
      <c r="B323" s="18"/>
      <c r="C323" s="18"/>
      <c r="D323" s="18"/>
      <c r="E323" s="18"/>
      <c r="F323" s="68"/>
      <c r="G323" s="18"/>
      <c r="H323" s="18"/>
      <c r="I323" s="18"/>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8"/>
      <c r="B324" s="18"/>
      <c r="C324" s="18"/>
      <c r="D324" s="18"/>
      <c r="E324" s="18"/>
      <c r="F324" s="68"/>
      <c r="G324" s="18"/>
      <c r="H324" s="18"/>
      <c r="I324" s="18"/>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8"/>
      <c r="B325" s="18"/>
      <c r="C325" s="18"/>
      <c r="D325" s="18"/>
      <c r="E325" s="18"/>
      <c r="F325" s="68"/>
      <c r="G325" s="18"/>
      <c r="H325" s="18"/>
      <c r="I325" s="18"/>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8"/>
      <c r="B326" s="18"/>
      <c r="C326" s="18"/>
      <c r="D326" s="18"/>
      <c r="E326" s="18"/>
      <c r="F326" s="68"/>
      <c r="G326" s="18"/>
      <c r="H326" s="18"/>
      <c r="I326" s="18"/>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8"/>
      <c r="B327" s="18"/>
      <c r="C327" s="18"/>
      <c r="D327" s="18"/>
      <c r="E327" s="18"/>
      <c r="F327" s="68"/>
      <c r="G327" s="18"/>
      <c r="H327" s="18"/>
      <c r="I327" s="18"/>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8"/>
      <c r="B328" s="18"/>
      <c r="C328" s="18"/>
      <c r="D328" s="18"/>
      <c r="E328" s="18"/>
      <c r="F328" s="68"/>
      <c r="G328" s="18"/>
      <c r="H328" s="18"/>
      <c r="I328" s="18"/>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8"/>
      <c r="B329" s="18"/>
      <c r="C329" s="18"/>
      <c r="D329" s="18"/>
      <c r="E329" s="18"/>
      <c r="F329" s="68"/>
      <c r="G329" s="18"/>
      <c r="H329" s="18"/>
      <c r="I329" s="18"/>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8"/>
      <c r="B330" s="18"/>
      <c r="C330" s="18"/>
      <c r="D330" s="18"/>
      <c r="E330" s="18"/>
      <c r="F330" s="68"/>
      <c r="G330" s="18"/>
      <c r="H330" s="18"/>
      <c r="I330" s="18"/>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8"/>
      <c r="B331" s="18"/>
      <c r="C331" s="18"/>
      <c r="D331" s="18"/>
      <c r="E331" s="18"/>
      <c r="F331" s="68"/>
      <c r="G331" s="18"/>
      <c r="H331" s="18"/>
      <c r="I331" s="18"/>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8"/>
      <c r="B332" s="18"/>
      <c r="C332" s="18"/>
      <c r="D332" s="18"/>
      <c r="E332" s="18"/>
      <c r="F332" s="68"/>
      <c r="G332" s="18"/>
      <c r="H332" s="18"/>
      <c r="I332" s="18"/>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8"/>
      <c r="B333" s="18"/>
      <c r="C333" s="18"/>
      <c r="D333" s="18"/>
      <c r="E333" s="18"/>
      <c r="F333" s="68"/>
      <c r="G333" s="18"/>
      <c r="H333" s="18"/>
      <c r="I333" s="18"/>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8"/>
      <c r="B334" s="18"/>
      <c r="C334" s="18"/>
      <c r="D334" s="18"/>
      <c r="E334" s="18"/>
      <c r="F334" s="68"/>
      <c r="G334" s="18"/>
      <c r="H334" s="18"/>
      <c r="I334" s="18"/>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8"/>
      <c r="B335" s="18"/>
      <c r="C335" s="18"/>
      <c r="D335" s="18"/>
      <c r="E335" s="18"/>
      <c r="F335" s="68"/>
      <c r="G335" s="18"/>
      <c r="H335" s="18"/>
      <c r="I335" s="18"/>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8"/>
      <c r="B336" s="18"/>
      <c r="C336" s="18"/>
      <c r="D336" s="18"/>
      <c r="E336" s="18"/>
      <c r="F336" s="68"/>
      <c r="G336" s="18"/>
      <c r="H336" s="18"/>
      <c r="I336" s="18"/>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8"/>
      <c r="B337" s="18"/>
      <c r="C337" s="18"/>
      <c r="D337" s="18"/>
      <c r="E337" s="18"/>
      <c r="F337" s="68"/>
      <c r="G337" s="18"/>
      <c r="H337" s="18"/>
      <c r="I337" s="18"/>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8"/>
      <c r="B338" s="18"/>
      <c r="C338" s="18"/>
      <c r="D338" s="18"/>
      <c r="E338" s="18"/>
      <c r="F338" s="68"/>
      <c r="G338" s="18"/>
      <c r="H338" s="18"/>
      <c r="I338" s="18"/>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8"/>
      <c r="B339" s="18"/>
      <c r="C339" s="18"/>
      <c r="D339" s="18"/>
      <c r="E339" s="18"/>
      <c r="F339" s="68"/>
      <c r="G339" s="18"/>
      <c r="H339" s="18"/>
      <c r="I339" s="18"/>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8"/>
      <c r="B340" s="18"/>
      <c r="C340" s="18"/>
      <c r="D340" s="18"/>
      <c r="E340" s="18"/>
      <c r="F340" s="68"/>
      <c r="G340" s="18"/>
      <c r="H340" s="18"/>
      <c r="I340" s="18"/>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8"/>
      <c r="B341" s="18"/>
      <c r="C341" s="18"/>
      <c r="D341" s="18"/>
      <c r="E341" s="18"/>
      <c r="F341" s="68"/>
      <c r="G341" s="18"/>
      <c r="H341" s="18"/>
      <c r="I341" s="18"/>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8"/>
      <c r="B342" s="18"/>
      <c r="C342" s="18"/>
      <c r="D342" s="18"/>
      <c r="E342" s="18"/>
      <c r="F342" s="68"/>
      <c r="G342" s="18"/>
      <c r="H342" s="18"/>
      <c r="I342" s="18"/>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8"/>
      <c r="B343" s="18"/>
      <c r="C343" s="18"/>
      <c r="D343" s="18"/>
      <c r="E343" s="18"/>
      <c r="F343" s="68"/>
      <c r="G343" s="18"/>
      <c r="H343" s="18"/>
      <c r="I343" s="18"/>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8"/>
      <c r="B344" s="18"/>
      <c r="C344" s="18"/>
      <c r="D344" s="18"/>
      <c r="E344" s="18"/>
      <c r="F344" s="68"/>
      <c r="G344" s="18"/>
      <c r="H344" s="18"/>
      <c r="I344" s="18"/>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8"/>
      <c r="B345" s="18"/>
      <c r="C345" s="18"/>
      <c r="D345" s="18"/>
      <c r="E345" s="18"/>
      <c r="F345" s="68"/>
      <c r="G345" s="18"/>
      <c r="H345" s="18"/>
      <c r="I345" s="18"/>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8"/>
      <c r="B346" s="18"/>
      <c r="C346" s="18"/>
      <c r="D346" s="18"/>
      <c r="E346" s="18"/>
      <c r="F346" s="68"/>
      <c r="G346" s="18"/>
      <c r="H346" s="18"/>
      <c r="I346" s="18"/>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8"/>
      <c r="B347" s="18"/>
      <c r="C347" s="18"/>
      <c r="D347" s="18"/>
      <c r="E347" s="18"/>
      <c r="F347" s="68"/>
      <c r="G347" s="18"/>
      <c r="H347" s="18"/>
      <c r="I347" s="18"/>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8"/>
      <c r="B348" s="18"/>
      <c r="C348" s="18"/>
      <c r="D348" s="18"/>
      <c r="E348" s="18"/>
      <c r="F348" s="68"/>
      <c r="G348" s="18"/>
      <c r="H348" s="18"/>
      <c r="I348" s="18"/>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8"/>
      <c r="B349" s="18"/>
      <c r="C349" s="18"/>
      <c r="D349" s="18"/>
      <c r="E349" s="18"/>
      <c r="F349" s="68"/>
      <c r="G349" s="18"/>
      <c r="H349" s="18"/>
      <c r="I349" s="18"/>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8"/>
      <c r="B350" s="18"/>
      <c r="C350" s="18"/>
      <c r="D350" s="18"/>
      <c r="E350" s="18"/>
      <c r="F350" s="68"/>
      <c r="G350" s="18"/>
      <c r="H350" s="18"/>
      <c r="I350" s="18"/>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8"/>
      <c r="B351" s="18"/>
      <c r="C351" s="18"/>
      <c r="D351" s="18"/>
      <c r="E351" s="18"/>
      <c r="F351" s="68"/>
      <c r="G351" s="18"/>
      <c r="H351" s="18"/>
      <c r="I351" s="18"/>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8"/>
      <c r="B352" s="18"/>
      <c r="C352" s="18"/>
      <c r="D352" s="18"/>
      <c r="E352" s="18"/>
      <c r="F352" s="68"/>
      <c r="G352" s="18"/>
      <c r="H352" s="18"/>
      <c r="I352" s="18"/>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8"/>
      <c r="B353" s="18"/>
      <c r="C353" s="18"/>
      <c r="D353" s="18"/>
      <c r="E353" s="18"/>
      <c r="F353" s="68"/>
      <c r="G353" s="18"/>
      <c r="H353" s="18"/>
      <c r="I353" s="18"/>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8"/>
      <c r="B354" s="18"/>
      <c r="C354" s="18"/>
      <c r="D354" s="18"/>
      <c r="E354" s="18"/>
      <c r="F354" s="68"/>
      <c r="G354" s="18"/>
      <c r="H354" s="18"/>
      <c r="I354" s="18"/>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8"/>
      <c r="B355" s="18"/>
      <c r="C355" s="18"/>
      <c r="D355" s="18"/>
      <c r="E355" s="18"/>
      <c r="F355" s="68"/>
      <c r="G355" s="18"/>
      <c r="H355" s="18"/>
      <c r="I355" s="18"/>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8"/>
      <c r="B356" s="18"/>
      <c r="C356" s="18"/>
      <c r="D356" s="18"/>
      <c r="E356" s="18"/>
      <c r="F356" s="68"/>
      <c r="G356" s="18"/>
      <c r="H356" s="18"/>
      <c r="I356" s="18"/>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8"/>
      <c r="B357" s="18"/>
      <c r="C357" s="18"/>
      <c r="D357" s="18"/>
      <c r="E357" s="18"/>
      <c r="F357" s="68"/>
      <c r="G357" s="18"/>
      <c r="H357" s="18"/>
      <c r="I357" s="18"/>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8"/>
      <c r="B358" s="18"/>
      <c r="C358" s="18"/>
      <c r="D358" s="18"/>
      <c r="E358" s="18"/>
      <c r="F358" s="68"/>
      <c r="G358" s="18"/>
      <c r="H358" s="18"/>
      <c r="I358" s="18"/>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8"/>
      <c r="B359" s="18"/>
      <c r="C359" s="18"/>
      <c r="D359" s="18"/>
      <c r="E359" s="18"/>
      <c r="F359" s="68"/>
      <c r="G359" s="18"/>
      <c r="H359" s="18"/>
      <c r="I359" s="18"/>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8"/>
      <c r="B360" s="18"/>
      <c r="C360" s="18"/>
      <c r="D360" s="18"/>
      <c r="E360" s="18"/>
      <c r="F360" s="68"/>
      <c r="G360" s="18"/>
      <c r="H360" s="18"/>
      <c r="I360" s="18"/>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8"/>
      <c r="B361" s="18"/>
      <c r="C361" s="18"/>
      <c r="D361" s="18"/>
      <c r="E361" s="18"/>
      <c r="F361" s="68"/>
      <c r="G361" s="18"/>
      <c r="H361" s="18"/>
      <c r="I361" s="18"/>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8"/>
      <c r="B362" s="18"/>
      <c r="C362" s="18"/>
      <c r="D362" s="18"/>
      <c r="E362" s="18"/>
      <c r="F362" s="68"/>
      <c r="G362" s="18"/>
      <c r="H362" s="18"/>
      <c r="I362" s="18"/>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8"/>
      <c r="B363" s="18"/>
      <c r="C363" s="18"/>
      <c r="D363" s="18"/>
      <c r="E363" s="18"/>
      <c r="F363" s="68"/>
      <c r="G363" s="18"/>
      <c r="H363" s="18"/>
      <c r="I363" s="18"/>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8"/>
      <c r="B364" s="18"/>
      <c r="C364" s="18"/>
      <c r="D364" s="18"/>
      <c r="E364" s="18"/>
      <c r="F364" s="68"/>
      <c r="G364" s="18"/>
      <c r="H364" s="18"/>
      <c r="I364" s="18"/>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8"/>
      <c r="B365" s="18"/>
      <c r="C365" s="18"/>
      <c r="D365" s="18"/>
      <c r="E365" s="18"/>
      <c r="F365" s="68"/>
      <c r="G365" s="18"/>
      <c r="H365" s="18"/>
      <c r="I365" s="18"/>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8"/>
      <c r="B366" s="18"/>
      <c r="C366" s="18"/>
      <c r="D366" s="18"/>
      <c r="E366" s="18"/>
      <c r="F366" s="68"/>
      <c r="G366" s="18"/>
      <c r="H366" s="18"/>
      <c r="I366" s="18"/>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8"/>
      <c r="B367" s="18"/>
      <c r="C367" s="18"/>
      <c r="D367" s="18"/>
      <c r="E367" s="18"/>
      <c r="F367" s="68"/>
      <c r="G367" s="18"/>
      <c r="H367" s="18"/>
      <c r="I367" s="18"/>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8"/>
      <c r="B368" s="18"/>
      <c r="C368" s="18"/>
      <c r="D368" s="18"/>
      <c r="E368" s="18"/>
      <c r="F368" s="68"/>
      <c r="G368" s="18"/>
      <c r="H368" s="18"/>
      <c r="I368" s="18"/>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8"/>
      <c r="B369" s="18"/>
      <c r="C369" s="18"/>
      <c r="D369" s="18"/>
      <c r="E369" s="18"/>
      <c r="F369" s="68"/>
      <c r="G369" s="18"/>
      <c r="H369" s="18"/>
      <c r="I369" s="18"/>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8"/>
      <c r="B370" s="18"/>
      <c r="C370" s="18"/>
      <c r="D370" s="18"/>
      <c r="E370" s="18"/>
      <c r="F370" s="68"/>
      <c r="G370" s="18"/>
      <c r="H370" s="18"/>
      <c r="I370" s="18"/>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8"/>
      <c r="B371" s="18"/>
      <c r="C371" s="18"/>
      <c r="D371" s="18"/>
      <c r="E371" s="18"/>
      <c r="F371" s="68"/>
      <c r="G371" s="18"/>
      <c r="H371" s="18"/>
      <c r="I371" s="18"/>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8"/>
      <c r="B372" s="18"/>
      <c r="C372" s="18"/>
      <c r="D372" s="18"/>
      <c r="E372" s="18"/>
      <c r="F372" s="68"/>
      <c r="G372" s="18"/>
      <c r="H372" s="18"/>
      <c r="I372" s="18"/>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8"/>
      <c r="B373" s="18"/>
      <c r="C373" s="18"/>
      <c r="D373" s="18"/>
      <c r="E373" s="18"/>
      <c r="F373" s="68"/>
      <c r="G373" s="18"/>
      <c r="H373" s="18"/>
      <c r="I373" s="18"/>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8"/>
      <c r="B374" s="18"/>
      <c r="C374" s="18"/>
      <c r="D374" s="18"/>
      <c r="E374" s="18"/>
      <c r="F374" s="68"/>
      <c r="G374" s="18"/>
      <c r="H374" s="18"/>
      <c r="I374" s="18"/>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8"/>
      <c r="B375" s="18"/>
      <c r="C375" s="18"/>
      <c r="D375" s="18"/>
      <c r="E375" s="18"/>
      <c r="F375" s="68"/>
      <c r="G375" s="18"/>
      <c r="H375" s="18"/>
      <c r="I375" s="18"/>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8"/>
      <c r="B376" s="18"/>
      <c r="C376" s="18"/>
      <c r="D376" s="18"/>
      <c r="E376" s="18"/>
      <c r="F376" s="68"/>
      <c r="G376" s="18"/>
      <c r="H376" s="18"/>
      <c r="I376" s="18"/>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8"/>
      <c r="B377" s="18"/>
      <c r="C377" s="18"/>
      <c r="D377" s="18"/>
      <c r="E377" s="18"/>
      <c r="F377" s="68"/>
      <c r="G377" s="18"/>
      <c r="H377" s="18"/>
      <c r="I377" s="18"/>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8"/>
      <c r="B378" s="18"/>
      <c r="C378" s="18"/>
      <c r="D378" s="18"/>
      <c r="E378" s="18"/>
      <c r="F378" s="68"/>
      <c r="G378" s="18"/>
      <c r="H378" s="18"/>
      <c r="I378" s="18"/>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8"/>
      <c r="B379" s="18"/>
      <c r="C379" s="18"/>
      <c r="D379" s="18"/>
      <c r="E379" s="18"/>
      <c r="F379" s="68"/>
      <c r="G379" s="18"/>
      <c r="H379" s="18"/>
      <c r="I379" s="18"/>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8"/>
      <c r="B380" s="18"/>
      <c r="C380" s="18"/>
      <c r="D380" s="18"/>
      <c r="E380" s="18"/>
      <c r="F380" s="68"/>
      <c r="G380" s="18"/>
      <c r="H380" s="18"/>
      <c r="I380" s="18"/>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8"/>
      <c r="B381" s="18"/>
      <c r="C381" s="18"/>
      <c r="D381" s="18"/>
      <c r="E381" s="18"/>
      <c r="F381" s="68"/>
      <c r="G381" s="18"/>
      <c r="H381" s="18"/>
      <c r="I381" s="18"/>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8"/>
      <c r="B382" s="18"/>
      <c r="C382" s="18"/>
      <c r="D382" s="18"/>
      <c r="E382" s="18"/>
      <c r="F382" s="68"/>
      <c r="G382" s="18"/>
      <c r="H382" s="18"/>
      <c r="I382" s="18"/>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8"/>
      <c r="B383" s="18"/>
      <c r="C383" s="18"/>
      <c r="D383" s="18"/>
      <c r="E383" s="18"/>
      <c r="F383" s="68"/>
      <c r="G383" s="18"/>
      <c r="H383" s="18"/>
      <c r="I383" s="18"/>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8"/>
      <c r="B384" s="18"/>
      <c r="C384" s="18"/>
      <c r="D384" s="18"/>
      <c r="E384" s="18"/>
      <c r="F384" s="68"/>
      <c r="G384" s="18"/>
      <c r="H384" s="18"/>
      <c r="I384" s="18"/>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8"/>
      <c r="B385" s="18"/>
      <c r="C385" s="18"/>
      <c r="D385" s="18"/>
      <c r="E385" s="18"/>
      <c r="F385" s="68"/>
      <c r="G385" s="18"/>
      <c r="H385" s="18"/>
      <c r="I385" s="18"/>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8"/>
      <c r="B386" s="18"/>
      <c r="C386" s="18"/>
      <c r="D386" s="18"/>
      <c r="E386" s="18"/>
      <c r="F386" s="68"/>
      <c r="G386" s="18"/>
      <c r="H386" s="18"/>
      <c r="I386" s="18"/>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8"/>
      <c r="B387" s="18"/>
      <c r="C387" s="18"/>
      <c r="D387" s="18"/>
      <c r="E387" s="18"/>
      <c r="F387" s="68"/>
      <c r="G387" s="18"/>
      <c r="H387" s="18"/>
      <c r="I387" s="18"/>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8"/>
      <c r="B388" s="18"/>
      <c r="C388" s="18"/>
      <c r="D388" s="18"/>
      <c r="E388" s="18"/>
      <c r="F388" s="68"/>
      <c r="G388" s="18"/>
      <c r="H388" s="18"/>
      <c r="I388" s="18"/>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8"/>
      <c r="B389" s="18"/>
      <c r="C389" s="18"/>
      <c r="D389" s="18"/>
      <c r="E389" s="18"/>
      <c r="F389" s="68"/>
      <c r="G389" s="18"/>
      <c r="H389" s="18"/>
      <c r="I389" s="18"/>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8"/>
      <c r="B390" s="18"/>
      <c r="C390" s="18"/>
      <c r="D390" s="18"/>
      <c r="E390" s="18"/>
      <c r="F390" s="68"/>
      <c r="G390" s="18"/>
      <c r="H390" s="18"/>
      <c r="I390" s="18"/>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8"/>
      <c r="B391" s="18"/>
      <c r="C391" s="18"/>
      <c r="D391" s="18"/>
      <c r="E391" s="18"/>
      <c r="F391" s="68"/>
      <c r="G391" s="18"/>
      <c r="H391" s="18"/>
      <c r="I391" s="18"/>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8"/>
      <c r="B392" s="18"/>
      <c r="C392" s="18"/>
      <c r="D392" s="18"/>
      <c r="E392" s="18"/>
      <c r="F392" s="68"/>
      <c r="G392" s="18"/>
      <c r="H392" s="18"/>
      <c r="I392" s="18"/>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8"/>
      <c r="B393" s="18"/>
      <c r="C393" s="18"/>
      <c r="D393" s="18"/>
      <c r="E393" s="18"/>
      <c r="F393" s="68"/>
      <c r="G393" s="18"/>
      <c r="H393" s="18"/>
      <c r="I393" s="18"/>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8"/>
      <c r="B394" s="18"/>
      <c r="C394" s="18"/>
      <c r="D394" s="18"/>
      <c r="E394" s="18"/>
      <c r="F394" s="68"/>
      <c r="G394" s="18"/>
      <c r="H394" s="18"/>
      <c r="I394" s="18"/>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8"/>
      <c r="B395" s="18"/>
      <c r="C395" s="18"/>
      <c r="D395" s="18"/>
      <c r="E395" s="18"/>
      <c r="F395" s="68"/>
      <c r="G395" s="18"/>
      <c r="H395" s="18"/>
      <c r="I395" s="18"/>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8"/>
      <c r="B396" s="18"/>
      <c r="C396" s="18"/>
      <c r="D396" s="18"/>
      <c r="E396" s="18"/>
      <c r="F396" s="68"/>
      <c r="G396" s="18"/>
      <c r="H396" s="18"/>
      <c r="I396" s="18"/>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8"/>
      <c r="B397" s="18"/>
      <c r="C397" s="18"/>
      <c r="D397" s="18"/>
      <c r="E397" s="18"/>
      <c r="F397" s="68"/>
      <c r="G397" s="18"/>
      <c r="H397" s="18"/>
      <c r="I397" s="18"/>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8"/>
      <c r="B398" s="18"/>
      <c r="C398" s="18"/>
      <c r="D398" s="18"/>
      <c r="E398" s="18"/>
      <c r="F398" s="68"/>
      <c r="G398" s="18"/>
      <c r="H398" s="18"/>
      <c r="I398" s="18"/>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8"/>
      <c r="B399" s="18"/>
      <c r="C399" s="18"/>
      <c r="D399" s="18"/>
      <c r="E399" s="18"/>
      <c r="F399" s="68"/>
      <c r="G399" s="18"/>
      <c r="H399" s="18"/>
      <c r="I399" s="18"/>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8"/>
      <c r="B400" s="18"/>
      <c r="C400" s="18"/>
      <c r="D400" s="18"/>
      <c r="E400" s="18"/>
      <c r="F400" s="68"/>
      <c r="G400" s="18"/>
      <c r="H400" s="18"/>
      <c r="I400" s="18"/>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8"/>
      <c r="B401" s="18"/>
      <c r="C401" s="18"/>
      <c r="D401" s="18"/>
      <c r="E401" s="18"/>
      <c r="F401" s="68"/>
      <c r="G401" s="18"/>
      <c r="H401" s="18"/>
      <c r="I401" s="18"/>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8"/>
      <c r="B402" s="18"/>
      <c r="C402" s="18"/>
      <c r="D402" s="18"/>
      <c r="E402" s="18"/>
      <c r="F402" s="68"/>
      <c r="G402" s="18"/>
      <c r="H402" s="18"/>
      <c r="I402" s="18"/>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8"/>
      <c r="B403" s="18"/>
      <c r="C403" s="18"/>
      <c r="D403" s="18"/>
      <c r="E403" s="18"/>
      <c r="F403" s="68"/>
      <c r="G403" s="18"/>
      <c r="H403" s="18"/>
      <c r="I403" s="18"/>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8"/>
      <c r="B404" s="18"/>
      <c r="C404" s="18"/>
      <c r="D404" s="18"/>
      <c r="E404" s="18"/>
      <c r="F404" s="68"/>
      <c r="G404" s="18"/>
      <c r="H404" s="18"/>
      <c r="I404" s="18"/>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8"/>
      <c r="B405" s="18"/>
      <c r="C405" s="18"/>
      <c r="D405" s="18"/>
      <c r="E405" s="18"/>
      <c r="F405" s="68"/>
      <c r="G405" s="18"/>
      <c r="H405" s="18"/>
      <c r="I405" s="18"/>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8"/>
      <c r="B406" s="18"/>
      <c r="C406" s="18"/>
      <c r="D406" s="18"/>
      <c r="E406" s="18"/>
      <c r="F406" s="68"/>
      <c r="G406" s="18"/>
      <c r="H406" s="18"/>
      <c r="I406" s="18"/>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8"/>
      <c r="B407" s="18"/>
      <c r="C407" s="18"/>
      <c r="D407" s="18"/>
      <c r="E407" s="18"/>
      <c r="F407" s="68"/>
      <c r="G407" s="18"/>
      <c r="H407" s="18"/>
      <c r="I407" s="18"/>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8"/>
      <c r="B408" s="18"/>
      <c r="C408" s="18"/>
      <c r="D408" s="18"/>
      <c r="E408" s="18"/>
      <c r="F408" s="68"/>
      <c r="G408" s="18"/>
      <c r="H408" s="18"/>
      <c r="I408" s="18"/>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8"/>
      <c r="B409" s="18"/>
      <c r="C409" s="18"/>
      <c r="D409" s="18"/>
      <c r="E409" s="18"/>
      <c r="F409" s="68"/>
      <c r="G409" s="18"/>
      <c r="H409" s="18"/>
      <c r="I409" s="18"/>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8"/>
      <c r="B410" s="18"/>
      <c r="C410" s="18"/>
      <c r="D410" s="18"/>
      <c r="E410" s="18"/>
      <c r="F410" s="68"/>
      <c r="G410" s="18"/>
      <c r="H410" s="18"/>
      <c r="I410" s="18"/>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8"/>
      <c r="B411" s="18"/>
      <c r="C411" s="18"/>
      <c r="D411" s="18"/>
      <c r="E411" s="18"/>
      <c r="F411" s="68"/>
      <c r="G411" s="18"/>
      <c r="H411" s="18"/>
      <c r="I411" s="18"/>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8"/>
      <c r="B412" s="18"/>
      <c r="C412" s="18"/>
      <c r="D412" s="18"/>
      <c r="E412" s="18"/>
      <c r="F412" s="68"/>
      <c r="G412" s="18"/>
      <c r="H412" s="18"/>
      <c r="I412" s="18"/>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8"/>
      <c r="B413" s="18"/>
      <c r="C413" s="18"/>
      <c r="D413" s="18"/>
      <c r="E413" s="18"/>
      <c r="F413" s="68"/>
      <c r="G413" s="18"/>
      <c r="H413" s="18"/>
      <c r="I413" s="18"/>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8"/>
      <c r="B414" s="18"/>
      <c r="C414" s="18"/>
      <c r="D414" s="18"/>
      <c r="E414" s="18"/>
      <c r="F414" s="68"/>
      <c r="G414" s="18"/>
      <c r="H414" s="18"/>
      <c r="I414" s="18"/>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8"/>
      <c r="B415" s="18"/>
      <c r="C415" s="18"/>
      <c r="D415" s="18"/>
      <c r="E415" s="18"/>
      <c r="F415" s="68"/>
      <c r="G415" s="18"/>
      <c r="H415" s="18"/>
      <c r="I415" s="18"/>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8"/>
      <c r="B416" s="18"/>
      <c r="C416" s="18"/>
      <c r="D416" s="18"/>
      <c r="E416" s="18"/>
      <c r="F416" s="68"/>
      <c r="G416" s="18"/>
      <c r="H416" s="18"/>
      <c r="I416" s="18"/>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8"/>
      <c r="B417" s="18"/>
      <c r="C417" s="18"/>
      <c r="D417" s="18"/>
      <c r="E417" s="18"/>
      <c r="F417" s="68"/>
      <c r="G417" s="18"/>
      <c r="H417" s="18"/>
      <c r="I417" s="18"/>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8"/>
      <c r="B418" s="18"/>
      <c r="C418" s="18"/>
      <c r="D418" s="18"/>
      <c r="E418" s="18"/>
      <c r="F418" s="68"/>
      <c r="G418" s="18"/>
      <c r="H418" s="18"/>
      <c r="I418" s="18"/>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8"/>
      <c r="B419" s="18"/>
      <c r="C419" s="18"/>
      <c r="D419" s="18"/>
      <c r="E419" s="18"/>
      <c r="F419" s="68"/>
      <c r="G419" s="18"/>
      <c r="H419" s="18"/>
      <c r="I419" s="18"/>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8"/>
      <c r="B420" s="18"/>
      <c r="C420" s="18"/>
      <c r="D420" s="18"/>
      <c r="E420" s="18"/>
      <c r="F420" s="68"/>
      <c r="G420" s="18"/>
      <c r="H420" s="18"/>
      <c r="I420" s="18"/>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8"/>
      <c r="B421" s="18"/>
      <c r="C421" s="18"/>
      <c r="D421" s="18"/>
      <c r="E421" s="18"/>
      <c r="F421" s="68"/>
      <c r="G421" s="18"/>
      <c r="H421" s="18"/>
      <c r="I421" s="18"/>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8"/>
      <c r="B422" s="18"/>
      <c r="C422" s="18"/>
      <c r="D422" s="18"/>
      <c r="E422" s="18"/>
      <c r="F422" s="68"/>
      <c r="G422" s="18"/>
      <c r="H422" s="18"/>
      <c r="I422" s="18"/>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8"/>
      <c r="B423" s="18"/>
      <c r="C423" s="18"/>
      <c r="D423" s="18"/>
      <c r="E423" s="18"/>
      <c r="F423" s="68"/>
      <c r="G423" s="18"/>
      <c r="H423" s="18"/>
      <c r="I423" s="18"/>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8"/>
      <c r="B424" s="18"/>
      <c r="C424" s="18"/>
      <c r="D424" s="18"/>
      <c r="E424" s="18"/>
      <c r="F424" s="68"/>
      <c r="G424" s="18"/>
      <c r="H424" s="18"/>
      <c r="I424" s="18"/>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8"/>
      <c r="B425" s="18"/>
      <c r="C425" s="18"/>
      <c r="D425" s="18"/>
      <c r="E425" s="18"/>
      <c r="F425" s="68"/>
      <c r="G425" s="18"/>
      <c r="H425" s="18"/>
      <c r="I425" s="18"/>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8"/>
      <c r="B426" s="18"/>
      <c r="C426" s="18"/>
      <c r="D426" s="18"/>
      <c r="E426" s="18"/>
      <c r="F426" s="68"/>
      <c r="G426" s="18"/>
      <c r="H426" s="18"/>
      <c r="I426" s="18"/>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8"/>
      <c r="B427" s="18"/>
      <c r="C427" s="18"/>
      <c r="D427" s="18"/>
      <c r="E427" s="18"/>
      <c r="F427" s="68"/>
      <c r="G427" s="18"/>
      <c r="H427" s="18"/>
      <c r="I427" s="18"/>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8"/>
      <c r="B428" s="18"/>
      <c r="C428" s="18"/>
      <c r="D428" s="18"/>
      <c r="E428" s="18"/>
      <c r="F428" s="68"/>
      <c r="G428" s="18"/>
      <c r="H428" s="18"/>
      <c r="I428" s="18"/>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8"/>
      <c r="B429" s="18"/>
      <c r="C429" s="18"/>
      <c r="D429" s="18"/>
      <c r="E429" s="18"/>
      <c r="F429" s="68"/>
      <c r="G429" s="18"/>
      <c r="H429" s="18"/>
      <c r="I429" s="18"/>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8"/>
      <c r="B430" s="18"/>
      <c r="C430" s="18"/>
      <c r="D430" s="18"/>
      <c r="E430" s="18"/>
      <c r="F430" s="68"/>
      <c r="G430" s="18"/>
      <c r="H430" s="18"/>
      <c r="I430" s="18"/>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8"/>
      <c r="B431" s="18"/>
      <c r="C431" s="18"/>
      <c r="D431" s="18"/>
      <c r="E431" s="18"/>
      <c r="F431" s="68"/>
      <c r="G431" s="18"/>
      <c r="H431" s="18"/>
      <c r="I431" s="18"/>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8"/>
      <c r="B432" s="18"/>
      <c r="C432" s="18"/>
      <c r="D432" s="18"/>
      <c r="E432" s="18"/>
      <c r="F432" s="68"/>
      <c r="G432" s="18"/>
      <c r="H432" s="18"/>
      <c r="I432" s="18"/>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8"/>
      <c r="B433" s="18"/>
      <c r="C433" s="18"/>
      <c r="D433" s="18"/>
      <c r="E433" s="18"/>
      <c r="F433" s="68"/>
      <c r="G433" s="18"/>
      <c r="H433" s="18"/>
      <c r="I433" s="18"/>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8"/>
      <c r="B434" s="18"/>
      <c r="C434" s="18"/>
      <c r="D434" s="18"/>
      <c r="E434" s="18"/>
      <c r="F434" s="68"/>
      <c r="G434" s="18"/>
      <c r="H434" s="18"/>
      <c r="I434" s="18"/>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8"/>
      <c r="B435" s="18"/>
      <c r="C435" s="18"/>
      <c r="D435" s="18"/>
      <c r="E435" s="18"/>
      <c r="F435" s="68"/>
      <c r="G435" s="18"/>
      <c r="H435" s="18"/>
      <c r="I435" s="18"/>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8"/>
      <c r="B436" s="18"/>
      <c r="C436" s="18"/>
      <c r="D436" s="18"/>
      <c r="E436" s="18"/>
      <c r="F436" s="68"/>
      <c r="G436" s="18"/>
      <c r="H436" s="18"/>
      <c r="I436" s="18"/>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8"/>
      <c r="B437" s="18"/>
      <c r="C437" s="18"/>
      <c r="D437" s="18"/>
      <c r="E437" s="18"/>
      <c r="F437" s="68"/>
      <c r="G437" s="18"/>
      <c r="H437" s="18"/>
      <c r="I437" s="18"/>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8"/>
      <c r="B438" s="18"/>
      <c r="C438" s="18"/>
      <c r="D438" s="18"/>
      <c r="E438" s="18"/>
      <c r="F438" s="68"/>
      <c r="G438" s="18"/>
      <c r="H438" s="18"/>
      <c r="I438" s="18"/>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8"/>
      <c r="B439" s="18"/>
      <c r="C439" s="18"/>
      <c r="D439" s="18"/>
      <c r="E439" s="18"/>
      <c r="F439" s="68"/>
      <c r="G439" s="18"/>
      <c r="H439" s="18"/>
      <c r="I439" s="18"/>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8"/>
      <c r="B440" s="18"/>
      <c r="C440" s="18"/>
      <c r="D440" s="18"/>
      <c r="E440" s="18"/>
      <c r="F440" s="68"/>
      <c r="G440" s="18"/>
      <c r="H440" s="18"/>
      <c r="I440" s="18"/>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8"/>
      <c r="B441" s="18"/>
      <c r="C441" s="18"/>
      <c r="D441" s="18"/>
      <c r="E441" s="18"/>
      <c r="F441" s="68"/>
      <c r="G441" s="18"/>
      <c r="H441" s="18"/>
      <c r="I441" s="18"/>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8"/>
      <c r="B442" s="18"/>
      <c r="C442" s="18"/>
      <c r="D442" s="18"/>
      <c r="E442" s="18"/>
      <c r="F442" s="68"/>
      <c r="G442" s="18"/>
      <c r="H442" s="18"/>
      <c r="I442" s="18"/>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8"/>
      <c r="B443" s="18"/>
      <c r="C443" s="18"/>
      <c r="D443" s="18"/>
      <c r="E443" s="18"/>
      <c r="F443" s="68"/>
      <c r="G443" s="18"/>
      <c r="H443" s="18"/>
      <c r="I443" s="18"/>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8"/>
      <c r="B444" s="18"/>
      <c r="C444" s="18"/>
      <c r="D444" s="18"/>
      <c r="E444" s="18"/>
      <c r="F444" s="68"/>
      <c r="G444" s="18"/>
      <c r="H444" s="18"/>
      <c r="I444" s="18"/>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8"/>
      <c r="B445" s="18"/>
      <c r="C445" s="18"/>
      <c r="D445" s="18"/>
      <c r="E445" s="18"/>
      <c r="F445" s="68"/>
      <c r="G445" s="18"/>
      <c r="H445" s="18"/>
      <c r="I445" s="18"/>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8"/>
      <c r="B446" s="18"/>
      <c r="C446" s="18"/>
      <c r="D446" s="18"/>
      <c r="E446" s="18"/>
      <c r="F446" s="68"/>
      <c r="G446" s="18"/>
      <c r="H446" s="18"/>
      <c r="I446" s="18"/>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8"/>
      <c r="B447" s="18"/>
      <c r="C447" s="18"/>
      <c r="D447" s="18"/>
      <c r="E447" s="18"/>
      <c r="F447" s="68"/>
      <c r="G447" s="18"/>
      <c r="H447" s="18"/>
      <c r="I447" s="18"/>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8"/>
      <c r="B448" s="18"/>
      <c r="C448" s="18"/>
      <c r="D448" s="18"/>
      <c r="E448" s="18"/>
      <c r="F448" s="68"/>
      <c r="G448" s="18"/>
      <c r="H448" s="18"/>
      <c r="I448" s="18"/>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8"/>
      <c r="B449" s="18"/>
      <c r="C449" s="18"/>
      <c r="D449" s="18"/>
      <c r="E449" s="18"/>
      <c r="F449" s="68"/>
      <c r="G449" s="18"/>
      <c r="H449" s="18"/>
      <c r="I449" s="18"/>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8"/>
      <c r="B450" s="18"/>
      <c r="C450" s="18"/>
      <c r="D450" s="18"/>
      <c r="E450" s="18"/>
      <c r="F450" s="68"/>
      <c r="G450" s="18"/>
      <c r="H450" s="18"/>
      <c r="I450" s="18"/>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8"/>
      <c r="B451" s="18"/>
      <c r="C451" s="18"/>
      <c r="D451" s="18"/>
      <c r="E451" s="18"/>
      <c r="F451" s="68"/>
      <c r="G451" s="18"/>
      <c r="H451" s="18"/>
      <c r="I451" s="18"/>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8"/>
      <c r="B452" s="18"/>
      <c r="C452" s="18"/>
      <c r="D452" s="18"/>
      <c r="E452" s="18"/>
      <c r="F452" s="68"/>
      <c r="G452" s="18"/>
      <c r="H452" s="18"/>
      <c r="I452" s="18"/>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8"/>
      <c r="B453" s="18"/>
      <c r="C453" s="18"/>
      <c r="D453" s="18"/>
      <c r="E453" s="18"/>
      <c r="F453" s="68"/>
      <c r="G453" s="18"/>
      <c r="H453" s="18"/>
      <c r="I453" s="18"/>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8"/>
      <c r="B454" s="18"/>
      <c r="C454" s="18"/>
      <c r="D454" s="18"/>
      <c r="E454" s="18"/>
      <c r="F454" s="68"/>
      <c r="G454" s="18"/>
      <c r="H454" s="18"/>
      <c r="I454" s="18"/>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8"/>
      <c r="B455" s="18"/>
      <c r="C455" s="18"/>
      <c r="D455" s="18"/>
      <c r="E455" s="18"/>
      <c r="F455" s="68"/>
      <c r="G455" s="18"/>
      <c r="H455" s="18"/>
      <c r="I455" s="18"/>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8"/>
      <c r="B456" s="18"/>
      <c r="C456" s="18"/>
      <c r="D456" s="18"/>
      <c r="E456" s="18"/>
      <c r="F456" s="68"/>
      <c r="G456" s="18"/>
      <c r="H456" s="18"/>
      <c r="I456" s="18"/>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8"/>
      <c r="B457" s="18"/>
      <c r="C457" s="18"/>
      <c r="D457" s="18"/>
      <c r="E457" s="18"/>
      <c r="F457" s="68"/>
      <c r="G457" s="18"/>
      <c r="H457" s="18"/>
      <c r="I457" s="18"/>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8"/>
      <c r="B458" s="18"/>
      <c r="C458" s="18"/>
      <c r="D458" s="18"/>
      <c r="E458" s="18"/>
      <c r="F458" s="68"/>
      <c r="G458" s="18"/>
      <c r="H458" s="18"/>
      <c r="I458" s="18"/>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8"/>
      <c r="B459" s="18"/>
      <c r="C459" s="18"/>
      <c r="D459" s="18"/>
      <c r="E459" s="18"/>
      <c r="F459" s="68"/>
      <c r="G459" s="18"/>
      <c r="H459" s="18"/>
      <c r="I459" s="18"/>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8"/>
      <c r="B460" s="18"/>
      <c r="C460" s="18"/>
      <c r="D460" s="18"/>
      <c r="E460" s="18"/>
      <c r="F460" s="68"/>
      <c r="G460" s="18"/>
      <c r="H460" s="18"/>
      <c r="I460" s="18"/>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8"/>
      <c r="B461" s="18"/>
      <c r="C461" s="18"/>
      <c r="D461" s="18"/>
      <c r="E461" s="18"/>
      <c r="F461" s="68"/>
      <c r="G461" s="18"/>
      <c r="H461" s="18"/>
      <c r="I461" s="18"/>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8"/>
      <c r="B462" s="18"/>
      <c r="C462" s="18"/>
      <c r="D462" s="18"/>
      <c r="E462" s="18"/>
      <c r="F462" s="68"/>
      <c r="G462" s="18"/>
      <c r="H462" s="18"/>
      <c r="I462" s="18"/>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8"/>
      <c r="B463" s="18"/>
      <c r="C463" s="18"/>
      <c r="D463" s="18"/>
      <c r="E463" s="18"/>
      <c r="F463" s="68"/>
      <c r="G463" s="18"/>
      <c r="H463" s="18"/>
      <c r="I463" s="18"/>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8"/>
      <c r="B464" s="18"/>
      <c r="C464" s="18"/>
      <c r="D464" s="18"/>
      <c r="E464" s="18"/>
      <c r="F464" s="68"/>
      <c r="G464" s="18"/>
      <c r="H464" s="18"/>
      <c r="I464" s="18"/>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8"/>
      <c r="B465" s="18"/>
      <c r="C465" s="18"/>
      <c r="D465" s="18"/>
      <c r="E465" s="18"/>
      <c r="F465" s="68"/>
      <c r="G465" s="18"/>
      <c r="H465" s="18"/>
      <c r="I465" s="18"/>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8"/>
      <c r="B466" s="18"/>
      <c r="C466" s="18"/>
      <c r="D466" s="18"/>
      <c r="E466" s="18"/>
      <c r="F466" s="68"/>
      <c r="G466" s="18"/>
      <c r="H466" s="18"/>
      <c r="I466" s="18"/>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8"/>
      <c r="B467" s="18"/>
      <c r="C467" s="18"/>
      <c r="D467" s="18"/>
      <c r="E467" s="18"/>
      <c r="F467" s="68"/>
      <c r="G467" s="18"/>
      <c r="H467" s="18"/>
      <c r="I467" s="18"/>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8"/>
      <c r="B468" s="18"/>
      <c r="C468" s="18"/>
      <c r="D468" s="18"/>
      <c r="E468" s="18"/>
      <c r="F468" s="68"/>
      <c r="G468" s="18"/>
      <c r="H468" s="18"/>
      <c r="I468" s="18"/>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8"/>
      <c r="B469" s="18"/>
      <c r="C469" s="18"/>
      <c r="D469" s="18"/>
      <c r="E469" s="18"/>
      <c r="F469" s="68"/>
      <c r="G469" s="18"/>
      <c r="H469" s="18"/>
      <c r="I469" s="18"/>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8"/>
      <c r="B470" s="18"/>
      <c r="C470" s="18"/>
      <c r="D470" s="18"/>
      <c r="E470" s="18"/>
      <c r="F470" s="68"/>
      <c r="G470" s="18"/>
      <c r="H470" s="18"/>
      <c r="I470" s="18"/>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8"/>
      <c r="B471" s="18"/>
      <c r="C471" s="18"/>
      <c r="D471" s="18"/>
      <c r="E471" s="18"/>
      <c r="F471" s="68"/>
      <c r="G471" s="18"/>
      <c r="H471" s="18"/>
      <c r="I471" s="18"/>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8"/>
      <c r="B472" s="18"/>
      <c r="C472" s="18"/>
      <c r="D472" s="18"/>
      <c r="E472" s="18"/>
      <c r="F472" s="68"/>
      <c r="G472" s="18"/>
      <c r="H472" s="18"/>
      <c r="I472" s="18"/>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8"/>
      <c r="B473" s="18"/>
      <c r="C473" s="18"/>
      <c r="D473" s="18"/>
      <c r="E473" s="18"/>
      <c r="F473" s="68"/>
      <c r="G473" s="18"/>
      <c r="H473" s="18"/>
      <c r="I473" s="18"/>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8"/>
      <c r="B474" s="18"/>
      <c r="C474" s="18"/>
      <c r="D474" s="18"/>
      <c r="E474" s="18"/>
      <c r="F474" s="68"/>
      <c r="G474" s="18"/>
      <c r="H474" s="18"/>
      <c r="I474" s="18"/>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8"/>
      <c r="B475" s="18"/>
      <c r="C475" s="18"/>
      <c r="D475" s="18"/>
      <c r="E475" s="18"/>
      <c r="F475" s="68"/>
      <c r="G475" s="18"/>
      <c r="H475" s="18"/>
      <c r="I475" s="18"/>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8"/>
      <c r="B476" s="18"/>
      <c r="C476" s="18"/>
      <c r="D476" s="18"/>
      <c r="E476" s="18"/>
      <c r="F476" s="68"/>
      <c r="G476" s="18"/>
      <c r="H476" s="18"/>
      <c r="I476" s="18"/>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8"/>
      <c r="B477" s="18"/>
      <c r="C477" s="18"/>
      <c r="D477" s="18"/>
      <c r="E477" s="18"/>
      <c r="F477" s="68"/>
      <c r="G477" s="18"/>
      <c r="H477" s="18"/>
      <c r="I477" s="18"/>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8"/>
      <c r="B478" s="18"/>
      <c r="C478" s="18"/>
      <c r="D478" s="18"/>
      <c r="E478" s="18"/>
      <c r="F478" s="68"/>
      <c r="G478" s="18"/>
      <c r="H478" s="18"/>
      <c r="I478" s="18"/>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8"/>
      <c r="B479" s="18"/>
      <c r="C479" s="18"/>
      <c r="D479" s="18"/>
      <c r="E479" s="18"/>
      <c r="F479" s="68"/>
      <c r="G479" s="18"/>
      <c r="H479" s="18"/>
      <c r="I479" s="18"/>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8"/>
      <c r="B480" s="18"/>
      <c r="C480" s="18"/>
      <c r="D480" s="18"/>
      <c r="E480" s="18"/>
      <c r="F480" s="68"/>
      <c r="G480" s="18"/>
      <c r="H480" s="18"/>
      <c r="I480" s="18"/>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8"/>
      <c r="B481" s="18"/>
      <c r="C481" s="18"/>
      <c r="D481" s="18"/>
      <c r="E481" s="18"/>
      <c r="F481" s="68"/>
      <c r="G481" s="18"/>
      <c r="H481" s="18"/>
      <c r="I481" s="18"/>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8"/>
      <c r="B482" s="18"/>
      <c r="C482" s="18"/>
      <c r="D482" s="18"/>
      <c r="E482" s="18"/>
      <c r="F482" s="68"/>
      <c r="G482" s="18"/>
      <c r="H482" s="18"/>
      <c r="I482" s="18"/>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8"/>
      <c r="B483" s="18"/>
      <c r="C483" s="18"/>
      <c r="D483" s="18"/>
      <c r="E483" s="18"/>
      <c r="F483" s="68"/>
      <c r="G483" s="18"/>
      <c r="H483" s="18"/>
      <c r="I483" s="18"/>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8"/>
      <c r="B484" s="18"/>
      <c r="C484" s="18"/>
      <c r="D484" s="18"/>
      <c r="E484" s="18"/>
      <c r="F484" s="68"/>
      <c r="G484" s="18"/>
      <c r="H484" s="18"/>
      <c r="I484" s="18"/>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8"/>
      <c r="B485" s="18"/>
      <c r="C485" s="18"/>
      <c r="D485" s="18"/>
      <c r="E485" s="18"/>
      <c r="F485" s="68"/>
      <c r="G485" s="18"/>
      <c r="H485" s="18"/>
      <c r="I485" s="18"/>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8"/>
      <c r="B486" s="18"/>
      <c r="C486" s="18"/>
      <c r="D486" s="18"/>
      <c r="E486" s="18"/>
      <c r="F486" s="68"/>
      <c r="G486" s="18"/>
      <c r="H486" s="18"/>
      <c r="I486" s="18"/>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8"/>
      <c r="B487" s="18"/>
      <c r="C487" s="18"/>
      <c r="D487" s="18"/>
      <c r="E487" s="18"/>
      <c r="F487" s="68"/>
      <c r="G487" s="18"/>
      <c r="H487" s="18"/>
      <c r="I487" s="18"/>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8"/>
      <c r="B488" s="18"/>
      <c r="C488" s="18"/>
      <c r="D488" s="18"/>
      <c r="E488" s="18"/>
      <c r="F488" s="68"/>
      <c r="G488" s="18"/>
      <c r="H488" s="18"/>
      <c r="I488" s="18"/>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8"/>
      <c r="B489" s="18"/>
      <c r="C489" s="18"/>
      <c r="D489" s="18"/>
      <c r="E489" s="18"/>
      <c r="F489" s="68"/>
      <c r="G489" s="18"/>
      <c r="H489" s="18"/>
      <c r="I489" s="18"/>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8"/>
      <c r="B490" s="18"/>
      <c r="C490" s="18"/>
      <c r="D490" s="18"/>
      <c r="E490" s="18"/>
      <c r="F490" s="68"/>
      <c r="G490" s="18"/>
      <c r="H490" s="18"/>
      <c r="I490" s="18"/>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8"/>
      <c r="B491" s="18"/>
      <c r="C491" s="18"/>
      <c r="D491" s="18"/>
      <c r="E491" s="18"/>
      <c r="F491" s="68"/>
      <c r="G491" s="18"/>
      <c r="H491" s="18"/>
      <c r="I491" s="18"/>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8"/>
      <c r="B492" s="18"/>
      <c r="C492" s="18"/>
      <c r="D492" s="18"/>
      <c r="E492" s="18"/>
      <c r="F492" s="68"/>
      <c r="G492" s="18"/>
      <c r="H492" s="18"/>
      <c r="I492" s="18"/>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8"/>
      <c r="B493" s="18"/>
      <c r="C493" s="18"/>
      <c r="D493" s="18"/>
      <c r="E493" s="18"/>
      <c r="F493" s="68"/>
      <c r="G493" s="18"/>
      <c r="H493" s="18"/>
      <c r="I493" s="18"/>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8"/>
      <c r="B494" s="18"/>
      <c r="C494" s="18"/>
      <c r="D494" s="18"/>
      <c r="E494" s="18"/>
      <c r="F494" s="68"/>
      <c r="G494" s="18"/>
      <c r="H494" s="18"/>
      <c r="I494" s="18"/>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8"/>
      <c r="B495" s="18"/>
      <c r="C495" s="18"/>
      <c r="D495" s="18"/>
      <c r="E495" s="18"/>
      <c r="F495" s="68"/>
      <c r="G495" s="18"/>
      <c r="H495" s="18"/>
      <c r="I495" s="18"/>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8"/>
      <c r="B496" s="18"/>
      <c r="C496" s="18"/>
      <c r="D496" s="18"/>
      <c r="E496" s="18"/>
      <c r="F496" s="68"/>
      <c r="G496" s="18"/>
      <c r="H496" s="18"/>
      <c r="I496" s="18"/>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8"/>
      <c r="B497" s="18"/>
      <c r="C497" s="18"/>
      <c r="D497" s="18"/>
      <c r="E497" s="18"/>
      <c r="F497" s="68"/>
      <c r="G497" s="18"/>
      <c r="H497" s="18"/>
      <c r="I497" s="18"/>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8"/>
      <c r="B498" s="18"/>
      <c r="C498" s="18"/>
      <c r="D498" s="18"/>
      <c r="E498" s="18"/>
      <c r="F498" s="68"/>
      <c r="G498" s="18"/>
      <c r="H498" s="18"/>
      <c r="I498" s="18"/>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8"/>
      <c r="B499" s="18"/>
      <c r="C499" s="18"/>
      <c r="D499" s="18"/>
      <c r="E499" s="18"/>
      <c r="F499" s="68"/>
      <c r="G499" s="18"/>
      <c r="H499" s="18"/>
      <c r="I499" s="18"/>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8"/>
      <c r="B500" s="18"/>
      <c r="C500" s="18"/>
      <c r="D500" s="18"/>
      <c r="E500" s="18"/>
      <c r="F500" s="68"/>
      <c r="G500" s="18"/>
      <c r="H500" s="18"/>
      <c r="I500" s="18"/>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8"/>
      <c r="B501" s="18"/>
      <c r="C501" s="18"/>
      <c r="D501" s="18"/>
      <c r="E501" s="18"/>
      <c r="F501" s="68"/>
      <c r="G501" s="18"/>
      <c r="H501" s="18"/>
      <c r="I501" s="18"/>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8"/>
      <c r="B502" s="18"/>
      <c r="C502" s="18"/>
      <c r="D502" s="18"/>
      <c r="E502" s="18"/>
      <c r="F502" s="68"/>
      <c r="G502" s="18"/>
      <c r="H502" s="18"/>
      <c r="I502" s="18"/>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8"/>
      <c r="B503" s="18"/>
      <c r="C503" s="18"/>
      <c r="D503" s="18"/>
      <c r="E503" s="18"/>
      <c r="F503" s="68"/>
      <c r="G503" s="18"/>
      <c r="H503" s="18"/>
      <c r="I503" s="18"/>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8"/>
      <c r="B504" s="18"/>
      <c r="C504" s="18"/>
      <c r="D504" s="18"/>
      <c r="E504" s="18"/>
      <c r="F504" s="68"/>
      <c r="G504" s="18"/>
      <c r="H504" s="18"/>
      <c r="I504" s="18"/>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8"/>
      <c r="B505" s="18"/>
      <c r="C505" s="18"/>
      <c r="D505" s="18"/>
      <c r="E505" s="18"/>
      <c r="F505" s="68"/>
      <c r="G505" s="18"/>
      <c r="H505" s="18"/>
      <c r="I505" s="18"/>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8"/>
      <c r="B506" s="18"/>
      <c r="C506" s="18"/>
      <c r="D506" s="18"/>
      <c r="E506" s="18"/>
      <c r="F506" s="68"/>
      <c r="G506" s="18"/>
      <c r="H506" s="18"/>
      <c r="I506" s="18"/>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8"/>
      <c r="B507" s="18"/>
      <c r="C507" s="18"/>
      <c r="D507" s="18"/>
      <c r="E507" s="18"/>
      <c r="F507" s="68"/>
      <c r="G507" s="18"/>
      <c r="H507" s="18"/>
      <c r="I507" s="18"/>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8"/>
      <c r="B508" s="18"/>
      <c r="C508" s="18"/>
      <c r="D508" s="18"/>
      <c r="E508" s="18"/>
      <c r="F508" s="68"/>
      <c r="G508" s="18"/>
      <c r="H508" s="18"/>
      <c r="I508" s="18"/>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8"/>
      <c r="B509" s="18"/>
      <c r="C509" s="18"/>
      <c r="D509" s="18"/>
      <c r="E509" s="18"/>
      <c r="F509" s="68"/>
      <c r="G509" s="18"/>
      <c r="H509" s="18"/>
      <c r="I509" s="18"/>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8"/>
      <c r="B510" s="18"/>
      <c r="C510" s="18"/>
      <c r="D510" s="18"/>
      <c r="E510" s="18"/>
      <c r="F510" s="68"/>
      <c r="G510" s="18"/>
      <c r="H510" s="18"/>
      <c r="I510" s="18"/>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8"/>
      <c r="B511" s="18"/>
      <c r="C511" s="18"/>
      <c r="D511" s="18"/>
      <c r="E511" s="18"/>
      <c r="F511" s="68"/>
      <c r="G511" s="18"/>
      <c r="H511" s="18"/>
      <c r="I511" s="18"/>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8"/>
      <c r="B512" s="18"/>
      <c r="C512" s="18"/>
      <c r="D512" s="18"/>
      <c r="E512" s="18"/>
      <c r="F512" s="68"/>
      <c r="G512" s="18"/>
      <c r="H512" s="18"/>
      <c r="I512" s="18"/>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8"/>
      <c r="B513" s="18"/>
      <c r="C513" s="18"/>
      <c r="D513" s="18"/>
      <c r="E513" s="18"/>
      <c r="F513" s="68"/>
      <c r="G513" s="18"/>
      <c r="H513" s="18"/>
      <c r="I513" s="18"/>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8"/>
      <c r="B514" s="18"/>
      <c r="C514" s="18"/>
      <c r="D514" s="18"/>
      <c r="E514" s="18"/>
      <c r="F514" s="68"/>
      <c r="G514" s="18"/>
      <c r="H514" s="18"/>
      <c r="I514" s="18"/>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8"/>
      <c r="B515" s="18"/>
      <c r="C515" s="18"/>
      <c r="D515" s="18"/>
      <c r="E515" s="18"/>
      <c r="F515" s="68"/>
      <c r="G515" s="18"/>
      <c r="H515" s="18"/>
      <c r="I515" s="18"/>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8"/>
      <c r="B516" s="18"/>
      <c r="C516" s="18"/>
      <c r="D516" s="18"/>
      <c r="E516" s="18"/>
      <c r="F516" s="68"/>
      <c r="G516" s="18"/>
      <c r="H516" s="18"/>
      <c r="I516" s="18"/>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8"/>
      <c r="B517" s="18"/>
      <c r="C517" s="18"/>
      <c r="D517" s="18"/>
      <c r="E517" s="18"/>
      <c r="F517" s="68"/>
      <c r="G517" s="18"/>
      <c r="H517" s="18"/>
      <c r="I517" s="18"/>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8"/>
      <c r="B518" s="18"/>
      <c r="C518" s="18"/>
      <c r="D518" s="18"/>
      <c r="E518" s="18"/>
      <c r="F518" s="68"/>
      <c r="G518" s="18"/>
      <c r="H518" s="18"/>
      <c r="I518" s="18"/>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8"/>
      <c r="B519" s="18"/>
      <c r="C519" s="18"/>
      <c r="D519" s="18"/>
      <c r="E519" s="18"/>
      <c r="F519" s="68"/>
      <c r="G519" s="18"/>
      <c r="H519" s="18"/>
      <c r="I519" s="18"/>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8"/>
      <c r="B520" s="18"/>
      <c r="C520" s="18"/>
      <c r="D520" s="18"/>
      <c r="E520" s="18"/>
      <c r="F520" s="68"/>
      <c r="G520" s="18"/>
      <c r="H520" s="18"/>
      <c r="I520" s="18"/>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8"/>
      <c r="B521" s="18"/>
      <c r="C521" s="18"/>
      <c r="D521" s="18"/>
      <c r="E521" s="18"/>
      <c r="F521" s="68"/>
      <c r="G521" s="18"/>
      <c r="H521" s="18"/>
      <c r="I521" s="18"/>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8"/>
      <c r="B522" s="18"/>
      <c r="C522" s="18"/>
      <c r="D522" s="18"/>
      <c r="E522" s="18"/>
      <c r="F522" s="68"/>
      <c r="G522" s="18"/>
      <c r="H522" s="18"/>
      <c r="I522" s="18"/>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8"/>
      <c r="B523" s="18"/>
      <c r="C523" s="18"/>
      <c r="D523" s="18"/>
      <c r="E523" s="18"/>
      <c r="F523" s="68"/>
      <c r="G523" s="18"/>
      <c r="H523" s="18"/>
      <c r="I523" s="18"/>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8"/>
      <c r="B524" s="18"/>
      <c r="C524" s="18"/>
      <c r="D524" s="18"/>
      <c r="E524" s="18"/>
      <c r="F524" s="68"/>
      <c r="G524" s="18"/>
      <c r="H524" s="18"/>
      <c r="I524" s="18"/>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8"/>
      <c r="B525" s="18"/>
      <c r="C525" s="18"/>
      <c r="D525" s="18"/>
      <c r="E525" s="18"/>
      <c r="F525" s="68"/>
      <c r="G525" s="18"/>
      <c r="H525" s="18"/>
      <c r="I525" s="18"/>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8"/>
      <c r="B526" s="18"/>
      <c r="C526" s="18"/>
      <c r="D526" s="18"/>
      <c r="E526" s="18"/>
      <c r="F526" s="68"/>
      <c r="G526" s="18"/>
      <c r="H526" s="18"/>
      <c r="I526" s="18"/>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8"/>
      <c r="B527" s="18"/>
      <c r="C527" s="18"/>
      <c r="D527" s="18"/>
      <c r="E527" s="18"/>
      <c r="F527" s="68"/>
      <c r="G527" s="18"/>
      <c r="H527" s="18"/>
      <c r="I527" s="18"/>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8"/>
      <c r="B528" s="18"/>
      <c r="C528" s="18"/>
      <c r="D528" s="18"/>
      <c r="E528" s="18"/>
      <c r="F528" s="68"/>
      <c r="G528" s="18"/>
      <c r="H528" s="18"/>
      <c r="I528" s="18"/>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8"/>
      <c r="B529" s="18"/>
      <c r="C529" s="18"/>
      <c r="D529" s="18"/>
      <c r="E529" s="18"/>
      <c r="F529" s="68"/>
      <c r="G529" s="18"/>
      <c r="H529" s="18"/>
      <c r="I529" s="18"/>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8"/>
      <c r="B530" s="18"/>
      <c r="C530" s="18"/>
      <c r="D530" s="18"/>
      <c r="E530" s="18"/>
      <c r="F530" s="68"/>
      <c r="G530" s="18"/>
      <c r="H530" s="18"/>
      <c r="I530" s="18"/>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8"/>
      <c r="B531" s="18"/>
      <c r="C531" s="18"/>
      <c r="D531" s="18"/>
      <c r="E531" s="18"/>
      <c r="F531" s="68"/>
      <c r="G531" s="18"/>
      <c r="H531" s="18"/>
      <c r="I531" s="18"/>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8"/>
      <c r="B532" s="18"/>
      <c r="C532" s="18"/>
      <c r="D532" s="18"/>
      <c r="E532" s="18"/>
      <c r="F532" s="68"/>
      <c r="G532" s="18"/>
      <c r="H532" s="18"/>
      <c r="I532" s="18"/>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8"/>
      <c r="B533" s="18"/>
      <c r="C533" s="18"/>
      <c r="D533" s="18"/>
      <c r="E533" s="18"/>
      <c r="F533" s="68"/>
      <c r="G533" s="18"/>
      <c r="H533" s="18"/>
      <c r="I533" s="18"/>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8"/>
      <c r="B534" s="18"/>
      <c r="C534" s="18"/>
      <c r="D534" s="18"/>
      <c r="E534" s="18"/>
      <c r="F534" s="68"/>
      <c r="G534" s="18"/>
      <c r="H534" s="18"/>
      <c r="I534" s="18"/>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8"/>
      <c r="B535" s="18"/>
      <c r="C535" s="18"/>
      <c r="D535" s="18"/>
      <c r="E535" s="18"/>
      <c r="F535" s="68"/>
      <c r="G535" s="18"/>
      <c r="H535" s="18"/>
      <c r="I535" s="18"/>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8"/>
      <c r="B536" s="18"/>
      <c r="C536" s="18"/>
      <c r="D536" s="18"/>
      <c r="E536" s="18"/>
      <c r="F536" s="68"/>
      <c r="G536" s="18"/>
      <c r="H536" s="18"/>
      <c r="I536" s="18"/>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8"/>
      <c r="B537" s="18"/>
      <c r="C537" s="18"/>
      <c r="D537" s="18"/>
      <c r="E537" s="18"/>
      <c r="F537" s="68"/>
      <c r="G537" s="18"/>
      <c r="H537" s="18"/>
      <c r="I537" s="18"/>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8"/>
      <c r="B538" s="18"/>
      <c r="C538" s="18"/>
      <c r="D538" s="18"/>
      <c r="E538" s="18"/>
      <c r="F538" s="68"/>
      <c r="G538" s="18"/>
      <c r="H538" s="18"/>
      <c r="I538" s="18"/>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8"/>
      <c r="B539" s="18"/>
      <c r="C539" s="18"/>
      <c r="D539" s="18"/>
      <c r="E539" s="18"/>
      <c r="F539" s="68"/>
      <c r="G539" s="18"/>
      <c r="H539" s="18"/>
      <c r="I539" s="18"/>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8"/>
      <c r="B540" s="18"/>
      <c r="C540" s="18"/>
      <c r="D540" s="18"/>
      <c r="E540" s="18"/>
      <c r="F540" s="68"/>
      <c r="G540" s="18"/>
      <c r="H540" s="18"/>
      <c r="I540" s="18"/>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8"/>
      <c r="B541" s="18"/>
      <c r="C541" s="18"/>
      <c r="D541" s="18"/>
      <c r="E541" s="18"/>
      <c r="F541" s="68"/>
      <c r="G541" s="18"/>
      <c r="H541" s="18"/>
      <c r="I541" s="18"/>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8"/>
      <c r="B542" s="18"/>
      <c r="C542" s="18"/>
      <c r="D542" s="18"/>
      <c r="E542" s="18"/>
      <c r="F542" s="68"/>
      <c r="G542" s="18"/>
      <c r="H542" s="18"/>
      <c r="I542" s="18"/>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8"/>
      <c r="B543" s="18"/>
      <c r="C543" s="18"/>
      <c r="D543" s="18"/>
      <c r="E543" s="18"/>
      <c r="F543" s="68"/>
      <c r="G543" s="18"/>
      <c r="H543" s="18"/>
      <c r="I543" s="18"/>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8"/>
      <c r="B544" s="18"/>
      <c r="C544" s="18"/>
      <c r="D544" s="18"/>
      <c r="E544" s="18"/>
      <c r="F544" s="68"/>
      <c r="G544" s="18"/>
      <c r="H544" s="18"/>
      <c r="I544" s="18"/>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8"/>
      <c r="B545" s="18"/>
      <c r="C545" s="18"/>
      <c r="D545" s="18"/>
      <c r="E545" s="18"/>
      <c r="F545" s="68"/>
      <c r="G545" s="18"/>
      <c r="H545" s="18"/>
      <c r="I545" s="18"/>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8"/>
      <c r="B546" s="18"/>
      <c r="C546" s="18"/>
      <c r="D546" s="18"/>
      <c r="E546" s="18"/>
      <c r="F546" s="68"/>
      <c r="G546" s="18"/>
      <c r="H546" s="18"/>
      <c r="I546" s="18"/>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8"/>
      <c r="B547" s="18"/>
      <c r="C547" s="18"/>
      <c r="D547" s="18"/>
      <c r="E547" s="18"/>
      <c r="F547" s="68"/>
      <c r="G547" s="18"/>
      <c r="H547" s="18"/>
      <c r="I547" s="18"/>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8"/>
      <c r="B548" s="18"/>
      <c r="C548" s="18"/>
      <c r="D548" s="18"/>
      <c r="E548" s="18"/>
      <c r="F548" s="68"/>
      <c r="G548" s="18"/>
      <c r="H548" s="18"/>
      <c r="I548" s="18"/>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8"/>
      <c r="B549" s="18"/>
      <c r="C549" s="18"/>
      <c r="D549" s="18"/>
      <c r="E549" s="18"/>
      <c r="F549" s="68"/>
      <c r="G549" s="18"/>
      <c r="H549" s="18"/>
      <c r="I549" s="18"/>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8"/>
      <c r="B550" s="18"/>
      <c r="C550" s="18"/>
      <c r="D550" s="18"/>
      <c r="E550" s="18"/>
      <c r="F550" s="68"/>
      <c r="G550" s="18"/>
      <c r="H550" s="18"/>
      <c r="I550" s="18"/>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8"/>
      <c r="B551" s="18"/>
      <c r="C551" s="18"/>
      <c r="D551" s="18"/>
      <c r="E551" s="18"/>
      <c r="F551" s="68"/>
      <c r="G551" s="18"/>
      <c r="H551" s="18"/>
      <c r="I551" s="18"/>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8"/>
      <c r="B552" s="18"/>
      <c r="C552" s="18"/>
      <c r="D552" s="18"/>
      <c r="E552" s="18"/>
      <c r="F552" s="68"/>
      <c r="G552" s="18"/>
      <c r="H552" s="18"/>
      <c r="I552" s="18"/>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8"/>
      <c r="B553" s="18"/>
      <c r="C553" s="18"/>
      <c r="D553" s="18"/>
      <c r="E553" s="18"/>
      <c r="F553" s="68"/>
      <c r="G553" s="18"/>
      <c r="H553" s="18"/>
      <c r="I553" s="18"/>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8"/>
      <c r="B554" s="18"/>
      <c r="C554" s="18"/>
      <c r="D554" s="18"/>
      <c r="E554" s="18"/>
      <c r="F554" s="68"/>
      <c r="G554" s="18"/>
      <c r="H554" s="18"/>
      <c r="I554" s="18"/>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8"/>
      <c r="B555" s="18"/>
      <c r="C555" s="18"/>
      <c r="D555" s="18"/>
      <c r="E555" s="18"/>
      <c r="F555" s="68"/>
      <c r="G555" s="18"/>
      <c r="H555" s="18"/>
      <c r="I555" s="18"/>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8"/>
      <c r="B556" s="18"/>
      <c r="C556" s="18"/>
      <c r="D556" s="18"/>
      <c r="E556" s="18"/>
      <c r="F556" s="68"/>
      <c r="G556" s="18"/>
      <c r="H556" s="18"/>
      <c r="I556" s="18"/>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8"/>
      <c r="B557" s="18"/>
      <c r="C557" s="18"/>
      <c r="D557" s="18"/>
      <c r="E557" s="18"/>
      <c r="F557" s="68"/>
      <c r="G557" s="18"/>
      <c r="H557" s="18"/>
      <c r="I557" s="18"/>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8"/>
      <c r="B558" s="18"/>
      <c r="C558" s="18"/>
      <c r="D558" s="18"/>
      <c r="E558" s="18"/>
      <c r="F558" s="68"/>
      <c r="G558" s="18"/>
      <c r="H558" s="18"/>
      <c r="I558" s="18"/>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8"/>
      <c r="B559" s="18"/>
      <c r="C559" s="18"/>
      <c r="D559" s="18"/>
      <c r="E559" s="18"/>
      <c r="F559" s="68"/>
      <c r="G559" s="18"/>
      <c r="H559" s="18"/>
      <c r="I559" s="18"/>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8"/>
      <c r="B560" s="18"/>
      <c r="C560" s="18"/>
      <c r="D560" s="18"/>
      <c r="E560" s="18"/>
      <c r="F560" s="68"/>
      <c r="G560" s="18"/>
      <c r="H560" s="18"/>
      <c r="I560" s="18"/>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8"/>
      <c r="B561" s="18"/>
      <c r="C561" s="18"/>
      <c r="D561" s="18"/>
      <c r="E561" s="18"/>
      <c r="F561" s="68"/>
      <c r="G561" s="18"/>
      <c r="H561" s="18"/>
      <c r="I561" s="18"/>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8"/>
      <c r="B562" s="18"/>
      <c r="C562" s="18"/>
      <c r="D562" s="18"/>
      <c r="E562" s="18"/>
      <c r="F562" s="68"/>
      <c r="G562" s="18"/>
      <c r="H562" s="18"/>
      <c r="I562" s="18"/>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8"/>
      <c r="B563" s="18"/>
      <c r="C563" s="18"/>
      <c r="D563" s="18"/>
      <c r="E563" s="18"/>
      <c r="F563" s="68"/>
      <c r="G563" s="18"/>
      <c r="H563" s="18"/>
      <c r="I563" s="18"/>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8"/>
      <c r="B564" s="18"/>
      <c r="C564" s="18"/>
      <c r="D564" s="18"/>
      <c r="E564" s="18"/>
      <c r="F564" s="68"/>
      <c r="G564" s="18"/>
      <c r="H564" s="18"/>
      <c r="I564" s="18"/>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8"/>
      <c r="B565" s="18"/>
      <c r="C565" s="18"/>
      <c r="D565" s="18"/>
      <c r="E565" s="18"/>
      <c r="F565" s="68"/>
      <c r="G565" s="18"/>
      <c r="H565" s="18"/>
      <c r="I565" s="18"/>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8"/>
      <c r="B566" s="18"/>
      <c r="C566" s="18"/>
      <c r="D566" s="18"/>
      <c r="E566" s="18"/>
      <c r="F566" s="68"/>
      <c r="G566" s="18"/>
      <c r="H566" s="18"/>
      <c r="I566" s="18"/>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8"/>
      <c r="B567" s="18"/>
      <c r="C567" s="18"/>
      <c r="D567" s="18"/>
      <c r="E567" s="18"/>
      <c r="F567" s="68"/>
      <c r="G567" s="18"/>
      <c r="H567" s="18"/>
      <c r="I567" s="18"/>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8"/>
      <c r="B568" s="18"/>
      <c r="C568" s="18"/>
      <c r="D568" s="18"/>
      <c r="E568" s="18"/>
      <c r="F568" s="68"/>
      <c r="G568" s="18"/>
      <c r="H568" s="18"/>
      <c r="I568" s="18"/>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8"/>
      <c r="B569" s="18"/>
      <c r="C569" s="18"/>
      <c r="D569" s="18"/>
      <c r="E569" s="18"/>
      <c r="F569" s="68"/>
      <c r="G569" s="18"/>
      <c r="H569" s="18"/>
      <c r="I569" s="18"/>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8"/>
      <c r="B570" s="18"/>
      <c r="C570" s="18"/>
      <c r="D570" s="18"/>
      <c r="E570" s="18"/>
      <c r="F570" s="68"/>
      <c r="G570" s="18"/>
      <c r="H570" s="18"/>
      <c r="I570" s="18"/>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8"/>
      <c r="B571" s="18"/>
      <c r="C571" s="18"/>
      <c r="D571" s="18"/>
      <c r="E571" s="18"/>
      <c r="F571" s="68"/>
      <c r="G571" s="18"/>
      <c r="H571" s="18"/>
      <c r="I571" s="18"/>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8"/>
      <c r="B572" s="18"/>
      <c r="C572" s="18"/>
      <c r="D572" s="18"/>
      <c r="E572" s="18"/>
      <c r="F572" s="68"/>
      <c r="G572" s="18"/>
      <c r="H572" s="18"/>
      <c r="I572" s="18"/>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8"/>
      <c r="B573" s="18"/>
      <c r="C573" s="18"/>
      <c r="D573" s="18"/>
      <c r="E573" s="18"/>
      <c r="F573" s="68"/>
      <c r="G573" s="18"/>
      <c r="H573" s="18"/>
      <c r="I573" s="18"/>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8"/>
      <c r="B574" s="18"/>
      <c r="C574" s="18"/>
      <c r="D574" s="18"/>
      <c r="E574" s="18"/>
      <c r="F574" s="68"/>
      <c r="G574" s="18"/>
      <c r="H574" s="18"/>
      <c r="I574" s="18"/>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8"/>
      <c r="B575" s="18"/>
      <c r="C575" s="18"/>
      <c r="D575" s="18"/>
      <c r="E575" s="18"/>
      <c r="F575" s="68"/>
      <c r="G575" s="18"/>
      <c r="H575" s="18"/>
      <c r="I575" s="18"/>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8"/>
      <c r="B576" s="18"/>
      <c r="C576" s="18"/>
      <c r="D576" s="18"/>
      <c r="E576" s="18"/>
      <c r="F576" s="68"/>
      <c r="G576" s="18"/>
      <c r="H576" s="18"/>
      <c r="I576" s="18"/>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8"/>
      <c r="B577" s="18"/>
      <c r="C577" s="18"/>
      <c r="D577" s="18"/>
      <c r="E577" s="18"/>
      <c r="F577" s="68"/>
      <c r="G577" s="18"/>
      <c r="H577" s="18"/>
      <c r="I577" s="18"/>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8"/>
      <c r="B578" s="18"/>
      <c r="C578" s="18"/>
      <c r="D578" s="18"/>
      <c r="E578" s="18"/>
      <c r="F578" s="68"/>
      <c r="G578" s="18"/>
      <c r="H578" s="18"/>
      <c r="I578" s="18"/>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8"/>
      <c r="B579" s="18"/>
      <c r="C579" s="18"/>
      <c r="D579" s="18"/>
      <c r="E579" s="18"/>
      <c r="F579" s="68"/>
      <c r="G579" s="18"/>
      <c r="H579" s="18"/>
      <c r="I579" s="18"/>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8"/>
      <c r="B580" s="18"/>
      <c r="C580" s="18"/>
      <c r="D580" s="18"/>
      <c r="E580" s="18"/>
      <c r="F580" s="68"/>
      <c r="G580" s="18"/>
      <c r="H580" s="18"/>
      <c r="I580" s="18"/>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8"/>
      <c r="B581" s="18"/>
      <c r="C581" s="18"/>
      <c r="D581" s="18"/>
      <c r="E581" s="18"/>
      <c r="F581" s="68"/>
      <c r="G581" s="18"/>
      <c r="H581" s="18"/>
      <c r="I581" s="18"/>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8"/>
      <c r="B582" s="18"/>
      <c r="C582" s="18"/>
      <c r="D582" s="18"/>
      <c r="E582" s="18"/>
      <c r="F582" s="68"/>
      <c r="G582" s="18"/>
      <c r="H582" s="18"/>
      <c r="I582" s="18"/>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8"/>
      <c r="B583" s="18"/>
      <c r="C583" s="18"/>
      <c r="D583" s="18"/>
      <c r="E583" s="18"/>
      <c r="F583" s="68"/>
      <c r="G583" s="18"/>
      <c r="H583" s="18"/>
      <c r="I583" s="18"/>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8"/>
      <c r="B584" s="18"/>
      <c r="C584" s="18"/>
      <c r="D584" s="18"/>
      <c r="E584" s="18"/>
      <c r="F584" s="68"/>
      <c r="G584" s="18"/>
      <c r="H584" s="18"/>
      <c r="I584" s="18"/>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8"/>
      <c r="B585" s="18"/>
      <c r="C585" s="18"/>
      <c r="D585" s="18"/>
      <c r="E585" s="18"/>
      <c r="F585" s="68"/>
      <c r="G585" s="18"/>
      <c r="H585" s="18"/>
      <c r="I585" s="18"/>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8"/>
      <c r="B586" s="18"/>
      <c r="C586" s="18"/>
      <c r="D586" s="18"/>
      <c r="E586" s="18"/>
      <c r="F586" s="68"/>
      <c r="G586" s="18"/>
      <c r="H586" s="18"/>
      <c r="I586" s="18"/>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8"/>
      <c r="B587" s="18"/>
      <c r="C587" s="18"/>
      <c r="D587" s="18"/>
      <c r="E587" s="18"/>
      <c r="F587" s="68"/>
      <c r="G587" s="18"/>
      <c r="H587" s="18"/>
      <c r="I587" s="18"/>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8"/>
      <c r="B588" s="18"/>
      <c r="C588" s="18"/>
      <c r="D588" s="18"/>
      <c r="E588" s="18"/>
      <c r="F588" s="68"/>
      <c r="G588" s="18"/>
      <c r="H588" s="18"/>
      <c r="I588" s="18"/>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8"/>
      <c r="B589" s="18"/>
      <c r="C589" s="18"/>
      <c r="D589" s="18"/>
      <c r="E589" s="18"/>
      <c r="F589" s="68"/>
      <c r="G589" s="18"/>
      <c r="H589" s="18"/>
      <c r="I589" s="18"/>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8"/>
      <c r="B590" s="18"/>
      <c r="C590" s="18"/>
      <c r="D590" s="18"/>
      <c r="E590" s="18"/>
      <c r="F590" s="68"/>
      <c r="G590" s="18"/>
      <c r="H590" s="18"/>
      <c r="I590" s="18"/>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8"/>
      <c r="B591" s="18"/>
      <c r="C591" s="18"/>
      <c r="D591" s="18"/>
      <c r="E591" s="18"/>
      <c r="F591" s="68"/>
      <c r="G591" s="18"/>
      <c r="H591" s="18"/>
      <c r="I591" s="18"/>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8"/>
      <c r="B592" s="18"/>
      <c r="C592" s="18"/>
      <c r="D592" s="18"/>
      <c r="E592" s="18"/>
      <c r="F592" s="68"/>
      <c r="G592" s="18"/>
      <c r="H592" s="18"/>
      <c r="I592" s="18"/>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8"/>
      <c r="B593" s="18"/>
      <c r="C593" s="18"/>
      <c r="D593" s="18"/>
      <c r="E593" s="18"/>
      <c r="F593" s="68"/>
      <c r="G593" s="18"/>
      <c r="H593" s="18"/>
      <c r="I593" s="18"/>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8"/>
      <c r="B594" s="18"/>
      <c r="C594" s="18"/>
      <c r="D594" s="18"/>
      <c r="E594" s="18"/>
      <c r="F594" s="68"/>
      <c r="G594" s="18"/>
      <c r="H594" s="18"/>
      <c r="I594" s="18"/>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8"/>
      <c r="B595" s="18"/>
      <c r="C595" s="18"/>
      <c r="D595" s="18"/>
      <c r="E595" s="18"/>
      <c r="F595" s="68"/>
      <c r="G595" s="18"/>
      <c r="H595" s="18"/>
      <c r="I595" s="18"/>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8"/>
      <c r="B596" s="18"/>
      <c r="C596" s="18"/>
      <c r="D596" s="18"/>
      <c r="E596" s="18"/>
      <c r="F596" s="68"/>
      <c r="G596" s="18"/>
      <c r="H596" s="18"/>
      <c r="I596" s="18"/>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8"/>
      <c r="B597" s="18"/>
      <c r="C597" s="18"/>
      <c r="D597" s="18"/>
      <c r="E597" s="18"/>
      <c r="F597" s="68"/>
      <c r="G597" s="18"/>
      <c r="H597" s="18"/>
      <c r="I597" s="18"/>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8"/>
      <c r="B598" s="18"/>
      <c r="C598" s="18"/>
      <c r="D598" s="18"/>
      <c r="E598" s="18"/>
      <c r="F598" s="68"/>
      <c r="G598" s="18"/>
      <c r="H598" s="18"/>
      <c r="I598" s="18"/>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8"/>
      <c r="B599" s="18"/>
      <c r="C599" s="18"/>
      <c r="D599" s="18"/>
      <c r="E599" s="18"/>
      <c r="F599" s="68"/>
      <c r="G599" s="18"/>
      <c r="H599" s="18"/>
      <c r="I599" s="18"/>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8"/>
      <c r="B600" s="18"/>
      <c r="C600" s="18"/>
      <c r="D600" s="18"/>
      <c r="E600" s="18"/>
      <c r="F600" s="68"/>
      <c r="G600" s="18"/>
      <c r="H600" s="18"/>
      <c r="I600" s="18"/>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8"/>
      <c r="B601" s="18"/>
      <c r="C601" s="18"/>
      <c r="D601" s="18"/>
      <c r="E601" s="18"/>
      <c r="F601" s="68"/>
      <c r="G601" s="18"/>
      <c r="H601" s="18"/>
      <c r="I601" s="18"/>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8"/>
      <c r="B602" s="18"/>
      <c r="C602" s="18"/>
      <c r="D602" s="18"/>
      <c r="E602" s="18"/>
      <c r="F602" s="68"/>
      <c r="G602" s="18"/>
      <c r="H602" s="18"/>
      <c r="I602" s="18"/>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8"/>
      <c r="B603" s="18"/>
      <c r="C603" s="18"/>
      <c r="D603" s="18"/>
      <c r="E603" s="18"/>
      <c r="F603" s="68"/>
      <c r="G603" s="18"/>
      <c r="H603" s="18"/>
      <c r="I603" s="18"/>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8"/>
      <c r="B604" s="18"/>
      <c r="C604" s="18"/>
      <c r="D604" s="18"/>
      <c r="E604" s="18"/>
      <c r="F604" s="68"/>
      <c r="G604" s="18"/>
      <c r="H604" s="18"/>
      <c r="I604" s="18"/>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8"/>
      <c r="B605" s="18"/>
      <c r="C605" s="18"/>
      <c r="D605" s="18"/>
      <c r="E605" s="18"/>
      <c r="F605" s="68"/>
      <c r="G605" s="18"/>
      <c r="H605" s="18"/>
      <c r="I605" s="18"/>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8"/>
      <c r="B606" s="18"/>
      <c r="C606" s="18"/>
      <c r="D606" s="18"/>
      <c r="E606" s="18"/>
      <c r="F606" s="68"/>
      <c r="G606" s="18"/>
      <c r="H606" s="18"/>
      <c r="I606" s="18"/>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8"/>
      <c r="B607" s="18"/>
      <c r="C607" s="18"/>
      <c r="D607" s="18"/>
      <c r="E607" s="18"/>
      <c r="F607" s="68"/>
      <c r="G607" s="18"/>
      <c r="H607" s="18"/>
      <c r="I607" s="18"/>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8"/>
      <c r="B608" s="18"/>
      <c r="C608" s="18"/>
      <c r="D608" s="18"/>
      <c r="E608" s="18"/>
      <c r="F608" s="68"/>
      <c r="G608" s="18"/>
      <c r="H608" s="18"/>
      <c r="I608" s="18"/>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8"/>
      <c r="B609" s="18"/>
      <c r="C609" s="18"/>
      <c r="D609" s="18"/>
      <c r="E609" s="18"/>
      <c r="F609" s="68"/>
      <c r="G609" s="18"/>
      <c r="H609" s="18"/>
      <c r="I609" s="18"/>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8"/>
      <c r="B610" s="18"/>
      <c r="C610" s="18"/>
      <c r="D610" s="18"/>
      <c r="E610" s="18"/>
      <c r="F610" s="68"/>
      <c r="G610" s="18"/>
      <c r="H610" s="18"/>
      <c r="I610" s="18"/>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8"/>
      <c r="B611" s="18"/>
      <c r="C611" s="18"/>
      <c r="D611" s="18"/>
      <c r="E611" s="18"/>
      <c r="F611" s="68"/>
      <c r="G611" s="18"/>
      <c r="H611" s="18"/>
      <c r="I611" s="18"/>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8"/>
      <c r="B612" s="18"/>
      <c r="C612" s="18"/>
      <c r="D612" s="18"/>
      <c r="E612" s="18"/>
      <c r="F612" s="68"/>
      <c r="G612" s="18"/>
      <c r="H612" s="18"/>
      <c r="I612" s="18"/>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8"/>
      <c r="B613" s="18"/>
      <c r="C613" s="18"/>
      <c r="D613" s="18"/>
      <c r="E613" s="18"/>
      <c r="F613" s="68"/>
      <c r="G613" s="18"/>
      <c r="H613" s="18"/>
      <c r="I613" s="18"/>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8"/>
      <c r="B614" s="18"/>
      <c r="C614" s="18"/>
      <c r="D614" s="18"/>
      <c r="E614" s="18"/>
      <c r="F614" s="68"/>
      <c r="G614" s="18"/>
      <c r="H614" s="18"/>
      <c r="I614" s="18"/>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8"/>
      <c r="B615" s="18"/>
      <c r="C615" s="18"/>
      <c r="D615" s="18"/>
      <c r="E615" s="18"/>
      <c r="F615" s="68"/>
      <c r="G615" s="18"/>
      <c r="H615" s="18"/>
      <c r="I615" s="18"/>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8"/>
      <c r="B616" s="18"/>
      <c r="C616" s="18"/>
      <c r="D616" s="18"/>
      <c r="E616" s="18"/>
      <c r="F616" s="68"/>
      <c r="G616" s="18"/>
      <c r="H616" s="18"/>
      <c r="I616" s="18"/>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8"/>
      <c r="B617" s="18"/>
      <c r="C617" s="18"/>
      <c r="D617" s="18"/>
      <c r="E617" s="18"/>
      <c r="F617" s="68"/>
      <c r="G617" s="18"/>
      <c r="H617" s="18"/>
      <c r="I617" s="18"/>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8"/>
      <c r="B618" s="18"/>
      <c r="C618" s="18"/>
      <c r="D618" s="18"/>
      <c r="E618" s="18"/>
      <c r="F618" s="68"/>
      <c r="G618" s="18"/>
      <c r="H618" s="18"/>
      <c r="I618" s="18"/>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8"/>
      <c r="B619" s="18"/>
      <c r="C619" s="18"/>
      <c r="D619" s="18"/>
      <c r="E619" s="18"/>
      <c r="F619" s="68"/>
      <c r="G619" s="18"/>
      <c r="H619" s="18"/>
      <c r="I619" s="18"/>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8"/>
      <c r="B620" s="18"/>
      <c r="C620" s="18"/>
      <c r="D620" s="18"/>
      <c r="E620" s="18"/>
      <c r="F620" s="68"/>
      <c r="G620" s="18"/>
      <c r="H620" s="18"/>
      <c r="I620" s="18"/>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8"/>
      <c r="B621" s="18"/>
      <c r="C621" s="18"/>
      <c r="D621" s="18"/>
      <c r="E621" s="18"/>
      <c r="F621" s="68"/>
      <c r="G621" s="18"/>
      <c r="H621" s="18"/>
      <c r="I621" s="18"/>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8"/>
      <c r="B622" s="18"/>
      <c r="C622" s="18"/>
      <c r="D622" s="18"/>
      <c r="E622" s="18"/>
      <c r="F622" s="68"/>
      <c r="G622" s="18"/>
      <c r="H622" s="18"/>
      <c r="I622" s="18"/>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8"/>
      <c r="B623" s="18"/>
      <c r="C623" s="18"/>
      <c r="D623" s="18"/>
      <c r="E623" s="18"/>
      <c r="F623" s="68"/>
      <c r="G623" s="18"/>
      <c r="H623" s="18"/>
      <c r="I623" s="18"/>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8"/>
      <c r="B624" s="18"/>
      <c r="C624" s="18"/>
      <c r="D624" s="18"/>
      <c r="E624" s="18"/>
      <c r="F624" s="68"/>
      <c r="G624" s="18"/>
      <c r="H624" s="18"/>
      <c r="I624" s="18"/>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8"/>
      <c r="B625" s="18"/>
      <c r="C625" s="18"/>
      <c r="D625" s="18"/>
      <c r="E625" s="18"/>
      <c r="F625" s="68"/>
      <c r="G625" s="18"/>
      <c r="H625" s="18"/>
      <c r="I625" s="18"/>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8"/>
      <c r="B626" s="18"/>
      <c r="C626" s="18"/>
      <c r="D626" s="18"/>
      <c r="E626" s="18"/>
      <c r="F626" s="68"/>
      <c r="G626" s="18"/>
      <c r="H626" s="18"/>
      <c r="I626" s="18"/>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8"/>
      <c r="B627" s="18"/>
      <c r="C627" s="18"/>
      <c r="D627" s="18"/>
      <c r="E627" s="18"/>
      <c r="F627" s="68"/>
      <c r="G627" s="18"/>
      <c r="H627" s="18"/>
      <c r="I627" s="18"/>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8"/>
      <c r="B628" s="18"/>
      <c r="C628" s="18"/>
      <c r="D628" s="18"/>
      <c r="E628" s="18"/>
      <c r="F628" s="68"/>
      <c r="G628" s="18"/>
      <c r="H628" s="18"/>
      <c r="I628" s="18"/>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8"/>
      <c r="B629" s="18"/>
      <c r="C629" s="18"/>
      <c r="D629" s="18"/>
      <c r="E629" s="18"/>
      <c r="F629" s="68"/>
      <c r="G629" s="18"/>
      <c r="H629" s="18"/>
      <c r="I629" s="18"/>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8"/>
      <c r="B630" s="18"/>
      <c r="C630" s="18"/>
      <c r="D630" s="18"/>
      <c r="E630" s="18"/>
      <c r="F630" s="68"/>
      <c r="G630" s="18"/>
      <c r="H630" s="18"/>
      <c r="I630" s="18"/>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8"/>
      <c r="B631" s="18"/>
      <c r="C631" s="18"/>
      <c r="D631" s="18"/>
      <c r="E631" s="18"/>
      <c r="F631" s="68"/>
      <c r="G631" s="18"/>
      <c r="H631" s="18"/>
      <c r="I631" s="18"/>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8"/>
      <c r="B632" s="18"/>
      <c r="C632" s="18"/>
      <c r="D632" s="18"/>
      <c r="E632" s="18"/>
      <c r="F632" s="68"/>
      <c r="G632" s="18"/>
      <c r="H632" s="18"/>
      <c r="I632" s="18"/>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8"/>
      <c r="B633" s="18"/>
      <c r="C633" s="18"/>
      <c r="D633" s="18"/>
      <c r="E633" s="18"/>
      <c r="F633" s="68"/>
      <c r="G633" s="18"/>
      <c r="H633" s="18"/>
      <c r="I633" s="18"/>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8"/>
      <c r="B634" s="18"/>
      <c r="C634" s="18"/>
      <c r="D634" s="18"/>
      <c r="E634" s="18"/>
      <c r="F634" s="68"/>
      <c r="G634" s="18"/>
      <c r="H634" s="18"/>
      <c r="I634" s="18"/>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8"/>
      <c r="B635" s="18"/>
      <c r="C635" s="18"/>
      <c r="D635" s="18"/>
      <c r="E635" s="18"/>
      <c r="F635" s="68"/>
      <c r="G635" s="18"/>
      <c r="H635" s="18"/>
      <c r="I635" s="18"/>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8"/>
      <c r="B636" s="18"/>
      <c r="C636" s="18"/>
      <c r="D636" s="18"/>
      <c r="E636" s="18"/>
      <c r="F636" s="68"/>
      <c r="G636" s="18"/>
      <c r="H636" s="18"/>
      <c r="I636" s="18"/>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8"/>
      <c r="B637" s="18"/>
      <c r="C637" s="18"/>
      <c r="D637" s="18"/>
      <c r="E637" s="18"/>
      <c r="F637" s="68"/>
      <c r="G637" s="18"/>
      <c r="H637" s="18"/>
      <c r="I637" s="18"/>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8"/>
      <c r="B638" s="18"/>
      <c r="C638" s="18"/>
      <c r="D638" s="18"/>
      <c r="E638" s="18"/>
      <c r="F638" s="68"/>
      <c r="G638" s="18"/>
      <c r="H638" s="18"/>
      <c r="I638" s="18"/>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8"/>
      <c r="B639" s="18"/>
      <c r="C639" s="18"/>
      <c r="D639" s="18"/>
      <c r="E639" s="18"/>
      <c r="F639" s="68"/>
      <c r="G639" s="18"/>
      <c r="H639" s="18"/>
      <c r="I639" s="18"/>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8"/>
      <c r="B640" s="18"/>
      <c r="C640" s="18"/>
      <c r="D640" s="18"/>
      <c r="E640" s="18"/>
      <c r="F640" s="68"/>
      <c r="G640" s="18"/>
      <c r="H640" s="18"/>
      <c r="I640" s="18"/>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8"/>
      <c r="B641" s="18"/>
      <c r="C641" s="18"/>
      <c r="D641" s="18"/>
      <c r="E641" s="18"/>
      <c r="F641" s="68"/>
      <c r="G641" s="18"/>
      <c r="H641" s="18"/>
      <c r="I641" s="18"/>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8"/>
      <c r="B642" s="18"/>
      <c r="C642" s="18"/>
      <c r="D642" s="18"/>
      <c r="E642" s="18"/>
      <c r="F642" s="68"/>
      <c r="G642" s="18"/>
      <c r="H642" s="18"/>
      <c r="I642" s="18"/>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8"/>
      <c r="B643" s="18"/>
      <c r="C643" s="18"/>
      <c r="D643" s="18"/>
      <c r="E643" s="18"/>
      <c r="F643" s="68"/>
      <c r="G643" s="18"/>
      <c r="H643" s="18"/>
      <c r="I643" s="18"/>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8"/>
      <c r="B644" s="18"/>
      <c r="C644" s="18"/>
      <c r="D644" s="18"/>
      <c r="E644" s="18"/>
      <c r="F644" s="68"/>
      <c r="G644" s="18"/>
      <c r="H644" s="18"/>
      <c r="I644" s="18"/>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8"/>
      <c r="B645" s="18"/>
      <c r="C645" s="18"/>
      <c r="D645" s="18"/>
      <c r="E645" s="18"/>
      <c r="F645" s="68"/>
      <c r="G645" s="18"/>
      <c r="H645" s="18"/>
      <c r="I645" s="18"/>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8"/>
      <c r="B646" s="18"/>
      <c r="C646" s="18"/>
      <c r="D646" s="18"/>
      <c r="E646" s="18"/>
      <c r="F646" s="68"/>
      <c r="G646" s="18"/>
      <c r="H646" s="18"/>
      <c r="I646" s="18"/>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8"/>
      <c r="B647" s="18"/>
      <c r="C647" s="18"/>
      <c r="D647" s="18"/>
      <c r="E647" s="18"/>
      <c r="F647" s="68"/>
      <c r="G647" s="18"/>
      <c r="H647" s="18"/>
      <c r="I647" s="18"/>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8"/>
      <c r="B648" s="18"/>
      <c r="C648" s="18"/>
      <c r="D648" s="18"/>
      <c r="E648" s="18"/>
      <c r="F648" s="68"/>
      <c r="G648" s="18"/>
      <c r="H648" s="18"/>
      <c r="I648" s="18"/>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8"/>
      <c r="B649" s="18"/>
      <c r="C649" s="18"/>
      <c r="D649" s="18"/>
      <c r="E649" s="18"/>
      <c r="F649" s="68"/>
      <c r="G649" s="18"/>
      <c r="H649" s="18"/>
      <c r="I649" s="18"/>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8"/>
      <c r="B650" s="18"/>
      <c r="C650" s="18"/>
      <c r="D650" s="18"/>
      <c r="E650" s="18"/>
      <c r="F650" s="68"/>
      <c r="G650" s="18"/>
      <c r="H650" s="18"/>
      <c r="I650" s="18"/>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8"/>
      <c r="B651" s="18"/>
      <c r="C651" s="18"/>
      <c r="D651" s="18"/>
      <c r="E651" s="18"/>
      <c r="F651" s="68"/>
      <c r="G651" s="18"/>
      <c r="H651" s="18"/>
      <c r="I651" s="18"/>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8"/>
      <c r="B652" s="18"/>
      <c r="C652" s="18"/>
      <c r="D652" s="18"/>
      <c r="E652" s="18"/>
      <c r="F652" s="68"/>
      <c r="G652" s="18"/>
      <c r="H652" s="18"/>
      <c r="I652" s="18"/>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8"/>
      <c r="B653" s="18"/>
      <c r="C653" s="18"/>
      <c r="D653" s="18"/>
      <c r="E653" s="18"/>
      <c r="F653" s="68"/>
      <c r="G653" s="18"/>
      <c r="H653" s="18"/>
      <c r="I653" s="18"/>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8"/>
      <c r="B654" s="18"/>
      <c r="C654" s="18"/>
      <c r="D654" s="18"/>
      <c r="E654" s="18"/>
      <c r="F654" s="68"/>
      <c r="G654" s="18"/>
      <c r="H654" s="18"/>
      <c r="I654" s="18"/>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8"/>
      <c r="B655" s="18"/>
      <c r="C655" s="18"/>
      <c r="D655" s="18"/>
      <c r="E655" s="18"/>
      <c r="F655" s="68"/>
      <c r="G655" s="18"/>
      <c r="H655" s="18"/>
      <c r="I655" s="18"/>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8"/>
      <c r="B656" s="18"/>
      <c r="C656" s="18"/>
      <c r="D656" s="18"/>
      <c r="E656" s="18"/>
      <c r="F656" s="68"/>
      <c r="G656" s="18"/>
      <c r="H656" s="18"/>
      <c r="I656" s="18"/>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8"/>
      <c r="B657" s="18"/>
      <c r="C657" s="18"/>
      <c r="D657" s="18"/>
      <c r="E657" s="18"/>
      <c r="F657" s="68"/>
      <c r="G657" s="18"/>
      <c r="H657" s="18"/>
      <c r="I657" s="18"/>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8"/>
      <c r="B658" s="18"/>
      <c r="C658" s="18"/>
      <c r="D658" s="18"/>
      <c r="E658" s="18"/>
      <c r="F658" s="68"/>
      <c r="G658" s="18"/>
      <c r="H658" s="18"/>
      <c r="I658" s="18"/>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8"/>
      <c r="B659" s="18"/>
      <c r="C659" s="18"/>
      <c r="D659" s="18"/>
      <c r="E659" s="18"/>
      <c r="F659" s="68"/>
      <c r="G659" s="18"/>
      <c r="H659" s="18"/>
      <c r="I659" s="18"/>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8"/>
      <c r="B660" s="18"/>
      <c r="C660" s="18"/>
      <c r="D660" s="18"/>
      <c r="E660" s="18"/>
      <c r="F660" s="68"/>
      <c r="G660" s="18"/>
      <c r="H660" s="18"/>
      <c r="I660" s="18"/>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8"/>
      <c r="B661" s="18"/>
      <c r="C661" s="18"/>
      <c r="D661" s="18"/>
      <c r="E661" s="18"/>
      <c r="F661" s="68"/>
      <c r="G661" s="18"/>
      <c r="H661" s="18"/>
      <c r="I661" s="18"/>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8"/>
      <c r="B662" s="18"/>
      <c r="C662" s="18"/>
      <c r="D662" s="18"/>
      <c r="E662" s="18"/>
      <c r="F662" s="68"/>
      <c r="G662" s="18"/>
      <c r="H662" s="18"/>
      <c r="I662" s="18"/>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8"/>
      <c r="B663" s="18"/>
      <c r="C663" s="18"/>
      <c r="D663" s="18"/>
      <c r="E663" s="18"/>
      <c r="F663" s="68"/>
      <c r="G663" s="18"/>
      <c r="H663" s="18"/>
      <c r="I663" s="18"/>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8"/>
      <c r="B664" s="18"/>
      <c r="C664" s="18"/>
      <c r="D664" s="18"/>
      <c r="E664" s="18"/>
      <c r="F664" s="68"/>
      <c r="G664" s="18"/>
      <c r="H664" s="18"/>
      <c r="I664" s="18"/>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8"/>
      <c r="B665" s="18"/>
      <c r="C665" s="18"/>
      <c r="D665" s="18"/>
      <c r="E665" s="18"/>
      <c r="F665" s="68"/>
      <c r="G665" s="18"/>
      <c r="H665" s="18"/>
      <c r="I665" s="18"/>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8"/>
      <c r="B666" s="18"/>
      <c r="C666" s="18"/>
      <c r="D666" s="18"/>
      <c r="E666" s="18"/>
      <c r="F666" s="68"/>
      <c r="G666" s="18"/>
      <c r="H666" s="18"/>
      <c r="I666" s="18"/>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8"/>
      <c r="B667" s="18"/>
      <c r="C667" s="18"/>
      <c r="D667" s="18"/>
      <c r="E667" s="18"/>
      <c r="F667" s="68"/>
      <c r="G667" s="18"/>
      <c r="H667" s="18"/>
      <c r="I667" s="18"/>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8"/>
      <c r="B668" s="18"/>
      <c r="C668" s="18"/>
      <c r="D668" s="18"/>
      <c r="E668" s="18"/>
      <c r="F668" s="68"/>
      <c r="G668" s="18"/>
      <c r="H668" s="18"/>
      <c r="I668" s="18"/>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8"/>
      <c r="B669" s="18"/>
      <c r="C669" s="18"/>
      <c r="D669" s="18"/>
      <c r="E669" s="18"/>
      <c r="F669" s="68"/>
      <c r="G669" s="18"/>
      <c r="H669" s="18"/>
      <c r="I669" s="18"/>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8"/>
      <c r="B670" s="18"/>
      <c r="C670" s="18"/>
      <c r="D670" s="18"/>
      <c r="E670" s="18"/>
      <c r="F670" s="68"/>
      <c r="G670" s="18"/>
      <c r="H670" s="18"/>
      <c r="I670" s="18"/>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8"/>
      <c r="B671" s="18"/>
      <c r="C671" s="18"/>
      <c r="D671" s="18"/>
      <c r="E671" s="18"/>
      <c r="F671" s="68"/>
      <c r="G671" s="18"/>
      <c r="H671" s="18"/>
      <c r="I671" s="18"/>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8"/>
      <c r="B672" s="18"/>
      <c r="C672" s="18"/>
      <c r="D672" s="18"/>
      <c r="E672" s="18"/>
      <c r="F672" s="68"/>
      <c r="G672" s="18"/>
      <c r="H672" s="18"/>
      <c r="I672" s="18"/>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8"/>
      <c r="B673" s="18"/>
      <c r="C673" s="18"/>
      <c r="D673" s="18"/>
      <c r="E673" s="18"/>
      <c r="F673" s="68"/>
      <c r="G673" s="18"/>
      <c r="H673" s="18"/>
      <c r="I673" s="18"/>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8"/>
      <c r="B674" s="18"/>
      <c r="C674" s="18"/>
      <c r="D674" s="18"/>
      <c r="E674" s="18"/>
      <c r="F674" s="68"/>
      <c r="G674" s="18"/>
      <c r="H674" s="18"/>
      <c r="I674" s="18"/>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8"/>
      <c r="B675" s="18"/>
      <c r="C675" s="18"/>
      <c r="D675" s="18"/>
      <c r="E675" s="18"/>
      <c r="F675" s="68"/>
      <c r="G675" s="18"/>
      <c r="H675" s="18"/>
      <c r="I675" s="18"/>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8"/>
      <c r="B676" s="18"/>
      <c r="C676" s="18"/>
      <c r="D676" s="18"/>
      <c r="E676" s="18"/>
      <c r="F676" s="68"/>
      <c r="G676" s="18"/>
      <c r="H676" s="18"/>
      <c r="I676" s="18"/>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8"/>
      <c r="B677" s="18"/>
      <c r="C677" s="18"/>
      <c r="D677" s="18"/>
      <c r="E677" s="18"/>
      <c r="F677" s="68"/>
      <c r="G677" s="18"/>
      <c r="H677" s="18"/>
      <c r="I677" s="18"/>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8"/>
      <c r="B678" s="18"/>
      <c r="C678" s="18"/>
      <c r="D678" s="18"/>
      <c r="E678" s="18"/>
      <c r="F678" s="68"/>
      <c r="G678" s="18"/>
      <c r="H678" s="18"/>
      <c r="I678" s="18"/>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8"/>
      <c r="B679" s="18"/>
      <c r="C679" s="18"/>
      <c r="D679" s="18"/>
      <c r="E679" s="18"/>
      <c r="F679" s="68"/>
      <c r="G679" s="18"/>
      <c r="H679" s="18"/>
      <c r="I679" s="18"/>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8"/>
      <c r="B680" s="18"/>
      <c r="C680" s="18"/>
      <c r="D680" s="18"/>
      <c r="E680" s="18"/>
      <c r="F680" s="68"/>
      <c r="G680" s="18"/>
      <c r="H680" s="18"/>
      <c r="I680" s="18"/>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8"/>
      <c r="B681" s="18"/>
      <c r="C681" s="18"/>
      <c r="D681" s="18"/>
      <c r="E681" s="18"/>
      <c r="F681" s="68"/>
      <c r="G681" s="18"/>
      <c r="H681" s="18"/>
      <c r="I681" s="18"/>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8"/>
      <c r="B682" s="18"/>
      <c r="C682" s="18"/>
      <c r="D682" s="18"/>
      <c r="E682" s="18"/>
      <c r="F682" s="68"/>
      <c r="G682" s="18"/>
      <c r="H682" s="18"/>
      <c r="I682" s="18"/>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8"/>
      <c r="B683" s="18"/>
      <c r="C683" s="18"/>
      <c r="D683" s="18"/>
      <c r="E683" s="18"/>
      <c r="F683" s="68"/>
      <c r="G683" s="18"/>
      <c r="H683" s="18"/>
      <c r="I683" s="18"/>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8"/>
      <c r="B684" s="18"/>
      <c r="C684" s="18"/>
      <c r="D684" s="18"/>
      <c r="E684" s="18"/>
      <c r="F684" s="68"/>
      <c r="G684" s="18"/>
      <c r="H684" s="18"/>
      <c r="I684" s="18"/>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8"/>
      <c r="B685" s="18"/>
      <c r="C685" s="18"/>
      <c r="D685" s="18"/>
      <c r="E685" s="18"/>
      <c r="F685" s="68"/>
      <c r="G685" s="18"/>
      <c r="H685" s="18"/>
      <c r="I685" s="18"/>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8"/>
      <c r="B686" s="18"/>
      <c r="C686" s="18"/>
      <c r="D686" s="18"/>
      <c r="E686" s="18"/>
      <c r="F686" s="68"/>
      <c r="G686" s="18"/>
      <c r="H686" s="18"/>
      <c r="I686" s="18"/>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8"/>
      <c r="B687" s="18"/>
      <c r="C687" s="18"/>
      <c r="D687" s="18"/>
      <c r="E687" s="18"/>
      <c r="F687" s="68"/>
      <c r="G687" s="18"/>
      <c r="H687" s="18"/>
      <c r="I687" s="18"/>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8"/>
      <c r="B688" s="18"/>
      <c r="C688" s="18"/>
      <c r="D688" s="18"/>
      <c r="E688" s="18"/>
      <c r="F688" s="68"/>
      <c r="G688" s="18"/>
      <c r="H688" s="18"/>
      <c r="I688" s="18"/>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8"/>
      <c r="B689" s="18"/>
      <c r="C689" s="18"/>
      <c r="D689" s="18"/>
      <c r="E689" s="18"/>
      <c r="F689" s="68"/>
      <c r="G689" s="18"/>
      <c r="H689" s="18"/>
      <c r="I689" s="18"/>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8"/>
      <c r="B690" s="18"/>
      <c r="C690" s="18"/>
      <c r="D690" s="18"/>
      <c r="E690" s="18"/>
      <c r="F690" s="68"/>
      <c r="G690" s="18"/>
      <c r="H690" s="18"/>
      <c r="I690" s="18"/>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8"/>
      <c r="B691" s="18"/>
      <c r="C691" s="18"/>
      <c r="D691" s="18"/>
      <c r="E691" s="18"/>
      <c r="F691" s="68"/>
      <c r="G691" s="18"/>
      <c r="H691" s="18"/>
      <c r="I691" s="18"/>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8"/>
      <c r="B692" s="18"/>
      <c r="C692" s="18"/>
      <c r="D692" s="18"/>
      <c r="E692" s="18"/>
      <c r="F692" s="68"/>
      <c r="G692" s="18"/>
      <c r="H692" s="18"/>
      <c r="I692" s="18"/>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8"/>
      <c r="B693" s="18"/>
      <c r="C693" s="18"/>
      <c r="D693" s="18"/>
      <c r="E693" s="18"/>
      <c r="F693" s="68"/>
      <c r="G693" s="18"/>
      <c r="H693" s="18"/>
      <c r="I693" s="18"/>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8"/>
      <c r="B694" s="18"/>
      <c r="C694" s="18"/>
      <c r="D694" s="18"/>
      <c r="E694" s="18"/>
      <c r="F694" s="68"/>
      <c r="G694" s="18"/>
      <c r="H694" s="18"/>
      <c r="I694" s="18"/>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8"/>
      <c r="B695" s="18"/>
      <c r="C695" s="18"/>
      <c r="D695" s="18"/>
      <c r="E695" s="18"/>
      <c r="F695" s="68"/>
      <c r="G695" s="18"/>
      <c r="H695" s="18"/>
      <c r="I695" s="18"/>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8"/>
      <c r="B696" s="18"/>
      <c r="C696" s="18"/>
      <c r="D696" s="18"/>
      <c r="E696" s="18"/>
      <c r="F696" s="68"/>
      <c r="G696" s="18"/>
      <c r="H696" s="18"/>
      <c r="I696" s="18"/>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8"/>
      <c r="B697" s="18"/>
      <c r="C697" s="18"/>
      <c r="D697" s="18"/>
      <c r="E697" s="18"/>
      <c r="F697" s="68"/>
      <c r="G697" s="18"/>
      <c r="H697" s="18"/>
      <c r="I697" s="18"/>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8"/>
      <c r="B698" s="18"/>
      <c r="C698" s="18"/>
      <c r="D698" s="18"/>
      <c r="E698" s="18"/>
      <c r="F698" s="68"/>
      <c r="G698" s="18"/>
      <c r="H698" s="18"/>
      <c r="I698" s="18"/>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8"/>
      <c r="B699" s="18"/>
      <c r="C699" s="18"/>
      <c r="D699" s="18"/>
      <c r="E699" s="18"/>
      <c r="F699" s="68"/>
      <c r="G699" s="18"/>
      <c r="H699" s="18"/>
      <c r="I699" s="18"/>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8"/>
      <c r="B700" s="18"/>
      <c r="C700" s="18"/>
      <c r="D700" s="18"/>
      <c r="E700" s="18"/>
      <c r="F700" s="68"/>
      <c r="G700" s="18"/>
      <c r="H700" s="18"/>
      <c r="I700" s="18"/>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8"/>
      <c r="B701" s="18"/>
      <c r="C701" s="18"/>
      <c r="D701" s="18"/>
      <c r="E701" s="18"/>
      <c r="F701" s="68"/>
      <c r="G701" s="18"/>
      <c r="H701" s="18"/>
      <c r="I701" s="18"/>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8"/>
      <c r="B702" s="18"/>
      <c r="C702" s="18"/>
      <c r="D702" s="18"/>
      <c r="E702" s="18"/>
      <c r="F702" s="68"/>
      <c r="G702" s="18"/>
      <c r="H702" s="18"/>
      <c r="I702" s="18"/>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8"/>
      <c r="B703" s="18"/>
      <c r="C703" s="18"/>
      <c r="D703" s="18"/>
      <c r="E703" s="18"/>
      <c r="F703" s="68"/>
      <c r="G703" s="18"/>
      <c r="H703" s="18"/>
      <c r="I703" s="18"/>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8"/>
      <c r="B704" s="18"/>
      <c r="C704" s="18"/>
      <c r="D704" s="18"/>
      <c r="E704" s="18"/>
      <c r="F704" s="68"/>
      <c r="G704" s="18"/>
      <c r="H704" s="18"/>
      <c r="I704" s="18"/>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8"/>
      <c r="B705" s="18"/>
      <c r="C705" s="18"/>
      <c r="D705" s="18"/>
      <c r="E705" s="18"/>
      <c r="F705" s="68"/>
      <c r="G705" s="18"/>
      <c r="H705" s="18"/>
      <c r="I705" s="18"/>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8"/>
      <c r="B706" s="18"/>
      <c r="C706" s="18"/>
      <c r="D706" s="18"/>
      <c r="E706" s="18"/>
      <c r="F706" s="68"/>
      <c r="G706" s="18"/>
      <c r="H706" s="18"/>
      <c r="I706" s="18"/>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8"/>
      <c r="B707" s="18"/>
      <c r="C707" s="18"/>
      <c r="D707" s="18"/>
      <c r="E707" s="18"/>
      <c r="F707" s="68"/>
      <c r="G707" s="18"/>
      <c r="H707" s="18"/>
      <c r="I707" s="18"/>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8"/>
      <c r="B708" s="18"/>
      <c r="C708" s="18"/>
      <c r="D708" s="18"/>
      <c r="E708" s="18"/>
      <c r="F708" s="68"/>
      <c r="G708" s="18"/>
      <c r="H708" s="18"/>
      <c r="I708" s="18"/>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8"/>
      <c r="B709" s="18"/>
      <c r="C709" s="18"/>
      <c r="D709" s="18"/>
      <c r="E709" s="18"/>
      <c r="F709" s="68"/>
      <c r="G709" s="18"/>
      <c r="H709" s="18"/>
      <c r="I709" s="18"/>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8"/>
      <c r="B710" s="18"/>
      <c r="C710" s="18"/>
      <c r="D710" s="18"/>
      <c r="E710" s="18"/>
      <c r="F710" s="68"/>
      <c r="G710" s="18"/>
      <c r="H710" s="18"/>
      <c r="I710" s="18"/>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8"/>
      <c r="B711" s="18"/>
      <c r="C711" s="18"/>
      <c r="D711" s="18"/>
      <c r="E711" s="18"/>
      <c r="F711" s="68"/>
      <c r="G711" s="18"/>
      <c r="H711" s="18"/>
      <c r="I711" s="18"/>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8"/>
      <c r="B712" s="18"/>
      <c r="C712" s="18"/>
      <c r="D712" s="18"/>
      <c r="E712" s="18"/>
      <c r="F712" s="68"/>
      <c r="G712" s="18"/>
      <c r="H712" s="18"/>
      <c r="I712" s="18"/>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8"/>
      <c r="B713" s="18"/>
      <c r="C713" s="18"/>
      <c r="D713" s="18"/>
      <c r="E713" s="18"/>
      <c r="F713" s="68"/>
      <c r="G713" s="18"/>
      <c r="H713" s="18"/>
      <c r="I713" s="18"/>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8"/>
      <c r="B714" s="18"/>
      <c r="C714" s="18"/>
      <c r="D714" s="18"/>
      <c r="E714" s="18"/>
      <c r="F714" s="68"/>
      <c r="G714" s="18"/>
      <c r="H714" s="18"/>
      <c r="I714" s="18"/>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8"/>
      <c r="B715" s="18"/>
      <c r="C715" s="18"/>
      <c r="D715" s="18"/>
      <c r="E715" s="18"/>
      <c r="F715" s="68"/>
      <c r="G715" s="18"/>
      <c r="H715" s="18"/>
      <c r="I715" s="18"/>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8"/>
      <c r="B716" s="18"/>
      <c r="C716" s="18"/>
      <c r="D716" s="18"/>
      <c r="E716" s="18"/>
      <c r="F716" s="68"/>
      <c r="G716" s="18"/>
      <c r="H716" s="18"/>
      <c r="I716" s="18"/>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8"/>
      <c r="B717" s="18"/>
      <c r="C717" s="18"/>
      <c r="D717" s="18"/>
      <c r="E717" s="18"/>
      <c r="F717" s="68"/>
      <c r="G717" s="18"/>
      <c r="H717" s="18"/>
      <c r="I717" s="18"/>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8"/>
      <c r="B718" s="18"/>
      <c r="C718" s="18"/>
      <c r="D718" s="18"/>
      <c r="E718" s="18"/>
      <c r="F718" s="68"/>
      <c r="G718" s="18"/>
      <c r="H718" s="18"/>
      <c r="I718" s="18"/>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8"/>
      <c r="B719" s="18"/>
      <c r="C719" s="18"/>
      <c r="D719" s="18"/>
      <c r="E719" s="18"/>
      <c r="F719" s="68"/>
      <c r="G719" s="18"/>
      <c r="H719" s="18"/>
      <c r="I719" s="18"/>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8"/>
      <c r="B720" s="18"/>
      <c r="C720" s="18"/>
      <c r="D720" s="18"/>
      <c r="E720" s="18"/>
      <c r="F720" s="68"/>
      <c r="G720" s="18"/>
      <c r="H720" s="18"/>
      <c r="I720" s="18"/>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8"/>
      <c r="B721" s="18"/>
      <c r="C721" s="18"/>
      <c r="D721" s="18"/>
      <c r="E721" s="18"/>
      <c r="F721" s="68"/>
      <c r="G721" s="18"/>
      <c r="H721" s="18"/>
      <c r="I721" s="18"/>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8"/>
      <c r="B722" s="18"/>
      <c r="C722" s="18"/>
      <c r="D722" s="18"/>
      <c r="E722" s="18"/>
      <c r="F722" s="68"/>
      <c r="G722" s="18"/>
      <c r="H722" s="18"/>
      <c r="I722" s="18"/>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8"/>
      <c r="B723" s="18"/>
      <c r="C723" s="18"/>
      <c r="D723" s="18"/>
      <c r="E723" s="18"/>
      <c r="F723" s="68"/>
      <c r="G723" s="18"/>
      <c r="H723" s="18"/>
      <c r="I723" s="18"/>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8"/>
      <c r="B724" s="18"/>
      <c r="C724" s="18"/>
      <c r="D724" s="18"/>
      <c r="E724" s="18"/>
      <c r="F724" s="68"/>
      <c r="G724" s="18"/>
      <c r="H724" s="18"/>
      <c r="I724" s="18"/>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8"/>
      <c r="B725" s="18"/>
      <c r="C725" s="18"/>
      <c r="D725" s="18"/>
      <c r="E725" s="18"/>
      <c r="F725" s="68"/>
      <c r="G725" s="18"/>
      <c r="H725" s="18"/>
      <c r="I725" s="18"/>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8"/>
      <c r="B726" s="18"/>
      <c r="C726" s="18"/>
      <c r="D726" s="18"/>
      <c r="E726" s="18"/>
      <c r="F726" s="68"/>
      <c r="G726" s="18"/>
      <c r="H726" s="18"/>
      <c r="I726" s="18"/>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8"/>
      <c r="B727" s="18"/>
      <c r="C727" s="18"/>
      <c r="D727" s="18"/>
      <c r="E727" s="18"/>
      <c r="F727" s="68"/>
      <c r="G727" s="18"/>
      <c r="H727" s="18"/>
      <c r="I727" s="18"/>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8"/>
      <c r="B728" s="18"/>
      <c r="C728" s="18"/>
      <c r="D728" s="18"/>
      <c r="E728" s="18"/>
      <c r="F728" s="68"/>
      <c r="G728" s="18"/>
      <c r="H728" s="18"/>
      <c r="I728" s="18"/>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8"/>
      <c r="B729" s="18"/>
      <c r="C729" s="18"/>
      <c r="D729" s="18"/>
      <c r="E729" s="18"/>
      <c r="F729" s="68"/>
      <c r="G729" s="18"/>
      <c r="H729" s="18"/>
      <c r="I729" s="18"/>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8"/>
      <c r="B730" s="18"/>
      <c r="C730" s="18"/>
      <c r="D730" s="18"/>
      <c r="E730" s="18"/>
      <c r="F730" s="68"/>
      <c r="G730" s="18"/>
      <c r="H730" s="18"/>
      <c r="I730" s="18"/>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8"/>
      <c r="B731" s="18"/>
      <c r="C731" s="18"/>
      <c r="D731" s="18"/>
      <c r="E731" s="18"/>
      <c r="F731" s="68"/>
      <c r="G731" s="18"/>
      <c r="H731" s="18"/>
      <c r="I731" s="18"/>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8"/>
      <c r="B732" s="18"/>
      <c r="C732" s="18"/>
      <c r="D732" s="18"/>
      <c r="E732" s="18"/>
      <c r="F732" s="68"/>
      <c r="G732" s="18"/>
      <c r="H732" s="18"/>
      <c r="I732" s="18"/>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8"/>
      <c r="B733" s="18"/>
      <c r="C733" s="18"/>
      <c r="D733" s="18"/>
      <c r="E733" s="18"/>
      <c r="F733" s="68"/>
      <c r="G733" s="18"/>
      <c r="H733" s="18"/>
      <c r="I733" s="18"/>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8"/>
      <c r="B734" s="18"/>
      <c r="C734" s="18"/>
      <c r="D734" s="18"/>
      <c r="E734" s="18"/>
      <c r="F734" s="68"/>
      <c r="G734" s="18"/>
      <c r="H734" s="18"/>
      <c r="I734" s="18"/>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8"/>
      <c r="B735" s="18"/>
      <c r="C735" s="18"/>
      <c r="D735" s="18"/>
      <c r="E735" s="18"/>
      <c r="F735" s="68"/>
      <c r="G735" s="18"/>
      <c r="H735" s="18"/>
      <c r="I735" s="18"/>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8"/>
      <c r="B736" s="18"/>
      <c r="C736" s="18"/>
      <c r="D736" s="18"/>
      <c r="E736" s="18"/>
      <c r="F736" s="68"/>
      <c r="G736" s="18"/>
      <c r="H736" s="18"/>
      <c r="I736" s="18"/>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8"/>
      <c r="B737" s="18"/>
      <c r="C737" s="18"/>
      <c r="D737" s="18"/>
      <c r="E737" s="18"/>
      <c r="F737" s="68"/>
      <c r="G737" s="18"/>
      <c r="H737" s="18"/>
      <c r="I737" s="18"/>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8"/>
      <c r="B738" s="18"/>
      <c r="C738" s="18"/>
      <c r="D738" s="18"/>
      <c r="E738" s="18"/>
      <c r="F738" s="68"/>
      <c r="G738" s="18"/>
      <c r="H738" s="18"/>
      <c r="I738" s="18"/>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8"/>
      <c r="B739" s="18"/>
      <c r="C739" s="18"/>
      <c r="D739" s="18"/>
      <c r="E739" s="18"/>
      <c r="F739" s="68"/>
      <c r="G739" s="18"/>
      <c r="H739" s="18"/>
      <c r="I739" s="18"/>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8"/>
      <c r="B740" s="18"/>
      <c r="C740" s="18"/>
      <c r="D740" s="18"/>
      <c r="E740" s="18"/>
      <c r="F740" s="68"/>
      <c r="G740" s="18"/>
      <c r="H740" s="18"/>
      <c r="I740" s="18"/>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8"/>
      <c r="B741" s="18"/>
      <c r="C741" s="18"/>
      <c r="D741" s="18"/>
      <c r="E741" s="18"/>
      <c r="F741" s="68"/>
      <c r="G741" s="18"/>
      <c r="H741" s="18"/>
      <c r="I741" s="18"/>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8"/>
      <c r="B742" s="18"/>
      <c r="C742" s="18"/>
      <c r="D742" s="18"/>
      <c r="E742" s="18"/>
      <c r="F742" s="68"/>
      <c r="G742" s="18"/>
      <c r="H742" s="18"/>
      <c r="I742" s="18"/>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8"/>
      <c r="B743" s="18"/>
      <c r="C743" s="18"/>
      <c r="D743" s="18"/>
      <c r="E743" s="18"/>
      <c r="F743" s="68"/>
      <c r="G743" s="18"/>
      <c r="H743" s="18"/>
      <c r="I743" s="18"/>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8"/>
      <c r="B744" s="18"/>
      <c r="C744" s="18"/>
      <c r="D744" s="18"/>
      <c r="E744" s="18"/>
      <c r="F744" s="68"/>
      <c r="G744" s="18"/>
      <c r="H744" s="18"/>
      <c r="I744" s="18"/>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8"/>
      <c r="B745" s="18"/>
      <c r="C745" s="18"/>
      <c r="D745" s="18"/>
      <c r="E745" s="18"/>
      <c r="F745" s="68"/>
      <c r="G745" s="18"/>
      <c r="H745" s="18"/>
      <c r="I745" s="18"/>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8"/>
      <c r="B746" s="18"/>
      <c r="C746" s="18"/>
      <c r="D746" s="18"/>
      <c r="E746" s="18"/>
      <c r="F746" s="68"/>
      <c r="G746" s="18"/>
      <c r="H746" s="18"/>
      <c r="I746" s="18"/>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8"/>
      <c r="B747" s="18"/>
      <c r="C747" s="18"/>
      <c r="D747" s="18"/>
      <c r="E747" s="18"/>
      <c r="F747" s="68"/>
      <c r="G747" s="18"/>
      <c r="H747" s="18"/>
      <c r="I747" s="18"/>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8"/>
      <c r="B748" s="18"/>
      <c r="C748" s="18"/>
      <c r="D748" s="18"/>
      <c r="E748" s="18"/>
      <c r="F748" s="68"/>
      <c r="G748" s="18"/>
      <c r="H748" s="18"/>
      <c r="I748" s="18"/>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8"/>
      <c r="B749" s="18"/>
      <c r="C749" s="18"/>
      <c r="D749" s="18"/>
      <c r="E749" s="18"/>
      <c r="F749" s="68"/>
      <c r="G749" s="18"/>
      <c r="H749" s="18"/>
      <c r="I749" s="18"/>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8"/>
      <c r="B750" s="18"/>
      <c r="C750" s="18"/>
      <c r="D750" s="18"/>
      <c r="E750" s="18"/>
      <c r="F750" s="68"/>
      <c r="G750" s="18"/>
      <c r="H750" s="18"/>
      <c r="I750" s="18"/>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8"/>
      <c r="B751" s="18"/>
      <c r="C751" s="18"/>
      <c r="D751" s="18"/>
      <c r="E751" s="18"/>
      <c r="F751" s="68"/>
      <c r="G751" s="18"/>
      <c r="H751" s="18"/>
      <c r="I751" s="18"/>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8"/>
      <c r="B752" s="18"/>
      <c r="C752" s="18"/>
      <c r="D752" s="18"/>
      <c r="E752" s="18"/>
      <c r="F752" s="68"/>
      <c r="G752" s="18"/>
      <c r="H752" s="18"/>
      <c r="I752" s="18"/>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8"/>
      <c r="B753" s="18"/>
      <c r="C753" s="18"/>
      <c r="D753" s="18"/>
      <c r="E753" s="18"/>
      <c r="F753" s="68"/>
      <c r="G753" s="18"/>
      <c r="H753" s="18"/>
      <c r="I753" s="18"/>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8"/>
      <c r="B754" s="18"/>
      <c r="C754" s="18"/>
      <c r="D754" s="18"/>
      <c r="E754" s="18"/>
      <c r="F754" s="68"/>
      <c r="G754" s="18"/>
      <c r="H754" s="18"/>
      <c r="I754" s="18"/>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8"/>
      <c r="B755" s="18"/>
      <c r="C755" s="18"/>
      <c r="D755" s="18"/>
      <c r="E755" s="18"/>
      <c r="F755" s="68"/>
      <c r="G755" s="18"/>
      <c r="H755" s="18"/>
      <c r="I755" s="18"/>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8"/>
      <c r="B756" s="18"/>
      <c r="C756" s="18"/>
      <c r="D756" s="18"/>
      <c r="E756" s="18"/>
      <c r="F756" s="68"/>
      <c r="G756" s="18"/>
      <c r="H756" s="18"/>
      <c r="I756" s="18"/>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8"/>
      <c r="B757" s="18"/>
      <c r="C757" s="18"/>
      <c r="D757" s="18"/>
      <c r="E757" s="18"/>
      <c r="F757" s="68"/>
      <c r="G757" s="18"/>
      <c r="H757" s="18"/>
      <c r="I757" s="18"/>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8"/>
      <c r="B758" s="18"/>
      <c r="C758" s="18"/>
      <c r="D758" s="18"/>
      <c r="E758" s="18"/>
      <c r="F758" s="68"/>
      <c r="G758" s="18"/>
      <c r="H758" s="18"/>
      <c r="I758" s="18"/>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8"/>
      <c r="B759" s="18"/>
      <c r="C759" s="18"/>
      <c r="D759" s="18"/>
      <c r="E759" s="18"/>
      <c r="F759" s="68"/>
      <c r="G759" s="18"/>
      <c r="H759" s="18"/>
      <c r="I759" s="18"/>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8"/>
      <c r="B760" s="18"/>
      <c r="C760" s="18"/>
      <c r="D760" s="18"/>
      <c r="E760" s="18"/>
      <c r="F760" s="68"/>
      <c r="G760" s="18"/>
      <c r="H760" s="18"/>
      <c r="I760" s="18"/>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8"/>
      <c r="B761" s="18"/>
      <c r="C761" s="18"/>
      <c r="D761" s="18"/>
      <c r="E761" s="18"/>
      <c r="F761" s="68"/>
      <c r="G761" s="18"/>
      <c r="H761" s="18"/>
      <c r="I761" s="18"/>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8"/>
      <c r="B762" s="18"/>
      <c r="C762" s="18"/>
      <c r="D762" s="18"/>
      <c r="E762" s="18"/>
      <c r="F762" s="68"/>
      <c r="G762" s="18"/>
      <c r="H762" s="18"/>
      <c r="I762" s="18"/>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8"/>
      <c r="B763" s="18"/>
      <c r="C763" s="18"/>
      <c r="D763" s="18"/>
      <c r="E763" s="18"/>
      <c r="F763" s="68"/>
      <c r="G763" s="18"/>
      <c r="H763" s="18"/>
      <c r="I763" s="18"/>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8"/>
      <c r="B764" s="18"/>
      <c r="C764" s="18"/>
      <c r="D764" s="18"/>
      <c r="E764" s="18"/>
      <c r="F764" s="68"/>
      <c r="G764" s="18"/>
      <c r="H764" s="18"/>
      <c r="I764" s="18"/>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8"/>
      <c r="B765" s="18"/>
      <c r="C765" s="18"/>
      <c r="D765" s="18"/>
      <c r="E765" s="18"/>
      <c r="F765" s="68"/>
      <c r="G765" s="18"/>
      <c r="H765" s="18"/>
      <c r="I765" s="18"/>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8"/>
      <c r="B766" s="18"/>
      <c r="C766" s="18"/>
      <c r="D766" s="18"/>
      <c r="E766" s="18"/>
      <c r="F766" s="68"/>
      <c r="G766" s="18"/>
      <c r="H766" s="18"/>
      <c r="I766" s="18"/>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8"/>
      <c r="B767" s="18"/>
      <c r="C767" s="18"/>
      <c r="D767" s="18"/>
      <c r="E767" s="18"/>
      <c r="F767" s="68"/>
      <c r="G767" s="18"/>
      <c r="H767" s="18"/>
      <c r="I767" s="18"/>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8"/>
      <c r="B768" s="18"/>
      <c r="C768" s="18"/>
      <c r="D768" s="18"/>
      <c r="E768" s="18"/>
      <c r="F768" s="68"/>
      <c r="G768" s="18"/>
      <c r="H768" s="18"/>
      <c r="I768" s="18"/>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8"/>
      <c r="B769" s="18"/>
      <c r="C769" s="18"/>
      <c r="D769" s="18"/>
      <c r="E769" s="18"/>
      <c r="F769" s="68"/>
      <c r="G769" s="18"/>
      <c r="H769" s="18"/>
      <c r="I769" s="18"/>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8"/>
      <c r="B770" s="18"/>
      <c r="C770" s="18"/>
      <c r="D770" s="18"/>
      <c r="E770" s="18"/>
      <c r="F770" s="68"/>
      <c r="G770" s="18"/>
      <c r="H770" s="18"/>
      <c r="I770" s="18"/>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8"/>
      <c r="B771" s="18"/>
      <c r="C771" s="18"/>
      <c r="D771" s="18"/>
      <c r="E771" s="18"/>
      <c r="F771" s="68"/>
      <c r="G771" s="18"/>
      <c r="H771" s="18"/>
      <c r="I771" s="18"/>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8"/>
      <c r="B772" s="18"/>
      <c r="C772" s="18"/>
      <c r="D772" s="18"/>
      <c r="E772" s="18"/>
      <c r="F772" s="68"/>
      <c r="G772" s="18"/>
      <c r="H772" s="18"/>
      <c r="I772" s="18"/>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8"/>
      <c r="B773" s="18"/>
      <c r="C773" s="18"/>
      <c r="D773" s="18"/>
      <c r="E773" s="18"/>
      <c r="F773" s="68"/>
      <c r="G773" s="18"/>
      <c r="H773" s="18"/>
      <c r="I773" s="18"/>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8"/>
      <c r="B774" s="18"/>
      <c r="C774" s="18"/>
      <c r="D774" s="18"/>
      <c r="E774" s="18"/>
      <c r="F774" s="68"/>
      <c r="G774" s="18"/>
      <c r="H774" s="18"/>
      <c r="I774" s="18"/>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8"/>
      <c r="B775" s="18"/>
      <c r="C775" s="18"/>
      <c r="D775" s="18"/>
      <c r="E775" s="18"/>
      <c r="F775" s="68"/>
      <c r="G775" s="18"/>
      <c r="H775" s="18"/>
      <c r="I775" s="18"/>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8"/>
      <c r="B776" s="18"/>
      <c r="C776" s="18"/>
      <c r="D776" s="18"/>
      <c r="E776" s="18"/>
      <c r="F776" s="68"/>
      <c r="G776" s="18"/>
      <c r="H776" s="18"/>
      <c r="I776" s="18"/>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8"/>
      <c r="B777" s="18"/>
      <c r="C777" s="18"/>
      <c r="D777" s="18"/>
      <c r="E777" s="18"/>
      <c r="F777" s="68"/>
      <c r="G777" s="18"/>
      <c r="H777" s="18"/>
      <c r="I777" s="18"/>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8"/>
      <c r="B778" s="18"/>
      <c r="C778" s="18"/>
      <c r="D778" s="18"/>
      <c r="E778" s="18"/>
      <c r="F778" s="68"/>
      <c r="G778" s="18"/>
      <c r="H778" s="18"/>
      <c r="I778" s="18"/>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8"/>
      <c r="B779" s="18"/>
      <c r="C779" s="18"/>
      <c r="D779" s="18"/>
      <c r="E779" s="18"/>
      <c r="F779" s="68"/>
      <c r="G779" s="18"/>
      <c r="H779" s="18"/>
      <c r="I779" s="18"/>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8"/>
      <c r="B780" s="18"/>
      <c r="C780" s="18"/>
      <c r="D780" s="18"/>
      <c r="E780" s="18"/>
      <c r="F780" s="68"/>
      <c r="G780" s="18"/>
      <c r="H780" s="18"/>
      <c r="I780" s="18"/>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8"/>
      <c r="B781" s="18"/>
      <c r="C781" s="18"/>
      <c r="D781" s="18"/>
      <c r="E781" s="18"/>
      <c r="F781" s="68"/>
      <c r="G781" s="18"/>
      <c r="H781" s="18"/>
      <c r="I781" s="18"/>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8"/>
      <c r="B782" s="18"/>
      <c r="C782" s="18"/>
      <c r="D782" s="18"/>
      <c r="E782" s="18"/>
      <c r="F782" s="68"/>
      <c r="G782" s="18"/>
      <c r="H782" s="18"/>
      <c r="I782" s="18"/>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8"/>
      <c r="B783" s="18"/>
      <c r="C783" s="18"/>
      <c r="D783" s="18"/>
      <c r="E783" s="18"/>
      <c r="F783" s="68"/>
      <c r="G783" s="18"/>
      <c r="H783" s="18"/>
      <c r="I783" s="18"/>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8"/>
      <c r="B784" s="18"/>
      <c r="C784" s="18"/>
      <c r="D784" s="18"/>
      <c r="E784" s="18"/>
      <c r="F784" s="68"/>
      <c r="G784" s="18"/>
      <c r="H784" s="18"/>
      <c r="I784" s="18"/>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8"/>
      <c r="B785" s="18"/>
      <c r="C785" s="18"/>
      <c r="D785" s="18"/>
      <c r="E785" s="18"/>
      <c r="F785" s="68"/>
      <c r="G785" s="18"/>
      <c r="H785" s="18"/>
      <c r="I785" s="18"/>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8"/>
      <c r="B786" s="18"/>
      <c r="C786" s="18"/>
      <c r="D786" s="18"/>
      <c r="E786" s="18"/>
      <c r="F786" s="68"/>
      <c r="G786" s="18"/>
      <c r="H786" s="18"/>
      <c r="I786" s="18"/>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8"/>
      <c r="B787" s="18"/>
      <c r="C787" s="18"/>
      <c r="D787" s="18"/>
      <c r="E787" s="18"/>
      <c r="F787" s="68"/>
      <c r="G787" s="18"/>
      <c r="H787" s="18"/>
      <c r="I787" s="18"/>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8"/>
      <c r="B788" s="18"/>
      <c r="C788" s="18"/>
      <c r="D788" s="18"/>
      <c r="E788" s="18"/>
      <c r="F788" s="68"/>
      <c r="G788" s="18"/>
      <c r="H788" s="18"/>
      <c r="I788" s="18"/>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8"/>
      <c r="B789" s="18"/>
      <c r="C789" s="18"/>
      <c r="D789" s="18"/>
      <c r="E789" s="18"/>
      <c r="F789" s="68"/>
      <c r="G789" s="18"/>
      <c r="H789" s="18"/>
      <c r="I789" s="18"/>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8"/>
      <c r="B790" s="18"/>
      <c r="C790" s="18"/>
      <c r="D790" s="18"/>
      <c r="E790" s="18"/>
      <c r="F790" s="68"/>
      <c r="G790" s="18"/>
      <c r="H790" s="18"/>
      <c r="I790" s="18"/>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8"/>
      <c r="B791" s="18"/>
      <c r="C791" s="18"/>
      <c r="D791" s="18"/>
      <c r="E791" s="18"/>
      <c r="F791" s="68"/>
      <c r="G791" s="18"/>
      <c r="H791" s="18"/>
      <c r="I791" s="18"/>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8"/>
      <c r="B792" s="18"/>
      <c r="C792" s="18"/>
      <c r="D792" s="18"/>
      <c r="E792" s="18"/>
      <c r="F792" s="68"/>
      <c r="G792" s="18"/>
      <c r="H792" s="18"/>
      <c r="I792" s="18"/>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8"/>
      <c r="B793" s="18"/>
      <c r="C793" s="18"/>
      <c r="D793" s="18"/>
      <c r="E793" s="18"/>
      <c r="F793" s="68"/>
      <c r="G793" s="18"/>
      <c r="H793" s="18"/>
      <c r="I793" s="18"/>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8"/>
      <c r="B794" s="18"/>
      <c r="C794" s="18"/>
      <c r="D794" s="18"/>
      <c r="E794" s="18"/>
      <c r="F794" s="68"/>
      <c r="G794" s="18"/>
      <c r="H794" s="18"/>
      <c r="I794" s="18"/>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8"/>
      <c r="B795" s="18"/>
      <c r="C795" s="18"/>
      <c r="D795" s="18"/>
      <c r="E795" s="18"/>
      <c r="F795" s="68"/>
      <c r="G795" s="18"/>
      <c r="H795" s="18"/>
      <c r="I795" s="18"/>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8"/>
      <c r="B796" s="18"/>
      <c r="C796" s="18"/>
      <c r="D796" s="18"/>
      <c r="E796" s="18"/>
      <c r="F796" s="68"/>
      <c r="G796" s="18"/>
      <c r="H796" s="18"/>
      <c r="I796" s="18"/>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8"/>
      <c r="B797" s="18"/>
      <c r="C797" s="18"/>
      <c r="D797" s="18"/>
      <c r="E797" s="18"/>
      <c r="F797" s="68"/>
      <c r="G797" s="18"/>
      <c r="H797" s="18"/>
      <c r="I797" s="18"/>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8"/>
      <c r="B798" s="18"/>
      <c r="C798" s="18"/>
      <c r="D798" s="18"/>
      <c r="E798" s="18"/>
      <c r="F798" s="68"/>
      <c r="G798" s="18"/>
      <c r="H798" s="18"/>
      <c r="I798" s="18"/>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8"/>
      <c r="B799" s="18"/>
      <c r="C799" s="18"/>
      <c r="D799" s="18"/>
      <c r="E799" s="18"/>
      <c r="F799" s="68"/>
      <c r="G799" s="18"/>
      <c r="H799" s="18"/>
      <c r="I799" s="18"/>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8"/>
      <c r="B800" s="18"/>
      <c r="C800" s="18"/>
      <c r="D800" s="18"/>
      <c r="E800" s="18"/>
      <c r="F800" s="68"/>
      <c r="G800" s="18"/>
      <c r="H800" s="18"/>
      <c r="I800" s="18"/>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8"/>
      <c r="B801" s="18"/>
      <c r="C801" s="18"/>
      <c r="D801" s="18"/>
      <c r="E801" s="18"/>
      <c r="F801" s="68"/>
      <c r="G801" s="18"/>
      <c r="H801" s="18"/>
      <c r="I801" s="18"/>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8"/>
      <c r="B802" s="18"/>
      <c r="C802" s="18"/>
      <c r="D802" s="18"/>
      <c r="E802" s="18"/>
      <c r="F802" s="68"/>
      <c r="G802" s="18"/>
      <c r="H802" s="18"/>
      <c r="I802" s="18"/>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8"/>
      <c r="B803" s="18"/>
      <c r="C803" s="18"/>
      <c r="D803" s="18"/>
      <c r="E803" s="18"/>
      <c r="F803" s="68"/>
      <c r="G803" s="18"/>
      <c r="H803" s="18"/>
      <c r="I803" s="18"/>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8"/>
      <c r="B804" s="18"/>
      <c r="C804" s="18"/>
      <c r="D804" s="18"/>
      <c r="E804" s="18"/>
      <c r="F804" s="68"/>
      <c r="G804" s="18"/>
      <c r="H804" s="18"/>
      <c r="I804" s="18"/>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8"/>
      <c r="B805" s="18"/>
      <c r="C805" s="18"/>
      <c r="D805" s="18"/>
      <c r="E805" s="18"/>
      <c r="F805" s="68"/>
      <c r="G805" s="18"/>
      <c r="H805" s="18"/>
      <c r="I805" s="18"/>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8"/>
      <c r="B806" s="18"/>
      <c r="C806" s="18"/>
      <c r="D806" s="18"/>
      <c r="E806" s="18"/>
      <c r="F806" s="68"/>
      <c r="G806" s="18"/>
      <c r="H806" s="18"/>
      <c r="I806" s="18"/>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8"/>
      <c r="B807" s="18"/>
      <c r="C807" s="18"/>
      <c r="D807" s="18"/>
      <c r="E807" s="18"/>
      <c r="F807" s="68"/>
      <c r="G807" s="18"/>
      <c r="H807" s="18"/>
      <c r="I807" s="18"/>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8"/>
      <c r="B808" s="18"/>
      <c r="C808" s="18"/>
      <c r="D808" s="18"/>
      <c r="E808" s="18"/>
      <c r="F808" s="68"/>
      <c r="G808" s="18"/>
      <c r="H808" s="18"/>
      <c r="I808" s="18"/>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8"/>
      <c r="B809" s="18"/>
      <c r="C809" s="18"/>
      <c r="D809" s="18"/>
      <c r="E809" s="18"/>
      <c r="F809" s="68"/>
      <c r="G809" s="18"/>
      <c r="H809" s="18"/>
      <c r="I809" s="18"/>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8"/>
      <c r="B810" s="18"/>
      <c r="C810" s="18"/>
      <c r="D810" s="18"/>
      <c r="E810" s="18"/>
      <c r="F810" s="68"/>
      <c r="G810" s="18"/>
      <c r="H810" s="18"/>
      <c r="I810" s="18"/>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8"/>
      <c r="B811" s="18"/>
      <c r="C811" s="18"/>
      <c r="D811" s="18"/>
      <c r="E811" s="18"/>
      <c r="F811" s="68"/>
      <c r="G811" s="18"/>
      <c r="H811" s="18"/>
      <c r="I811" s="18"/>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8"/>
      <c r="B812" s="18"/>
      <c r="C812" s="18"/>
      <c r="D812" s="18"/>
      <c r="E812" s="18"/>
      <c r="F812" s="68"/>
      <c r="G812" s="18"/>
      <c r="H812" s="18"/>
      <c r="I812" s="18"/>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8"/>
      <c r="B813" s="18"/>
      <c r="C813" s="18"/>
      <c r="D813" s="18"/>
      <c r="E813" s="18"/>
      <c r="F813" s="68"/>
      <c r="G813" s="18"/>
      <c r="H813" s="18"/>
      <c r="I813" s="18"/>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8"/>
      <c r="B814" s="18"/>
      <c r="C814" s="18"/>
      <c r="D814" s="18"/>
      <c r="E814" s="18"/>
      <c r="F814" s="68"/>
      <c r="G814" s="18"/>
      <c r="H814" s="18"/>
      <c r="I814" s="18"/>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8"/>
      <c r="B815" s="18"/>
      <c r="C815" s="18"/>
      <c r="D815" s="18"/>
      <c r="E815" s="18"/>
      <c r="F815" s="68"/>
      <c r="G815" s="18"/>
      <c r="H815" s="18"/>
      <c r="I815" s="18"/>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8"/>
      <c r="B816" s="18"/>
      <c r="C816" s="18"/>
      <c r="D816" s="18"/>
      <c r="E816" s="18"/>
      <c r="F816" s="68"/>
      <c r="G816" s="18"/>
      <c r="H816" s="18"/>
      <c r="I816" s="18"/>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8"/>
      <c r="B817" s="18"/>
      <c r="C817" s="18"/>
      <c r="D817" s="18"/>
      <c r="E817" s="18"/>
      <c r="F817" s="68"/>
      <c r="G817" s="18"/>
      <c r="H817" s="18"/>
      <c r="I817" s="18"/>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8"/>
      <c r="B818" s="18"/>
      <c r="C818" s="18"/>
      <c r="D818" s="18"/>
      <c r="E818" s="18"/>
      <c r="F818" s="68"/>
      <c r="G818" s="18"/>
      <c r="H818" s="18"/>
      <c r="I818" s="18"/>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8"/>
      <c r="B819" s="18"/>
      <c r="C819" s="18"/>
      <c r="D819" s="18"/>
      <c r="E819" s="18"/>
      <c r="F819" s="68"/>
      <c r="G819" s="18"/>
      <c r="H819" s="18"/>
      <c r="I819" s="18"/>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8"/>
      <c r="B820" s="18"/>
      <c r="C820" s="18"/>
      <c r="D820" s="18"/>
      <c r="E820" s="18"/>
      <c r="F820" s="68"/>
      <c r="G820" s="18"/>
      <c r="H820" s="18"/>
      <c r="I820" s="18"/>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8"/>
      <c r="B821" s="18"/>
      <c r="C821" s="18"/>
      <c r="D821" s="18"/>
      <c r="E821" s="18"/>
      <c r="F821" s="68"/>
      <c r="G821" s="18"/>
      <c r="H821" s="18"/>
      <c r="I821" s="18"/>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8"/>
      <c r="B822" s="18"/>
      <c r="C822" s="18"/>
      <c r="D822" s="18"/>
      <c r="E822" s="18"/>
      <c r="F822" s="68"/>
      <c r="G822" s="18"/>
      <c r="H822" s="18"/>
      <c r="I822" s="18"/>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8"/>
      <c r="B823" s="18"/>
      <c r="C823" s="18"/>
      <c r="D823" s="18"/>
      <c r="E823" s="18"/>
      <c r="F823" s="68"/>
      <c r="G823" s="18"/>
      <c r="H823" s="18"/>
      <c r="I823" s="18"/>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8"/>
      <c r="B824" s="18"/>
      <c r="C824" s="18"/>
      <c r="D824" s="18"/>
      <c r="E824" s="18"/>
      <c r="F824" s="68"/>
      <c r="G824" s="18"/>
      <c r="H824" s="18"/>
      <c r="I824" s="18"/>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8"/>
      <c r="B825" s="18"/>
      <c r="C825" s="18"/>
      <c r="D825" s="18"/>
      <c r="E825" s="18"/>
      <c r="F825" s="68"/>
      <c r="G825" s="18"/>
      <c r="H825" s="18"/>
      <c r="I825" s="18"/>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8"/>
      <c r="B826" s="18"/>
      <c r="C826" s="18"/>
      <c r="D826" s="18"/>
      <c r="E826" s="18"/>
      <c r="F826" s="68"/>
      <c r="G826" s="18"/>
      <c r="H826" s="18"/>
      <c r="I826" s="18"/>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8"/>
      <c r="B827" s="18"/>
      <c r="C827" s="18"/>
      <c r="D827" s="18"/>
      <c r="E827" s="18"/>
      <c r="F827" s="68"/>
      <c r="G827" s="18"/>
      <c r="H827" s="18"/>
      <c r="I827" s="18"/>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8"/>
      <c r="B828" s="18"/>
      <c r="C828" s="18"/>
      <c r="D828" s="18"/>
      <c r="E828" s="18"/>
      <c r="F828" s="68"/>
      <c r="G828" s="18"/>
      <c r="H828" s="18"/>
      <c r="I828" s="18"/>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8"/>
      <c r="B829" s="18"/>
      <c r="C829" s="18"/>
      <c r="D829" s="18"/>
      <c r="E829" s="18"/>
      <c r="F829" s="68"/>
      <c r="G829" s="18"/>
      <c r="H829" s="18"/>
      <c r="I829" s="18"/>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8"/>
      <c r="B830" s="18"/>
      <c r="C830" s="18"/>
      <c r="D830" s="18"/>
      <c r="E830" s="18"/>
      <c r="F830" s="68"/>
      <c r="G830" s="18"/>
      <c r="H830" s="18"/>
      <c r="I830" s="18"/>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8"/>
      <c r="B831" s="18"/>
      <c r="C831" s="18"/>
      <c r="D831" s="18"/>
      <c r="E831" s="18"/>
      <c r="F831" s="68"/>
      <c r="G831" s="18"/>
      <c r="H831" s="18"/>
      <c r="I831" s="18"/>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8"/>
      <c r="B832" s="18"/>
      <c r="C832" s="18"/>
      <c r="D832" s="18"/>
      <c r="E832" s="18"/>
      <c r="F832" s="68"/>
      <c r="G832" s="18"/>
      <c r="H832" s="18"/>
      <c r="I832" s="18"/>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8"/>
      <c r="B833" s="18"/>
      <c r="C833" s="18"/>
      <c r="D833" s="18"/>
      <c r="E833" s="18"/>
      <c r="F833" s="68"/>
      <c r="G833" s="18"/>
      <c r="H833" s="18"/>
      <c r="I833" s="18"/>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8"/>
      <c r="B834" s="18"/>
      <c r="C834" s="18"/>
      <c r="D834" s="18"/>
      <c r="E834" s="18"/>
      <c r="F834" s="68"/>
      <c r="G834" s="18"/>
      <c r="H834" s="18"/>
      <c r="I834" s="18"/>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8"/>
      <c r="B835" s="18"/>
      <c r="C835" s="18"/>
      <c r="D835" s="18"/>
      <c r="E835" s="18"/>
      <c r="F835" s="68"/>
      <c r="G835" s="18"/>
      <c r="H835" s="18"/>
      <c r="I835" s="18"/>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8"/>
      <c r="B836" s="18"/>
      <c r="C836" s="18"/>
      <c r="D836" s="18"/>
      <c r="E836" s="18"/>
      <c r="F836" s="68"/>
      <c r="G836" s="18"/>
      <c r="H836" s="18"/>
      <c r="I836" s="18"/>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8"/>
      <c r="B837" s="18"/>
      <c r="C837" s="18"/>
      <c r="D837" s="18"/>
      <c r="E837" s="18"/>
      <c r="F837" s="68"/>
      <c r="G837" s="18"/>
      <c r="H837" s="18"/>
      <c r="I837" s="18"/>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8"/>
      <c r="B838" s="18"/>
      <c r="C838" s="18"/>
      <c r="D838" s="18"/>
      <c r="E838" s="18"/>
      <c r="F838" s="68"/>
      <c r="G838" s="18"/>
      <c r="H838" s="18"/>
      <c r="I838" s="18"/>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8"/>
      <c r="B839" s="18"/>
      <c r="C839" s="18"/>
      <c r="D839" s="18"/>
      <c r="E839" s="18"/>
      <c r="F839" s="68"/>
      <c r="G839" s="18"/>
      <c r="H839" s="18"/>
      <c r="I839" s="18"/>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8"/>
      <c r="B840" s="18"/>
      <c r="C840" s="18"/>
      <c r="D840" s="18"/>
      <c r="E840" s="18"/>
      <c r="F840" s="68"/>
      <c r="G840" s="18"/>
      <c r="H840" s="18"/>
      <c r="I840" s="18"/>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8"/>
      <c r="B841" s="18"/>
      <c r="C841" s="18"/>
      <c r="D841" s="18"/>
      <c r="E841" s="18"/>
      <c r="F841" s="68"/>
      <c r="G841" s="18"/>
      <c r="H841" s="18"/>
      <c r="I841" s="18"/>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8"/>
      <c r="B842" s="18"/>
      <c r="C842" s="18"/>
      <c r="D842" s="18"/>
      <c r="E842" s="18"/>
      <c r="F842" s="68"/>
      <c r="G842" s="18"/>
      <c r="H842" s="18"/>
      <c r="I842" s="18"/>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8"/>
      <c r="B843" s="18"/>
      <c r="C843" s="18"/>
      <c r="D843" s="18"/>
      <c r="E843" s="18"/>
      <c r="F843" s="68"/>
      <c r="G843" s="18"/>
      <c r="H843" s="18"/>
      <c r="I843" s="18"/>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8"/>
      <c r="B844" s="18"/>
      <c r="C844" s="18"/>
      <c r="D844" s="18"/>
      <c r="E844" s="18"/>
      <c r="F844" s="68"/>
      <c r="G844" s="18"/>
      <c r="H844" s="18"/>
      <c r="I844" s="18"/>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8"/>
      <c r="B845" s="18"/>
      <c r="C845" s="18"/>
      <c r="D845" s="18"/>
      <c r="E845" s="18"/>
      <c r="F845" s="68"/>
      <c r="G845" s="18"/>
      <c r="H845" s="18"/>
      <c r="I845" s="18"/>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8"/>
      <c r="B846" s="18"/>
      <c r="C846" s="18"/>
      <c r="D846" s="18"/>
      <c r="E846" s="18"/>
      <c r="F846" s="68"/>
      <c r="G846" s="18"/>
      <c r="H846" s="18"/>
      <c r="I846" s="18"/>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8"/>
      <c r="B847" s="18"/>
      <c r="C847" s="18"/>
      <c r="D847" s="18"/>
      <c r="E847" s="18"/>
      <c r="F847" s="68"/>
      <c r="G847" s="18"/>
      <c r="H847" s="18"/>
      <c r="I847" s="18"/>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8"/>
      <c r="B848" s="18"/>
      <c r="C848" s="18"/>
      <c r="D848" s="18"/>
      <c r="E848" s="18"/>
      <c r="F848" s="68"/>
      <c r="G848" s="18"/>
      <c r="H848" s="18"/>
      <c r="I848" s="18"/>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8"/>
      <c r="B849" s="18"/>
      <c r="C849" s="18"/>
      <c r="D849" s="18"/>
      <c r="E849" s="18"/>
      <c r="F849" s="68"/>
      <c r="G849" s="18"/>
      <c r="H849" s="18"/>
      <c r="I849" s="18"/>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8"/>
      <c r="B850" s="18"/>
      <c r="C850" s="18"/>
      <c r="D850" s="18"/>
      <c r="E850" s="18"/>
      <c r="F850" s="68"/>
      <c r="G850" s="18"/>
      <c r="H850" s="18"/>
      <c r="I850" s="18"/>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8"/>
      <c r="B851" s="18"/>
      <c r="C851" s="18"/>
      <c r="D851" s="18"/>
      <c r="E851" s="18"/>
      <c r="F851" s="68"/>
      <c r="G851" s="18"/>
      <c r="H851" s="18"/>
      <c r="I851" s="18"/>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8"/>
      <c r="B852" s="18"/>
      <c r="C852" s="18"/>
      <c r="D852" s="18"/>
      <c r="E852" s="18"/>
      <c r="F852" s="68"/>
      <c r="G852" s="18"/>
      <c r="H852" s="18"/>
      <c r="I852" s="18"/>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8"/>
      <c r="B853" s="18"/>
      <c r="C853" s="18"/>
      <c r="D853" s="18"/>
      <c r="E853" s="18"/>
      <c r="F853" s="68"/>
      <c r="G853" s="18"/>
      <c r="H853" s="18"/>
      <c r="I853" s="18"/>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8"/>
      <c r="B854" s="18"/>
      <c r="C854" s="18"/>
      <c r="D854" s="18"/>
      <c r="E854" s="18"/>
      <c r="F854" s="68"/>
      <c r="G854" s="18"/>
      <c r="H854" s="18"/>
      <c r="I854" s="18"/>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8"/>
      <c r="B855" s="18"/>
      <c r="C855" s="18"/>
      <c r="D855" s="18"/>
      <c r="E855" s="18"/>
      <c r="F855" s="68"/>
      <c r="G855" s="18"/>
      <c r="H855" s="18"/>
      <c r="I855" s="18"/>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8"/>
      <c r="B856" s="18"/>
      <c r="C856" s="18"/>
      <c r="D856" s="18"/>
      <c r="E856" s="18"/>
      <c r="F856" s="68"/>
      <c r="G856" s="18"/>
      <c r="H856" s="18"/>
      <c r="I856" s="18"/>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8"/>
      <c r="B857" s="18"/>
      <c r="C857" s="18"/>
      <c r="D857" s="18"/>
      <c r="E857" s="18"/>
      <c r="F857" s="68"/>
      <c r="G857" s="18"/>
      <c r="H857" s="18"/>
      <c r="I857" s="18"/>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8"/>
      <c r="B858" s="18"/>
      <c r="C858" s="18"/>
      <c r="D858" s="18"/>
      <c r="E858" s="18"/>
      <c r="F858" s="68"/>
      <c r="G858" s="18"/>
      <c r="H858" s="18"/>
      <c r="I858" s="18"/>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8"/>
      <c r="B859" s="18"/>
      <c r="C859" s="18"/>
      <c r="D859" s="18"/>
      <c r="E859" s="18"/>
      <c r="F859" s="68"/>
      <c r="G859" s="18"/>
      <c r="H859" s="18"/>
      <c r="I859" s="18"/>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8"/>
      <c r="B860" s="18"/>
      <c r="C860" s="18"/>
      <c r="D860" s="18"/>
      <c r="E860" s="18"/>
      <c r="F860" s="68"/>
      <c r="G860" s="18"/>
      <c r="H860" s="18"/>
      <c r="I860" s="18"/>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8"/>
      <c r="B861" s="18"/>
      <c r="C861" s="18"/>
      <c r="D861" s="18"/>
      <c r="E861" s="18"/>
      <c r="F861" s="68"/>
      <c r="G861" s="18"/>
      <c r="H861" s="18"/>
      <c r="I861" s="18"/>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8"/>
      <c r="B862" s="18"/>
      <c r="C862" s="18"/>
      <c r="D862" s="18"/>
      <c r="E862" s="18"/>
      <c r="F862" s="68"/>
      <c r="G862" s="18"/>
      <c r="H862" s="18"/>
      <c r="I862" s="18"/>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8"/>
      <c r="B863" s="18"/>
      <c r="C863" s="18"/>
      <c r="D863" s="18"/>
      <c r="E863" s="18"/>
      <c r="F863" s="68"/>
      <c r="G863" s="18"/>
      <c r="H863" s="18"/>
      <c r="I863" s="18"/>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8"/>
      <c r="B864" s="18"/>
      <c r="C864" s="18"/>
      <c r="D864" s="18"/>
      <c r="E864" s="18"/>
      <c r="F864" s="68"/>
      <c r="G864" s="18"/>
      <c r="H864" s="18"/>
      <c r="I864" s="18"/>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8"/>
      <c r="B865" s="18"/>
      <c r="C865" s="18"/>
      <c r="D865" s="18"/>
      <c r="E865" s="18"/>
      <c r="F865" s="68"/>
      <c r="G865" s="18"/>
      <c r="H865" s="18"/>
      <c r="I865" s="18"/>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8"/>
      <c r="B866" s="18"/>
      <c r="C866" s="18"/>
      <c r="D866" s="18"/>
      <c r="E866" s="18"/>
      <c r="F866" s="68"/>
      <c r="G866" s="18"/>
      <c r="H866" s="18"/>
      <c r="I866" s="18"/>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8"/>
      <c r="B867" s="18"/>
      <c r="C867" s="18"/>
      <c r="D867" s="18"/>
      <c r="E867" s="18"/>
      <c r="F867" s="68"/>
      <c r="G867" s="18"/>
      <c r="H867" s="18"/>
      <c r="I867" s="18"/>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8"/>
      <c r="B868" s="18"/>
      <c r="C868" s="18"/>
      <c r="D868" s="18"/>
      <c r="E868" s="18"/>
      <c r="F868" s="68"/>
      <c r="G868" s="18"/>
      <c r="H868" s="18"/>
      <c r="I868" s="18"/>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8"/>
      <c r="B869" s="18"/>
      <c r="C869" s="18"/>
      <c r="D869" s="18"/>
      <c r="E869" s="18"/>
      <c r="F869" s="68"/>
      <c r="G869" s="18"/>
      <c r="H869" s="18"/>
      <c r="I869" s="18"/>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8"/>
      <c r="B870" s="18"/>
      <c r="C870" s="18"/>
      <c r="D870" s="18"/>
      <c r="E870" s="18"/>
      <c r="F870" s="68"/>
      <c r="G870" s="18"/>
      <c r="H870" s="18"/>
      <c r="I870" s="18"/>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8"/>
      <c r="B871" s="18"/>
      <c r="C871" s="18"/>
      <c r="D871" s="18"/>
      <c r="E871" s="18"/>
      <c r="F871" s="68"/>
      <c r="G871" s="18"/>
      <c r="H871" s="18"/>
      <c r="I871" s="18"/>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8"/>
      <c r="B872" s="18"/>
      <c r="C872" s="18"/>
      <c r="D872" s="18"/>
      <c r="E872" s="18"/>
      <c r="F872" s="68"/>
      <c r="G872" s="18"/>
      <c r="H872" s="18"/>
      <c r="I872" s="18"/>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8"/>
      <c r="B873" s="18"/>
      <c r="C873" s="18"/>
      <c r="D873" s="18"/>
      <c r="E873" s="18"/>
      <c r="F873" s="68"/>
      <c r="G873" s="18"/>
      <c r="H873" s="18"/>
      <c r="I873" s="18"/>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8"/>
      <c r="B874" s="18"/>
      <c r="C874" s="18"/>
      <c r="D874" s="18"/>
      <c r="E874" s="18"/>
      <c r="F874" s="68"/>
      <c r="G874" s="18"/>
      <c r="H874" s="18"/>
      <c r="I874" s="18"/>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8"/>
      <c r="B875" s="18"/>
      <c r="C875" s="18"/>
      <c r="D875" s="18"/>
      <c r="E875" s="18"/>
      <c r="F875" s="68"/>
      <c r="G875" s="18"/>
      <c r="H875" s="18"/>
      <c r="I875" s="18"/>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8"/>
      <c r="B876" s="18"/>
      <c r="C876" s="18"/>
      <c r="D876" s="18"/>
      <c r="E876" s="18"/>
      <c r="F876" s="68"/>
      <c r="G876" s="18"/>
      <c r="H876" s="18"/>
      <c r="I876" s="18"/>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8"/>
      <c r="B877" s="18"/>
      <c r="C877" s="18"/>
      <c r="D877" s="18"/>
      <c r="E877" s="18"/>
      <c r="F877" s="68"/>
      <c r="G877" s="18"/>
      <c r="H877" s="18"/>
      <c r="I877" s="18"/>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8"/>
      <c r="B878" s="18"/>
      <c r="C878" s="18"/>
      <c r="D878" s="18"/>
      <c r="E878" s="18"/>
      <c r="F878" s="68"/>
      <c r="G878" s="18"/>
      <c r="H878" s="18"/>
      <c r="I878" s="18"/>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8"/>
      <c r="B879" s="18"/>
      <c r="C879" s="18"/>
      <c r="D879" s="18"/>
      <c r="E879" s="18"/>
      <c r="F879" s="68"/>
      <c r="G879" s="18"/>
      <c r="H879" s="18"/>
      <c r="I879" s="18"/>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8"/>
      <c r="B880" s="18"/>
      <c r="C880" s="18"/>
      <c r="D880" s="18"/>
      <c r="E880" s="18"/>
      <c r="F880" s="68"/>
      <c r="G880" s="18"/>
      <c r="H880" s="18"/>
      <c r="I880" s="18"/>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8"/>
      <c r="B881" s="18"/>
      <c r="C881" s="18"/>
      <c r="D881" s="18"/>
      <c r="E881" s="18"/>
      <c r="F881" s="68"/>
      <c r="G881" s="18"/>
      <c r="H881" s="18"/>
      <c r="I881" s="18"/>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8"/>
      <c r="B882" s="18"/>
      <c r="C882" s="18"/>
      <c r="D882" s="18"/>
      <c r="E882" s="18"/>
      <c r="F882" s="68"/>
      <c r="G882" s="18"/>
      <c r="H882" s="18"/>
      <c r="I882" s="18"/>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8"/>
      <c r="B883" s="18"/>
      <c r="C883" s="18"/>
      <c r="D883" s="18"/>
      <c r="E883" s="18"/>
      <c r="F883" s="68"/>
      <c r="G883" s="18"/>
      <c r="H883" s="18"/>
      <c r="I883" s="18"/>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8"/>
      <c r="B884" s="18"/>
      <c r="C884" s="18"/>
      <c r="D884" s="18"/>
      <c r="E884" s="18"/>
      <c r="F884" s="68"/>
      <c r="G884" s="18"/>
      <c r="H884" s="18"/>
      <c r="I884" s="18"/>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8"/>
      <c r="B885" s="18"/>
      <c r="C885" s="18"/>
      <c r="D885" s="18"/>
      <c r="E885" s="18"/>
      <c r="F885" s="68"/>
      <c r="G885" s="18"/>
      <c r="H885" s="18"/>
      <c r="I885" s="18"/>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8"/>
      <c r="B886" s="18"/>
      <c r="C886" s="18"/>
      <c r="D886" s="18"/>
      <c r="E886" s="18"/>
      <c r="F886" s="68"/>
      <c r="G886" s="18"/>
      <c r="H886" s="18"/>
      <c r="I886" s="18"/>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8"/>
      <c r="B887" s="18"/>
      <c r="C887" s="18"/>
      <c r="D887" s="18"/>
      <c r="E887" s="18"/>
      <c r="F887" s="68"/>
      <c r="G887" s="18"/>
      <c r="H887" s="18"/>
      <c r="I887" s="18"/>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8"/>
      <c r="B888" s="18"/>
      <c r="C888" s="18"/>
      <c r="D888" s="18"/>
      <c r="E888" s="18"/>
      <c r="F888" s="68"/>
      <c r="G888" s="18"/>
      <c r="H888" s="18"/>
      <c r="I888" s="18"/>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8"/>
      <c r="B889" s="18"/>
      <c r="C889" s="18"/>
      <c r="D889" s="18"/>
      <c r="E889" s="18"/>
      <c r="F889" s="68"/>
      <c r="G889" s="18"/>
      <c r="H889" s="18"/>
      <c r="I889" s="18"/>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8"/>
      <c r="B890" s="18"/>
      <c r="C890" s="18"/>
      <c r="D890" s="18"/>
      <c r="E890" s="18"/>
      <c r="F890" s="68"/>
      <c r="G890" s="18"/>
      <c r="H890" s="18"/>
      <c r="I890" s="18"/>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8"/>
      <c r="B891" s="18"/>
      <c r="C891" s="18"/>
      <c r="D891" s="18"/>
      <c r="E891" s="18"/>
      <c r="F891" s="68"/>
      <c r="G891" s="18"/>
      <c r="H891" s="18"/>
      <c r="I891" s="18"/>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8"/>
      <c r="B892" s="18"/>
      <c r="C892" s="18"/>
      <c r="D892" s="18"/>
      <c r="E892" s="18"/>
      <c r="F892" s="68"/>
      <c r="G892" s="18"/>
      <c r="H892" s="18"/>
      <c r="I892" s="18"/>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8"/>
      <c r="B893" s="18"/>
      <c r="C893" s="18"/>
      <c r="D893" s="18"/>
      <c r="E893" s="18"/>
      <c r="F893" s="68"/>
      <c r="G893" s="18"/>
      <c r="H893" s="18"/>
      <c r="I893" s="18"/>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8"/>
      <c r="B894" s="18"/>
      <c r="C894" s="18"/>
      <c r="D894" s="18"/>
      <c r="E894" s="18"/>
      <c r="F894" s="68"/>
      <c r="G894" s="18"/>
      <c r="H894" s="18"/>
      <c r="I894" s="18"/>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8"/>
      <c r="B895" s="18"/>
      <c r="C895" s="18"/>
      <c r="D895" s="18"/>
      <c r="E895" s="18"/>
      <c r="F895" s="68"/>
      <c r="G895" s="18"/>
      <c r="H895" s="18"/>
      <c r="I895" s="18"/>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8"/>
      <c r="B896" s="18"/>
      <c r="C896" s="18"/>
      <c r="D896" s="18"/>
      <c r="E896" s="18"/>
      <c r="F896" s="68"/>
      <c r="G896" s="18"/>
      <c r="H896" s="18"/>
      <c r="I896" s="18"/>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8"/>
      <c r="B897" s="18"/>
      <c r="C897" s="18"/>
      <c r="D897" s="18"/>
      <c r="E897" s="18"/>
      <c r="F897" s="68"/>
      <c r="G897" s="18"/>
      <c r="H897" s="18"/>
      <c r="I897" s="18"/>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8"/>
      <c r="B898" s="18"/>
      <c r="C898" s="18"/>
      <c r="D898" s="18"/>
      <c r="E898" s="18"/>
      <c r="F898" s="68"/>
      <c r="G898" s="18"/>
      <c r="H898" s="18"/>
      <c r="I898" s="18"/>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8"/>
      <c r="B899" s="18"/>
      <c r="C899" s="18"/>
      <c r="D899" s="18"/>
      <c r="E899" s="18"/>
      <c r="F899" s="68"/>
      <c r="G899" s="18"/>
      <c r="H899" s="18"/>
      <c r="I899" s="18"/>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8"/>
      <c r="B900" s="18"/>
      <c r="C900" s="18"/>
      <c r="D900" s="18"/>
      <c r="E900" s="18"/>
      <c r="F900" s="68"/>
      <c r="G900" s="18"/>
      <c r="H900" s="18"/>
      <c r="I900" s="18"/>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8"/>
      <c r="B901" s="18"/>
      <c r="C901" s="18"/>
      <c r="D901" s="18"/>
      <c r="E901" s="18"/>
      <c r="F901" s="68"/>
      <c r="G901" s="18"/>
      <c r="H901" s="18"/>
      <c r="I901" s="18"/>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8"/>
      <c r="B902" s="18"/>
      <c r="C902" s="18"/>
      <c r="D902" s="18"/>
      <c r="E902" s="18"/>
      <c r="F902" s="68"/>
      <c r="G902" s="18"/>
      <c r="H902" s="18"/>
      <c r="I902" s="18"/>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8"/>
      <c r="B903" s="18"/>
      <c r="C903" s="18"/>
      <c r="D903" s="18"/>
      <c r="E903" s="18"/>
      <c r="F903" s="68"/>
      <c r="G903" s="18"/>
      <c r="H903" s="18"/>
      <c r="I903" s="18"/>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8"/>
      <c r="B904" s="18"/>
      <c r="C904" s="18"/>
      <c r="D904" s="18"/>
      <c r="E904" s="18"/>
      <c r="F904" s="68"/>
      <c r="G904" s="18"/>
      <c r="H904" s="18"/>
      <c r="I904" s="18"/>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8"/>
      <c r="B905" s="18"/>
      <c r="C905" s="18"/>
      <c r="D905" s="18"/>
      <c r="E905" s="18"/>
      <c r="F905" s="68"/>
      <c r="G905" s="18"/>
      <c r="H905" s="18"/>
      <c r="I905" s="18"/>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8"/>
      <c r="B906" s="18"/>
      <c r="C906" s="18"/>
      <c r="D906" s="18"/>
      <c r="E906" s="18"/>
      <c r="F906" s="68"/>
      <c r="G906" s="18"/>
      <c r="H906" s="18"/>
      <c r="I906" s="18"/>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8"/>
      <c r="B907" s="18"/>
      <c r="C907" s="18"/>
      <c r="D907" s="18"/>
      <c r="E907" s="18"/>
      <c r="F907" s="68"/>
      <c r="G907" s="18"/>
      <c r="H907" s="18"/>
      <c r="I907" s="18"/>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8"/>
      <c r="B908" s="18"/>
      <c r="C908" s="18"/>
      <c r="D908" s="18"/>
      <c r="E908" s="18"/>
      <c r="F908" s="68"/>
      <c r="G908" s="18"/>
      <c r="H908" s="18"/>
      <c r="I908" s="18"/>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8"/>
      <c r="B909" s="18"/>
      <c r="C909" s="18"/>
      <c r="D909" s="18"/>
      <c r="E909" s="18"/>
      <c r="F909" s="68"/>
      <c r="G909" s="18"/>
      <c r="H909" s="18"/>
      <c r="I909" s="18"/>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8"/>
      <c r="B910" s="18"/>
      <c r="C910" s="18"/>
      <c r="D910" s="18"/>
      <c r="E910" s="18"/>
      <c r="F910" s="68"/>
      <c r="G910" s="18"/>
      <c r="H910" s="18"/>
      <c r="I910" s="18"/>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8"/>
      <c r="B911" s="18"/>
      <c r="C911" s="18"/>
      <c r="D911" s="18"/>
      <c r="E911" s="18"/>
      <c r="F911" s="68"/>
      <c r="G911" s="18"/>
      <c r="H911" s="18"/>
      <c r="I911" s="18"/>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8"/>
      <c r="B912" s="18"/>
      <c r="C912" s="18"/>
      <c r="D912" s="18"/>
      <c r="E912" s="18"/>
      <c r="F912" s="68"/>
      <c r="G912" s="18"/>
      <c r="H912" s="18"/>
      <c r="I912" s="18"/>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8"/>
      <c r="B913" s="18"/>
      <c r="C913" s="18"/>
      <c r="D913" s="18"/>
      <c r="E913" s="18"/>
      <c r="F913" s="68"/>
      <c r="G913" s="18"/>
      <c r="H913" s="18"/>
      <c r="I913" s="18"/>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8"/>
      <c r="B914" s="18"/>
      <c r="C914" s="18"/>
      <c r="D914" s="18"/>
      <c r="E914" s="18"/>
      <c r="F914" s="68"/>
      <c r="G914" s="18"/>
      <c r="H914" s="18"/>
      <c r="I914" s="18"/>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8"/>
      <c r="B915" s="18"/>
      <c r="C915" s="18"/>
      <c r="D915" s="18"/>
      <c r="E915" s="18"/>
      <c r="F915" s="68"/>
      <c r="G915" s="18"/>
      <c r="H915" s="18"/>
      <c r="I915" s="18"/>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8"/>
      <c r="B916" s="18"/>
      <c r="C916" s="18"/>
      <c r="D916" s="18"/>
      <c r="E916" s="18"/>
      <c r="F916" s="68"/>
      <c r="G916" s="18"/>
      <c r="H916" s="18"/>
      <c r="I916" s="18"/>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8"/>
      <c r="B917" s="18"/>
      <c r="C917" s="18"/>
      <c r="D917" s="18"/>
      <c r="E917" s="18"/>
      <c r="F917" s="68"/>
      <c r="G917" s="18"/>
      <c r="H917" s="18"/>
      <c r="I917" s="18"/>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8"/>
      <c r="B918" s="18"/>
      <c r="C918" s="18"/>
      <c r="D918" s="18"/>
      <c r="E918" s="18"/>
      <c r="F918" s="68"/>
      <c r="G918" s="18"/>
      <c r="H918" s="18"/>
      <c r="I918" s="18"/>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8"/>
      <c r="B919" s="18"/>
      <c r="C919" s="18"/>
      <c r="D919" s="18"/>
      <c r="E919" s="18"/>
      <c r="F919" s="68"/>
      <c r="G919" s="18"/>
      <c r="H919" s="18"/>
      <c r="I919" s="18"/>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8"/>
      <c r="B920" s="18"/>
      <c r="C920" s="18"/>
      <c r="D920" s="18"/>
      <c r="E920" s="18"/>
      <c r="F920" s="68"/>
      <c r="G920" s="18"/>
      <c r="H920" s="18"/>
      <c r="I920" s="18"/>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8"/>
      <c r="B921" s="18"/>
      <c r="C921" s="18"/>
      <c r="D921" s="18"/>
      <c r="E921" s="18"/>
      <c r="F921" s="68"/>
      <c r="G921" s="18"/>
      <c r="H921" s="18"/>
      <c r="I921" s="18"/>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8"/>
      <c r="B922" s="18"/>
      <c r="C922" s="18"/>
      <c r="D922" s="18"/>
      <c r="E922" s="18"/>
      <c r="F922" s="68"/>
      <c r="G922" s="18"/>
      <c r="H922" s="18"/>
      <c r="I922" s="18"/>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8"/>
      <c r="B923" s="18"/>
      <c r="C923" s="18"/>
      <c r="D923" s="18"/>
      <c r="E923" s="18"/>
      <c r="F923" s="68"/>
      <c r="G923" s="18"/>
      <c r="H923" s="18"/>
      <c r="I923" s="18"/>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8"/>
      <c r="B924" s="18"/>
      <c r="C924" s="18"/>
      <c r="D924" s="18"/>
      <c r="E924" s="18"/>
      <c r="F924" s="68"/>
      <c r="G924" s="18"/>
      <c r="H924" s="18"/>
      <c r="I924" s="18"/>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8"/>
      <c r="B925" s="18"/>
      <c r="C925" s="18"/>
      <c r="D925" s="18"/>
      <c r="E925" s="18"/>
      <c r="F925" s="68"/>
      <c r="G925" s="18"/>
      <c r="H925" s="18"/>
      <c r="I925" s="18"/>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8"/>
      <c r="B926" s="18"/>
      <c r="C926" s="18"/>
      <c r="D926" s="18"/>
      <c r="E926" s="18"/>
      <c r="F926" s="68"/>
      <c r="G926" s="18"/>
      <c r="H926" s="18"/>
      <c r="I926" s="18"/>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8"/>
      <c r="B927" s="18"/>
      <c r="C927" s="18"/>
      <c r="D927" s="18"/>
      <c r="E927" s="18"/>
      <c r="F927" s="68"/>
      <c r="G927" s="18"/>
      <c r="H927" s="18"/>
      <c r="I927" s="18"/>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8"/>
      <c r="B928" s="18"/>
      <c r="C928" s="18"/>
      <c r="D928" s="18"/>
      <c r="E928" s="18"/>
      <c r="F928" s="68"/>
      <c r="G928" s="18"/>
      <c r="H928" s="18"/>
      <c r="I928" s="18"/>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8"/>
      <c r="B929" s="18"/>
      <c r="C929" s="18"/>
      <c r="D929" s="18"/>
      <c r="E929" s="18"/>
      <c r="F929" s="68"/>
      <c r="G929" s="18"/>
      <c r="H929" s="18"/>
      <c r="I929" s="18"/>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8"/>
      <c r="B930" s="18"/>
      <c r="C930" s="18"/>
      <c r="D930" s="18"/>
      <c r="E930" s="18"/>
      <c r="F930" s="68"/>
      <c r="G930" s="18"/>
      <c r="H930" s="18"/>
      <c r="I930" s="18"/>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8"/>
      <c r="B931" s="18"/>
      <c r="C931" s="18"/>
      <c r="D931" s="18"/>
      <c r="E931" s="18"/>
      <c r="F931" s="68"/>
      <c r="G931" s="18"/>
      <c r="H931" s="18"/>
      <c r="I931" s="18"/>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8"/>
      <c r="B932" s="18"/>
      <c r="C932" s="18"/>
      <c r="D932" s="18"/>
      <c r="E932" s="18"/>
      <c r="F932" s="68"/>
      <c r="G932" s="18"/>
      <c r="H932" s="18"/>
      <c r="I932" s="18"/>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8"/>
      <c r="B933" s="18"/>
      <c r="C933" s="18"/>
      <c r="D933" s="18"/>
      <c r="E933" s="18"/>
      <c r="F933" s="68"/>
      <c r="G933" s="18"/>
      <c r="H933" s="18"/>
      <c r="I933" s="18"/>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8"/>
      <c r="B934" s="18"/>
      <c r="C934" s="18"/>
      <c r="D934" s="18"/>
      <c r="E934" s="18"/>
      <c r="F934" s="68"/>
      <c r="G934" s="18"/>
      <c r="H934" s="18"/>
      <c r="I934" s="18"/>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8"/>
      <c r="B935" s="18"/>
      <c r="C935" s="18"/>
      <c r="D935" s="18"/>
      <c r="E935" s="18"/>
      <c r="F935" s="68"/>
      <c r="G935" s="18"/>
      <c r="H935" s="18"/>
      <c r="I935" s="18"/>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8"/>
      <c r="B936" s="18"/>
      <c r="C936" s="18"/>
      <c r="D936" s="18"/>
      <c r="E936" s="18"/>
      <c r="F936" s="68"/>
      <c r="G936" s="18"/>
      <c r="H936" s="18"/>
      <c r="I936" s="18"/>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8"/>
      <c r="B937" s="18"/>
      <c r="C937" s="18"/>
      <c r="D937" s="18"/>
      <c r="E937" s="18"/>
      <c r="F937" s="68"/>
      <c r="G937" s="18"/>
      <c r="H937" s="18"/>
      <c r="I937" s="18"/>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8"/>
      <c r="B938" s="18"/>
      <c r="C938" s="18"/>
      <c r="D938" s="18"/>
      <c r="E938" s="18"/>
      <c r="F938" s="68"/>
      <c r="G938" s="18"/>
      <c r="H938" s="18"/>
      <c r="I938" s="18"/>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8"/>
      <c r="B939" s="18"/>
      <c r="C939" s="18"/>
      <c r="D939" s="18"/>
      <c r="E939" s="18"/>
      <c r="F939" s="68"/>
      <c r="G939" s="18"/>
      <c r="H939" s="18"/>
      <c r="I939" s="18"/>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8"/>
      <c r="B940" s="18"/>
      <c r="C940" s="18"/>
      <c r="D940" s="18"/>
      <c r="E940" s="18"/>
      <c r="F940" s="68"/>
      <c r="G940" s="18"/>
      <c r="H940" s="18"/>
      <c r="I940" s="18"/>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8"/>
      <c r="B941" s="18"/>
      <c r="C941" s="18"/>
      <c r="D941" s="18"/>
      <c r="E941" s="18"/>
      <c r="F941" s="68"/>
      <c r="G941" s="18"/>
      <c r="H941" s="18"/>
      <c r="I941" s="18"/>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8"/>
      <c r="B942" s="18"/>
      <c r="C942" s="18"/>
      <c r="D942" s="18"/>
      <c r="E942" s="18"/>
      <c r="F942" s="68"/>
      <c r="G942" s="18"/>
      <c r="H942" s="18"/>
      <c r="I942" s="18"/>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8"/>
      <c r="B943" s="18"/>
      <c r="C943" s="18"/>
      <c r="D943" s="18"/>
      <c r="E943" s="18"/>
      <c r="F943" s="68"/>
      <c r="G943" s="18"/>
      <c r="H943" s="18"/>
      <c r="I943" s="18"/>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8"/>
      <c r="B944" s="18"/>
      <c r="C944" s="18"/>
      <c r="D944" s="18"/>
      <c r="E944" s="18"/>
      <c r="F944" s="68"/>
      <c r="G944" s="18"/>
      <c r="H944" s="18"/>
      <c r="I944" s="18"/>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8"/>
      <c r="B945" s="18"/>
      <c r="C945" s="18"/>
      <c r="D945" s="18"/>
      <c r="E945" s="18"/>
      <c r="F945" s="68"/>
      <c r="G945" s="18"/>
      <c r="H945" s="18"/>
      <c r="I945" s="18"/>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8"/>
      <c r="B946" s="18"/>
      <c r="C946" s="18"/>
      <c r="D946" s="18"/>
      <c r="E946" s="18"/>
      <c r="F946" s="68"/>
      <c r="G946" s="18"/>
      <c r="H946" s="18"/>
      <c r="I946" s="18"/>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8"/>
      <c r="B947" s="18"/>
      <c r="C947" s="18"/>
      <c r="D947" s="18"/>
      <c r="E947" s="18"/>
      <c r="F947" s="68"/>
      <c r="G947" s="18"/>
      <c r="H947" s="18"/>
      <c r="I947" s="18"/>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8"/>
      <c r="B948" s="18"/>
      <c r="C948" s="18"/>
      <c r="D948" s="18"/>
      <c r="E948" s="18"/>
      <c r="F948" s="68"/>
      <c r="G948" s="18"/>
      <c r="H948" s="18"/>
      <c r="I948" s="18"/>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8"/>
      <c r="B949" s="18"/>
      <c r="C949" s="18"/>
      <c r="D949" s="18"/>
      <c r="E949" s="18"/>
      <c r="F949" s="68"/>
      <c r="G949" s="18"/>
      <c r="H949" s="18"/>
      <c r="I949" s="18"/>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8"/>
      <c r="B950" s="18"/>
      <c r="C950" s="18"/>
      <c r="D950" s="18"/>
      <c r="E950" s="18"/>
      <c r="F950" s="68"/>
      <c r="G950" s="18"/>
      <c r="H950" s="18"/>
      <c r="I950" s="18"/>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8"/>
      <c r="B951" s="18"/>
      <c r="C951" s="18"/>
      <c r="D951" s="18"/>
      <c r="E951" s="18"/>
      <c r="F951" s="68"/>
      <c r="G951" s="18"/>
      <c r="H951" s="18"/>
      <c r="I951" s="18"/>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8"/>
      <c r="B952" s="18"/>
      <c r="C952" s="18"/>
      <c r="D952" s="18"/>
      <c r="E952" s="18"/>
      <c r="F952" s="68"/>
      <c r="G952" s="18"/>
      <c r="H952" s="18"/>
      <c r="I952" s="18"/>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8"/>
      <c r="B953" s="18"/>
      <c r="C953" s="18"/>
      <c r="D953" s="18"/>
      <c r="E953" s="18"/>
      <c r="F953" s="68"/>
      <c r="G953" s="18"/>
      <c r="H953" s="18"/>
      <c r="I953" s="18"/>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8"/>
      <c r="B954" s="18"/>
      <c r="C954" s="18"/>
      <c r="D954" s="18"/>
      <c r="E954" s="18"/>
      <c r="F954" s="68"/>
      <c r="G954" s="18"/>
      <c r="H954" s="18"/>
      <c r="I954" s="18"/>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8"/>
      <c r="B955" s="18"/>
      <c r="C955" s="18"/>
      <c r="D955" s="18"/>
      <c r="E955" s="18"/>
      <c r="F955" s="68"/>
      <c r="G955" s="18"/>
      <c r="H955" s="18"/>
      <c r="I955" s="18"/>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8"/>
      <c r="B956" s="18"/>
      <c r="C956" s="18"/>
      <c r="D956" s="18"/>
      <c r="E956" s="18"/>
      <c r="F956" s="68"/>
      <c r="G956" s="18"/>
      <c r="H956" s="18"/>
      <c r="I956" s="18"/>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8"/>
      <c r="B957" s="18"/>
      <c r="C957" s="18"/>
      <c r="D957" s="18"/>
      <c r="E957" s="18"/>
      <c r="F957" s="68"/>
      <c r="G957" s="18"/>
      <c r="H957" s="18"/>
      <c r="I957" s="18"/>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8"/>
      <c r="B958" s="18"/>
      <c r="C958" s="18"/>
      <c r="D958" s="18"/>
      <c r="E958" s="18"/>
      <c r="F958" s="68"/>
      <c r="G958" s="18"/>
      <c r="H958" s="18"/>
      <c r="I958" s="18"/>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8"/>
      <c r="B959" s="18"/>
      <c r="C959" s="18"/>
      <c r="D959" s="18"/>
      <c r="E959" s="18"/>
      <c r="F959" s="68"/>
      <c r="G959" s="18"/>
      <c r="H959" s="18"/>
      <c r="I959" s="18"/>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8"/>
      <c r="B960" s="18"/>
      <c r="C960" s="18"/>
      <c r="D960" s="18"/>
      <c r="E960" s="18"/>
      <c r="F960" s="68"/>
      <c r="G960" s="18"/>
      <c r="H960" s="18"/>
      <c r="I960" s="18"/>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8"/>
      <c r="B961" s="18"/>
      <c r="C961" s="18"/>
      <c r="D961" s="18"/>
      <c r="E961" s="18"/>
      <c r="F961" s="68"/>
      <c r="G961" s="18"/>
      <c r="H961" s="18"/>
      <c r="I961" s="18"/>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8"/>
      <c r="B962" s="18"/>
      <c r="C962" s="18"/>
      <c r="D962" s="18"/>
      <c r="E962" s="18"/>
      <c r="F962" s="68"/>
      <c r="G962" s="18"/>
      <c r="H962" s="18"/>
      <c r="I962" s="18"/>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8"/>
      <c r="B963" s="18"/>
      <c r="C963" s="18"/>
      <c r="D963" s="18"/>
      <c r="E963" s="18"/>
      <c r="F963" s="68"/>
      <c r="G963" s="18"/>
      <c r="H963" s="18"/>
      <c r="I963" s="18"/>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8"/>
      <c r="B964" s="18"/>
      <c r="C964" s="18"/>
      <c r="D964" s="18"/>
      <c r="E964" s="18"/>
      <c r="F964" s="68"/>
      <c r="G964" s="18"/>
      <c r="H964" s="18"/>
      <c r="I964" s="18"/>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8"/>
      <c r="B965" s="18"/>
      <c r="C965" s="18"/>
      <c r="D965" s="18"/>
      <c r="E965" s="18"/>
      <c r="F965" s="68"/>
      <c r="G965" s="18"/>
      <c r="H965" s="18"/>
      <c r="I965" s="18"/>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8"/>
      <c r="B966" s="18"/>
      <c r="C966" s="18"/>
      <c r="D966" s="18"/>
      <c r="E966" s="18"/>
      <c r="F966" s="68"/>
      <c r="G966" s="18"/>
      <c r="H966" s="18"/>
      <c r="I966" s="18"/>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8"/>
      <c r="B967" s="18"/>
      <c r="C967" s="18"/>
      <c r="D967" s="18"/>
      <c r="E967" s="18"/>
      <c r="F967" s="68"/>
      <c r="G967" s="18"/>
      <c r="H967" s="18"/>
      <c r="I967" s="18"/>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8"/>
      <c r="B968" s="18"/>
      <c r="C968" s="18"/>
      <c r="D968" s="18"/>
      <c r="E968" s="18"/>
      <c r="F968" s="68"/>
      <c r="G968" s="18"/>
      <c r="H968" s="18"/>
      <c r="I968" s="18"/>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8"/>
      <c r="B969" s="18"/>
      <c r="C969" s="18"/>
      <c r="D969" s="18"/>
      <c r="E969" s="18"/>
      <c r="F969" s="68"/>
      <c r="G969" s="18"/>
      <c r="H969" s="18"/>
      <c r="I969" s="18"/>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8"/>
      <c r="B970" s="18"/>
      <c r="C970" s="18"/>
      <c r="D970" s="18"/>
      <c r="E970" s="18"/>
      <c r="F970" s="68"/>
      <c r="G970" s="18"/>
      <c r="H970" s="18"/>
      <c r="I970" s="18"/>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8"/>
      <c r="B971" s="18"/>
      <c r="C971" s="18"/>
      <c r="D971" s="18"/>
      <c r="E971" s="18"/>
      <c r="F971" s="68"/>
      <c r="G971" s="18"/>
      <c r="H971" s="18"/>
      <c r="I971" s="18"/>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8"/>
      <c r="B972" s="18"/>
      <c r="C972" s="18"/>
      <c r="D972" s="18"/>
      <c r="E972" s="18"/>
      <c r="F972" s="68"/>
      <c r="G972" s="18"/>
      <c r="H972" s="18"/>
      <c r="I972" s="18"/>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8"/>
      <c r="B973" s="18"/>
      <c r="C973" s="18"/>
      <c r="D973" s="18"/>
      <c r="E973" s="18"/>
      <c r="F973" s="68"/>
      <c r="G973" s="18"/>
      <c r="H973" s="18"/>
      <c r="I973" s="18"/>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8"/>
      <c r="B974" s="18"/>
      <c r="C974" s="18"/>
      <c r="D974" s="18"/>
      <c r="E974" s="18"/>
      <c r="F974" s="68"/>
      <c r="G974" s="18"/>
      <c r="H974" s="18"/>
      <c r="I974" s="18"/>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8"/>
      <c r="B975" s="18"/>
      <c r="C975" s="18"/>
      <c r="D975" s="18"/>
      <c r="E975" s="18"/>
      <c r="F975" s="68"/>
      <c r="G975" s="18"/>
      <c r="H975" s="18"/>
      <c r="I975" s="18"/>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8"/>
      <c r="B976" s="18"/>
      <c r="C976" s="18"/>
      <c r="D976" s="18"/>
      <c r="E976" s="18"/>
      <c r="F976" s="68"/>
      <c r="G976" s="18"/>
      <c r="H976" s="18"/>
      <c r="I976" s="18"/>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8"/>
      <c r="B977" s="18"/>
      <c r="C977" s="18"/>
      <c r="D977" s="18"/>
      <c r="E977" s="18"/>
      <c r="F977" s="68"/>
      <c r="G977" s="18"/>
      <c r="H977" s="18"/>
      <c r="I977" s="18"/>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8"/>
      <c r="B978" s="18"/>
      <c r="C978" s="18"/>
      <c r="D978" s="18"/>
      <c r="E978" s="18"/>
      <c r="F978" s="68"/>
      <c r="G978" s="18"/>
      <c r="H978" s="18"/>
      <c r="I978" s="18"/>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8"/>
      <c r="B979" s="18"/>
      <c r="C979" s="18"/>
      <c r="D979" s="18"/>
      <c r="E979" s="18"/>
      <c r="F979" s="68"/>
      <c r="G979" s="18"/>
      <c r="H979" s="18"/>
      <c r="I979" s="18"/>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8"/>
      <c r="B980" s="18"/>
      <c r="C980" s="18"/>
      <c r="D980" s="18"/>
      <c r="E980" s="18"/>
      <c r="F980" s="68"/>
      <c r="G980" s="18"/>
      <c r="H980" s="18"/>
      <c r="I980" s="18"/>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8"/>
      <c r="B981" s="18"/>
      <c r="C981" s="18"/>
      <c r="D981" s="18"/>
      <c r="E981" s="18"/>
      <c r="F981" s="68"/>
      <c r="G981" s="18"/>
      <c r="H981" s="18"/>
      <c r="I981" s="18"/>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8"/>
      <c r="B982" s="18"/>
      <c r="C982" s="18"/>
      <c r="D982" s="18"/>
      <c r="E982" s="18"/>
      <c r="F982" s="68"/>
      <c r="G982" s="18"/>
      <c r="H982" s="18"/>
      <c r="I982" s="18"/>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8"/>
      <c r="B983" s="18"/>
      <c r="C983" s="18"/>
      <c r="D983" s="18"/>
      <c r="E983" s="18"/>
      <c r="F983" s="68"/>
      <c r="G983" s="18"/>
      <c r="H983" s="18"/>
      <c r="I983" s="18"/>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8"/>
      <c r="B984" s="18"/>
      <c r="C984" s="18"/>
      <c r="D984" s="18"/>
      <c r="E984" s="18"/>
      <c r="F984" s="68"/>
      <c r="G984" s="18"/>
      <c r="H984" s="18"/>
      <c r="I984" s="18"/>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8"/>
      <c r="B985" s="18"/>
      <c r="C985" s="18"/>
      <c r="D985" s="18"/>
      <c r="E985" s="18"/>
      <c r="F985" s="68"/>
      <c r="G985" s="18"/>
      <c r="H985" s="18"/>
      <c r="I985" s="18"/>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8"/>
      <c r="B986" s="18"/>
      <c r="C986" s="18"/>
      <c r="D986" s="18"/>
      <c r="E986" s="18"/>
      <c r="F986" s="68"/>
      <c r="G986" s="18"/>
      <c r="H986" s="18"/>
      <c r="I986" s="18"/>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8"/>
      <c r="B987" s="18"/>
      <c r="C987" s="18"/>
      <c r="D987" s="18"/>
      <c r="E987" s="18"/>
      <c r="F987" s="68"/>
      <c r="G987" s="18"/>
      <c r="H987" s="18"/>
      <c r="I987" s="18"/>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8"/>
      <c r="B988" s="18"/>
      <c r="C988" s="18"/>
      <c r="D988" s="18"/>
      <c r="E988" s="18"/>
      <c r="F988" s="68"/>
      <c r="G988" s="18"/>
      <c r="H988" s="18"/>
      <c r="I988" s="18"/>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8"/>
      <c r="B989" s="18"/>
      <c r="C989" s="18"/>
      <c r="D989" s="18"/>
      <c r="E989" s="18"/>
      <c r="F989" s="68"/>
      <c r="G989" s="18"/>
      <c r="H989" s="18"/>
      <c r="I989" s="18"/>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8"/>
      <c r="B990" s="18"/>
      <c r="C990" s="18"/>
      <c r="D990" s="18"/>
      <c r="E990" s="18"/>
      <c r="F990" s="68"/>
      <c r="G990" s="18"/>
      <c r="H990" s="18"/>
      <c r="I990" s="18"/>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8"/>
      <c r="B991" s="18"/>
      <c r="C991" s="18"/>
      <c r="D991" s="18"/>
      <c r="E991" s="18"/>
      <c r="F991" s="68"/>
      <c r="G991" s="18"/>
      <c r="H991" s="18"/>
      <c r="I991" s="18"/>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8"/>
      <c r="B992" s="18"/>
      <c r="C992" s="18"/>
      <c r="D992" s="18"/>
      <c r="E992" s="18"/>
      <c r="F992" s="68"/>
      <c r="G992" s="18"/>
      <c r="H992" s="18"/>
      <c r="I992" s="18"/>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8"/>
      <c r="B993" s="18"/>
      <c r="C993" s="18"/>
      <c r="D993" s="18"/>
      <c r="E993" s="18"/>
      <c r="F993" s="68"/>
      <c r="G993" s="18"/>
      <c r="H993" s="18"/>
      <c r="I993" s="18"/>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8"/>
      <c r="B994" s="18"/>
      <c r="C994" s="18"/>
      <c r="D994" s="18"/>
      <c r="E994" s="18"/>
      <c r="F994" s="68"/>
      <c r="G994" s="18"/>
      <c r="H994" s="18"/>
      <c r="I994" s="18"/>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8"/>
      <c r="B995" s="18"/>
      <c r="C995" s="18"/>
      <c r="D995" s="18"/>
      <c r="E995" s="18"/>
      <c r="F995" s="68"/>
      <c r="G995" s="18"/>
      <c r="H995" s="18"/>
      <c r="I995" s="18"/>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8"/>
      <c r="B996" s="18"/>
      <c r="C996" s="18"/>
      <c r="D996" s="18"/>
      <c r="E996" s="18"/>
      <c r="F996" s="68"/>
      <c r="G996" s="18"/>
      <c r="H996" s="18"/>
      <c r="I996" s="18"/>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8"/>
      <c r="B997" s="18"/>
      <c r="C997" s="18"/>
      <c r="D997" s="18"/>
      <c r="E997" s="18"/>
      <c r="F997" s="68"/>
      <c r="G997" s="18"/>
      <c r="H997" s="18"/>
      <c r="I997" s="18"/>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8"/>
      <c r="B998" s="18"/>
      <c r="C998" s="18"/>
      <c r="D998" s="18"/>
      <c r="E998" s="18"/>
      <c r="F998" s="68"/>
      <c r="G998" s="18"/>
      <c r="H998" s="18"/>
      <c r="I998" s="18"/>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8"/>
      <c r="B999" s="18"/>
      <c r="C999" s="18"/>
      <c r="D999" s="18"/>
      <c r="E999" s="18"/>
      <c r="F999" s="68"/>
      <c r="G999" s="18"/>
      <c r="H999" s="18"/>
      <c r="I999" s="18"/>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8"/>
      <c r="B1000" s="18"/>
      <c r="C1000" s="18"/>
      <c r="D1000" s="18"/>
      <c r="E1000" s="18"/>
      <c r="F1000" s="68"/>
      <c r="G1000" s="18"/>
      <c r="H1000" s="18"/>
      <c r="I1000" s="18"/>
      <c r="J1000" s="1"/>
      <c r="K1000" s="1"/>
      <c r="L1000" s="1"/>
      <c r="M1000" s="1"/>
      <c r="N1000" s="1"/>
      <c r="O1000" s="1"/>
      <c r="P1000" s="1"/>
      <c r="Q1000" s="1"/>
      <c r="R1000" s="1"/>
      <c r="S1000" s="1"/>
      <c r="T1000" s="1"/>
      <c r="U1000" s="1"/>
      <c r="V1000" s="1"/>
      <c r="W1000" s="1"/>
      <c r="X1000" s="1"/>
      <c r="Y1000" s="1"/>
      <c r="Z1000" s="1"/>
    </row>
  </sheetData>
  <autoFilter ref="A2:D183"/>
  <mergeCells count="68">
    <mergeCell ref="G3:G5"/>
    <mergeCell ref="H3:H13"/>
    <mergeCell ref="I3:I53"/>
    <mergeCell ref="G6:G8"/>
    <mergeCell ref="G12:G13"/>
    <mergeCell ref="H14:H24"/>
    <mergeCell ref="G17:G19"/>
    <mergeCell ref="G20:G24"/>
    <mergeCell ref="H25:H36"/>
    <mergeCell ref="G26:G27"/>
    <mergeCell ref="G28:G34"/>
    <mergeCell ref="G35:G36"/>
    <mergeCell ref="G37:G38"/>
    <mergeCell ref="H37:H44"/>
    <mergeCell ref="G41:G42"/>
    <mergeCell ref="H45:H48"/>
    <mergeCell ref="G47:G48"/>
    <mergeCell ref="H49:H53"/>
    <mergeCell ref="G54:G55"/>
    <mergeCell ref="H54:H63"/>
    <mergeCell ref="I54:I119"/>
    <mergeCell ref="G57:G58"/>
    <mergeCell ref="G62:G63"/>
    <mergeCell ref="H64:H68"/>
    <mergeCell ref="G69:G71"/>
    <mergeCell ref="H69:H84"/>
    <mergeCell ref="G72:G74"/>
    <mergeCell ref="G77:G79"/>
    <mergeCell ref="G80:G81"/>
    <mergeCell ref="G83:G84"/>
    <mergeCell ref="H85:H105"/>
    <mergeCell ref="G86:G87"/>
    <mergeCell ref="G88:G89"/>
    <mergeCell ref="G91:G92"/>
    <mergeCell ref="G96:G99"/>
    <mergeCell ref="G100:G101"/>
    <mergeCell ref="G102:G103"/>
    <mergeCell ref="G104:G105"/>
    <mergeCell ref="G106:G107"/>
    <mergeCell ref="H106:H109"/>
    <mergeCell ref="G108:G109"/>
    <mergeCell ref="H110:H119"/>
    <mergeCell ref="G113:G118"/>
    <mergeCell ref="H120:H130"/>
    <mergeCell ref="I120:I149"/>
    <mergeCell ref="G121:G123"/>
    <mergeCell ref="G125:G127"/>
    <mergeCell ref="G128:G130"/>
    <mergeCell ref="H131:H140"/>
    <mergeCell ref="G132:G133"/>
    <mergeCell ref="G137:G138"/>
    <mergeCell ref="H141:H149"/>
    <mergeCell ref="G144:G148"/>
    <mergeCell ref="I150:I175"/>
    <mergeCell ref="G151:G154"/>
    <mergeCell ref="H151:H162"/>
    <mergeCell ref="G155:G157"/>
    <mergeCell ref="G159:G161"/>
    <mergeCell ref="G163:G165"/>
    <mergeCell ref="H163:H170"/>
    <mergeCell ref="G166:G167"/>
    <mergeCell ref="H171:H173"/>
    <mergeCell ref="H174:H175"/>
    <mergeCell ref="G176:G178"/>
    <mergeCell ref="H176:H178"/>
    <mergeCell ref="I176:I183"/>
    <mergeCell ref="H179:H180"/>
    <mergeCell ref="H181:H183"/>
  </mergeCells>
  <conditionalFormatting sqref="F3:F13 F16:F183">
    <cfRule type="expression" priority="2" aboveAverage="0" equalAverage="0" bottom="0" percent="0" rank="0" text="" dxfId="10">
      <formula>$F3="CUMPLE"</formula>
    </cfRule>
  </conditionalFormatting>
  <conditionalFormatting sqref="F3:F13 F16:F183">
    <cfRule type="expression" priority="3" aboveAverage="0" equalAverage="0" bottom="0" percent="0" rank="0" text="" dxfId="11">
      <formula>$F3="NO CUMPLE"</formula>
    </cfRule>
  </conditionalFormatting>
  <printOptions headings="false" gridLines="false" gridLinesSet="true" horizontalCentered="false" verticalCentered="false"/>
  <pageMargins left="0.236111111111111" right="0.236111111111111" top="0.747916666666667" bottom="0.747916666666667" header="0.511811023622047" footer="0"/>
  <pageSetup paperSize="9" scale="100" fitToWidth="1" fitToHeight="0" pageOrder="downThenOver" orientation="landscape" blackAndWhite="false" draft="false" cellComments="none" horizontalDpi="300" verticalDpi="300" copies="1"/>
  <headerFooter differentFirst="false" differentOddEven="false">
    <oddHeader/>
    <oddFooter>&amp;CPágina &amp;P de</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7" topLeftCell="G8" activePane="bottomRight" state="frozen"/>
      <selection pane="topLeft" activeCell="A1" activeCellId="0" sqref="A1"/>
      <selection pane="topRight" activeCell="G1" activeCellId="0" sqref="G1"/>
      <selection pane="bottomLeft" activeCell="A8" activeCellId="0" sqref="A8"/>
      <selection pane="bottomRight" activeCell="G8" activeCellId="0" sqref="G8"/>
    </sheetView>
  </sheetViews>
  <sheetFormatPr defaultColWidth="12.6328125" defaultRowHeight="15" zeroHeight="false" outlineLevelRow="0" outlineLevelCol="0"/>
  <cols>
    <col collapsed="false" customWidth="true" hidden="false" outlineLevel="0" max="1" min="1" style="0" width="14.75"/>
    <col collapsed="false" customWidth="true" hidden="false" outlineLevel="0" max="2" min="2" style="0" width="40.25"/>
    <col collapsed="false" customWidth="true" hidden="false" outlineLevel="0" max="3" min="3" style="0" width="60.75"/>
    <col collapsed="false" customWidth="true" hidden="false" outlineLevel="0" max="4" min="4" style="0" width="15.75"/>
    <col collapsed="false" customWidth="true" hidden="false" outlineLevel="0" max="5" min="5" style="0" width="13.25"/>
    <col collapsed="false" customWidth="true" hidden="false" outlineLevel="0" max="6" min="6" style="0" width="14.25"/>
    <col collapsed="false" customWidth="true" hidden="false" outlineLevel="0" max="7" min="7" style="0" width="49.38"/>
    <col collapsed="false" customWidth="true" hidden="false" outlineLevel="0" max="8" min="8" style="0" width="18.75"/>
    <col collapsed="false" customWidth="true" hidden="false" outlineLevel="0" max="9" min="9" style="0" width="23"/>
    <col collapsed="false" customWidth="true" hidden="false" outlineLevel="0" max="10" min="10" style="0" width="26.38"/>
    <col collapsed="false" customWidth="true" hidden="false" outlineLevel="0" max="11" min="11" style="0" width="25.25"/>
    <col collapsed="false" customWidth="true" hidden="false" outlineLevel="0" max="12" min="12" style="0" width="19"/>
    <col collapsed="false" customWidth="true" hidden="false" outlineLevel="0" max="13" min="13" style="0" width="23.75"/>
    <col collapsed="false" customWidth="true" hidden="false" outlineLevel="0" max="14" min="14" style="0" width="19.75"/>
    <col collapsed="false" customWidth="true" hidden="false" outlineLevel="0" max="16" min="15" style="0" width="14.25"/>
    <col collapsed="false" customWidth="true" hidden="false" outlineLevel="0" max="64" min="17" style="0" width="2.75"/>
    <col collapsed="false" customWidth="true" hidden="false" outlineLevel="0" max="65" min="65" style="0" width="9.25"/>
  </cols>
  <sheetData>
    <row r="1" customFormat="false" ht="37.5" hidden="false" customHeight="true" outlineLevel="0" collapsed="false">
      <c r="A1" s="165" t="s">
        <v>444</v>
      </c>
      <c r="B1" s="165"/>
      <c r="C1" s="165"/>
      <c r="D1" s="165"/>
      <c r="E1" s="165"/>
      <c r="F1" s="165"/>
      <c r="G1" s="165"/>
      <c r="H1" s="165"/>
      <c r="I1" s="165"/>
      <c r="J1" s="165"/>
      <c r="K1" s="165"/>
      <c r="L1" s="165"/>
      <c r="M1" s="165"/>
      <c r="N1" s="165"/>
      <c r="O1" s="165"/>
      <c r="P1" s="165"/>
      <c r="BM1" s="1"/>
    </row>
    <row r="2" customFormat="false" ht="12.75" hidden="false" customHeight="true" outlineLevel="0" collapsed="false">
      <c r="A2" s="166" t="s">
        <v>445</v>
      </c>
      <c r="B2" s="166"/>
      <c r="C2" s="166"/>
      <c r="D2" s="166"/>
      <c r="E2" s="166"/>
      <c r="F2" s="166"/>
      <c r="G2" s="167" t="s">
        <v>446</v>
      </c>
      <c r="H2" s="167"/>
      <c r="I2" s="167"/>
      <c r="J2" s="167"/>
      <c r="K2" s="167"/>
      <c r="L2" s="167" t="s">
        <v>447</v>
      </c>
      <c r="M2" s="167" t="s">
        <v>448</v>
      </c>
      <c r="N2" s="168" t="s">
        <v>449</v>
      </c>
      <c r="O2" s="169" t="s">
        <v>450</v>
      </c>
      <c r="P2" s="169"/>
      <c r="Q2" s="169"/>
      <c r="R2" s="169"/>
      <c r="S2" s="169"/>
      <c r="T2" s="169"/>
      <c r="U2" s="169"/>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c r="BD2" s="169"/>
      <c r="BE2" s="169"/>
      <c r="BF2" s="169"/>
      <c r="BG2" s="169"/>
      <c r="BH2" s="169"/>
      <c r="BI2" s="169"/>
      <c r="BJ2" s="169"/>
      <c r="BK2" s="169"/>
      <c r="BL2" s="169"/>
      <c r="BM2" s="1"/>
    </row>
    <row r="3" customFormat="false" ht="12.75" hidden="false" customHeight="true" outlineLevel="0" collapsed="false">
      <c r="A3" s="166"/>
      <c r="B3" s="166"/>
      <c r="C3" s="166"/>
      <c r="D3" s="166"/>
      <c r="E3" s="166"/>
      <c r="F3" s="166"/>
      <c r="G3" s="167"/>
      <c r="H3" s="167"/>
      <c r="I3" s="167"/>
      <c r="J3" s="167"/>
      <c r="K3" s="167"/>
      <c r="L3" s="167"/>
      <c r="M3" s="167"/>
      <c r="N3" s="168"/>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c r="BD3" s="169"/>
      <c r="BE3" s="169"/>
      <c r="BF3" s="169"/>
      <c r="BG3" s="169"/>
      <c r="BH3" s="169"/>
      <c r="BI3" s="169"/>
      <c r="BJ3" s="169"/>
      <c r="BK3" s="169"/>
      <c r="BL3" s="169"/>
      <c r="BM3" s="1"/>
    </row>
    <row r="4" customFormat="false" ht="12.75" hidden="false" customHeight="true" outlineLevel="0" collapsed="false">
      <c r="A4" s="166"/>
      <c r="B4" s="166"/>
      <c r="C4" s="166"/>
      <c r="D4" s="166"/>
      <c r="E4" s="166"/>
      <c r="F4" s="166"/>
      <c r="G4" s="167"/>
      <c r="H4" s="167"/>
      <c r="I4" s="167"/>
      <c r="J4" s="167"/>
      <c r="K4" s="167"/>
      <c r="L4" s="167"/>
      <c r="M4" s="167"/>
      <c r="N4" s="168"/>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
    </row>
    <row r="5" customFormat="false" ht="12.75" hidden="false" customHeight="true" outlineLevel="0" collapsed="false">
      <c r="A5" s="166"/>
      <c r="B5" s="166"/>
      <c r="C5" s="166"/>
      <c r="D5" s="166"/>
      <c r="E5" s="166"/>
      <c r="F5" s="166"/>
      <c r="G5" s="167"/>
      <c r="H5" s="167"/>
      <c r="I5" s="167"/>
      <c r="J5" s="167"/>
      <c r="K5" s="167"/>
      <c r="L5" s="167"/>
      <c r="M5" s="167"/>
      <c r="N5" s="168"/>
      <c r="O5" s="169"/>
      <c r="P5" s="169"/>
      <c r="Q5" s="169"/>
      <c r="R5" s="169"/>
      <c r="S5" s="169"/>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
    </row>
    <row r="6" customFormat="false" ht="24" hidden="false" customHeight="true" outlineLevel="0" collapsed="false">
      <c r="A6" s="170"/>
      <c r="B6" s="171"/>
      <c r="C6" s="171"/>
      <c r="D6" s="171"/>
      <c r="E6" s="172" t="s">
        <v>38</v>
      </c>
      <c r="F6" s="172"/>
      <c r="G6" s="167"/>
      <c r="H6" s="167"/>
      <c r="I6" s="167"/>
      <c r="J6" s="167"/>
      <c r="K6" s="167"/>
      <c r="L6" s="167"/>
      <c r="M6" s="167"/>
      <c r="N6" s="168"/>
      <c r="O6" s="169"/>
      <c r="P6" s="169"/>
      <c r="Q6" s="169"/>
      <c r="R6" s="169"/>
      <c r="S6" s="169"/>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row>
    <row r="7" customFormat="false" ht="64.5" hidden="false" customHeight="true" outlineLevel="0" collapsed="false">
      <c r="A7" s="173" t="s">
        <v>277</v>
      </c>
      <c r="B7" s="173" t="s">
        <v>8</v>
      </c>
      <c r="C7" s="173" t="s">
        <v>278</v>
      </c>
      <c r="D7" s="173" t="s">
        <v>451</v>
      </c>
      <c r="E7" s="173" t="s">
        <v>452</v>
      </c>
      <c r="F7" s="173" t="s">
        <v>453</v>
      </c>
      <c r="G7" s="173" t="s">
        <v>454</v>
      </c>
      <c r="H7" s="173" t="s">
        <v>455</v>
      </c>
      <c r="I7" s="173" t="s">
        <v>456</v>
      </c>
      <c r="J7" s="173" t="s">
        <v>457</v>
      </c>
      <c r="K7" s="173" t="s">
        <v>458</v>
      </c>
      <c r="L7" s="173" t="s">
        <v>459</v>
      </c>
      <c r="M7" s="173" t="s">
        <v>460</v>
      </c>
      <c r="N7" s="173" t="s">
        <v>461</v>
      </c>
      <c r="O7" s="172" t="s">
        <v>462</v>
      </c>
      <c r="P7" s="172" t="s">
        <v>463</v>
      </c>
      <c r="Q7" s="174" t="n">
        <v>1</v>
      </c>
      <c r="R7" s="174" t="n">
        <v>2</v>
      </c>
      <c r="S7" s="174" t="n">
        <v>3</v>
      </c>
      <c r="T7" s="174" t="n">
        <v>4</v>
      </c>
      <c r="U7" s="174" t="n">
        <v>5</v>
      </c>
      <c r="V7" s="174" t="n">
        <v>6</v>
      </c>
      <c r="W7" s="174" t="n">
        <v>7</v>
      </c>
      <c r="X7" s="174" t="n">
        <v>8</v>
      </c>
      <c r="Y7" s="174" t="n">
        <v>9</v>
      </c>
      <c r="Z7" s="174" t="n">
        <v>10</v>
      </c>
      <c r="AA7" s="174" t="n">
        <v>11</v>
      </c>
      <c r="AB7" s="174" t="n">
        <v>12</v>
      </c>
      <c r="AC7" s="174" t="n">
        <v>1</v>
      </c>
      <c r="AD7" s="174" t="n">
        <v>2</v>
      </c>
      <c r="AE7" s="174" t="n">
        <v>3</v>
      </c>
      <c r="AF7" s="174" t="n">
        <v>4</v>
      </c>
      <c r="AG7" s="174" t="n">
        <v>5</v>
      </c>
      <c r="AH7" s="174" t="n">
        <v>6</v>
      </c>
      <c r="AI7" s="174" t="n">
        <v>7</v>
      </c>
      <c r="AJ7" s="174" t="n">
        <v>8</v>
      </c>
      <c r="AK7" s="174" t="n">
        <v>9</v>
      </c>
      <c r="AL7" s="174" t="n">
        <v>10</v>
      </c>
      <c r="AM7" s="174" t="n">
        <v>11</v>
      </c>
      <c r="AN7" s="174" t="n">
        <v>12</v>
      </c>
      <c r="AO7" s="174" t="n">
        <v>1</v>
      </c>
      <c r="AP7" s="174" t="n">
        <v>2</v>
      </c>
      <c r="AQ7" s="174" t="n">
        <v>3</v>
      </c>
      <c r="AR7" s="174" t="n">
        <v>4</v>
      </c>
      <c r="AS7" s="174" t="n">
        <v>5</v>
      </c>
      <c r="AT7" s="174" t="n">
        <v>6</v>
      </c>
      <c r="AU7" s="174" t="n">
        <v>7</v>
      </c>
      <c r="AV7" s="174" t="n">
        <v>8</v>
      </c>
      <c r="AW7" s="174" t="n">
        <v>9</v>
      </c>
      <c r="AX7" s="174" t="n">
        <v>10</v>
      </c>
      <c r="AY7" s="174" t="n">
        <v>11</v>
      </c>
      <c r="AZ7" s="174" t="n">
        <v>12</v>
      </c>
      <c r="BA7" s="174" t="n">
        <v>1</v>
      </c>
      <c r="BB7" s="174" t="n">
        <v>2</v>
      </c>
      <c r="BC7" s="174" t="n">
        <v>3</v>
      </c>
      <c r="BD7" s="174" t="n">
        <v>4</v>
      </c>
      <c r="BE7" s="174" t="n">
        <v>5</v>
      </c>
      <c r="BF7" s="174" t="n">
        <v>6</v>
      </c>
      <c r="BG7" s="174" t="n">
        <v>7</v>
      </c>
      <c r="BH7" s="174" t="n">
        <v>8</v>
      </c>
      <c r="BI7" s="174" t="n">
        <v>9</v>
      </c>
      <c r="BJ7" s="174" t="n">
        <v>10</v>
      </c>
      <c r="BK7" s="174" t="n">
        <v>11</v>
      </c>
      <c r="BL7" s="174" t="n">
        <v>12</v>
      </c>
      <c r="BM7" s="1"/>
    </row>
    <row r="8" customFormat="false" ht="39.75" hidden="false" customHeight="true" outlineLevel="0" collapsed="false">
      <c r="A8" s="175" t="s">
        <v>9</v>
      </c>
      <c r="B8" s="176" t="s">
        <v>464</v>
      </c>
      <c r="C8" s="177" t="s">
        <v>465</v>
      </c>
      <c r="D8" s="178" t="n">
        <v>1</v>
      </c>
      <c r="E8" s="179" t="str">
        <f aca="false">IFERROR(__xludf.dummyfunction("IF(M_ID_GA_1=0,""Inexistente"",SINGLE(INDEX(Cumplimiento,ROUNDDOWN(M_ID_GA_1,0)))&amp;IF(M_ID_GA_1-ROUNDDOWN(M_ID_GA_1,0)&lt;0.5,"""","" con tendencia a ""&amp;SINGLE(INDEX(Cumplimiento,ROUNDDOWN(M_ID_GA_1,0)+1))))"),"#NAME?")</f>
        <v>#NAME?</v>
      </c>
      <c r="F8" s="178" t="n">
        <v>4</v>
      </c>
      <c r="G8" s="180"/>
      <c r="H8" s="180"/>
      <c r="I8" s="180"/>
      <c r="J8" s="180"/>
      <c r="K8" s="180"/>
      <c r="L8" s="180"/>
      <c r="M8" s="180"/>
      <c r="N8" s="180"/>
      <c r="O8" s="181"/>
      <c r="P8" s="182"/>
      <c r="Q8" s="183"/>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c r="AR8" s="184"/>
      <c r="AS8" s="184"/>
      <c r="AT8" s="184"/>
      <c r="AU8" s="184"/>
      <c r="AV8" s="184"/>
      <c r="AW8" s="184"/>
      <c r="AX8" s="184"/>
      <c r="AY8" s="184"/>
      <c r="AZ8" s="184"/>
      <c r="BA8" s="184"/>
      <c r="BB8" s="184"/>
      <c r="BC8" s="184"/>
      <c r="BD8" s="184"/>
      <c r="BE8" s="184"/>
      <c r="BF8" s="184"/>
      <c r="BG8" s="184"/>
      <c r="BH8" s="184"/>
      <c r="BI8" s="184"/>
      <c r="BJ8" s="184"/>
      <c r="BK8" s="184"/>
      <c r="BL8" s="184"/>
      <c r="BM8" s="1"/>
    </row>
    <row r="9" customFormat="false" ht="35.25" hidden="false" customHeight="true" outlineLevel="0" collapsed="false">
      <c r="A9" s="175"/>
      <c r="B9" s="176"/>
      <c r="C9" s="176"/>
      <c r="D9" s="176"/>
      <c r="E9" s="176"/>
      <c r="F9" s="176"/>
      <c r="G9" s="180"/>
      <c r="H9" s="180"/>
      <c r="I9" s="180"/>
      <c r="J9" s="180"/>
      <c r="K9" s="180"/>
      <c r="L9" s="180"/>
      <c r="M9" s="180"/>
      <c r="N9" s="180"/>
      <c r="O9" s="181"/>
      <c r="P9" s="182"/>
      <c r="Q9" s="185"/>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customFormat="false" ht="34.5" hidden="false" customHeight="true" outlineLevel="0" collapsed="false">
      <c r="A10" s="175"/>
      <c r="B10" s="176"/>
      <c r="C10" s="177"/>
      <c r="D10" s="177"/>
      <c r="E10" s="177"/>
      <c r="F10" s="177"/>
      <c r="G10" s="180"/>
      <c r="H10" s="180"/>
      <c r="I10" s="180"/>
      <c r="J10" s="180"/>
      <c r="K10" s="180"/>
      <c r="L10" s="180"/>
      <c r="M10" s="180"/>
      <c r="N10" s="180"/>
      <c r="O10" s="181"/>
      <c r="P10" s="181"/>
      <c r="Q10" s="185"/>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customFormat="false" ht="33.75" hidden="false" customHeight="true" outlineLevel="0" collapsed="false">
      <c r="A11" s="175"/>
      <c r="B11" s="176"/>
      <c r="C11" s="177" t="s">
        <v>466</v>
      </c>
      <c r="D11" s="178" t="n">
        <v>1</v>
      </c>
      <c r="E11" s="179" t="str">
        <f aca="false">IFERROR(__xludf.dummyfunction("IF(M_ID_GA_2=0,""Inexistente"",SINGLE(INDEX(Cumplimiento,ROUNDDOWN(M_ID_GA_2,0)))&amp;IF(M_ID_GA_2-ROUNDDOWN(M_ID_GA_2,0)&lt;0.5,"""","" con tendencia a ""&amp;SINGLE(INDEX(Cumplimiento,ROUNDDOWN(M_ID_GA_2,0)+1))))"),"#NAME?")</f>
        <v>#NAME?</v>
      </c>
      <c r="F11" s="178" t="n">
        <v>4</v>
      </c>
      <c r="G11" s="180"/>
      <c r="H11" s="180"/>
      <c r="I11" s="180"/>
      <c r="J11" s="180"/>
      <c r="K11" s="180"/>
      <c r="L11" s="180"/>
      <c r="M11" s="180"/>
      <c r="N11" s="180"/>
      <c r="O11" s="181"/>
      <c r="P11" s="182"/>
      <c r="Q11" s="185"/>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row>
    <row r="12" customFormat="false" ht="35.25" hidden="false" customHeight="true" outlineLevel="0" collapsed="false">
      <c r="A12" s="175"/>
      <c r="B12" s="176"/>
      <c r="C12" s="176"/>
      <c r="D12" s="176"/>
      <c r="E12" s="176"/>
      <c r="F12" s="176"/>
      <c r="G12" s="180"/>
      <c r="H12" s="180"/>
      <c r="I12" s="186"/>
      <c r="J12" s="186"/>
      <c r="K12" s="186"/>
      <c r="L12" s="186"/>
      <c r="M12" s="180"/>
      <c r="N12" s="180"/>
      <c r="O12" s="187"/>
      <c r="P12" s="188"/>
      <c r="Q12" s="185"/>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row>
    <row r="13" customFormat="false" ht="32.25" hidden="false" customHeight="true" outlineLevel="0" collapsed="false">
      <c r="A13" s="175"/>
      <c r="B13" s="176"/>
      <c r="C13" s="177"/>
      <c r="D13" s="177"/>
      <c r="E13" s="177"/>
      <c r="F13" s="177"/>
      <c r="G13" s="186"/>
      <c r="H13" s="180"/>
      <c r="I13" s="180"/>
      <c r="J13" s="189"/>
      <c r="K13" s="189"/>
      <c r="L13" s="189"/>
      <c r="M13" s="189"/>
      <c r="N13" s="189"/>
      <c r="O13" s="189"/>
      <c r="P13" s="189"/>
      <c r="Q13" s="185"/>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row>
    <row r="14" customFormat="false" ht="30.75" hidden="false" customHeight="true" outlineLevel="0" collapsed="false">
      <c r="A14" s="175"/>
      <c r="B14" s="176"/>
      <c r="C14" s="177" t="s">
        <v>467</v>
      </c>
      <c r="D14" s="178" t="n">
        <v>3</v>
      </c>
      <c r="E14" s="179" t="str">
        <f aca="false">IFERROR(__xludf.dummyfunction("IF(M_ID_GA_3=0,""Inexistente"",SINGLE(INDEX(Cumplimiento,ROUNDDOWN(M_ID_GA_3,0)))&amp;IF(M_ID_GA_3-ROUNDDOWN(M_ID_GA_3,0)&lt;0.5,"""","" con tendencia a ""&amp;SINGLE(INDEX(Cumplimiento,ROUNDDOWN(M_ID_GA_3,0)+1))))"),"#NAME?")</f>
        <v>#NAME?</v>
      </c>
      <c r="F14" s="178" t="n">
        <v>4</v>
      </c>
      <c r="G14" s="180"/>
      <c r="H14" s="180"/>
      <c r="I14" s="180"/>
      <c r="J14" s="190"/>
      <c r="K14" s="189"/>
      <c r="L14" s="189"/>
      <c r="M14" s="189"/>
      <c r="N14" s="189"/>
      <c r="O14" s="189"/>
      <c r="P14" s="189"/>
      <c r="Q14" s="185"/>
      <c r="BM14" s="1"/>
    </row>
    <row r="15" customFormat="false" ht="36.75" hidden="false" customHeight="true" outlineLevel="0" collapsed="false">
      <c r="A15" s="175"/>
      <c r="B15" s="176"/>
      <c r="C15" s="176"/>
      <c r="D15" s="176"/>
      <c r="E15" s="176"/>
      <c r="F15" s="176"/>
      <c r="G15" s="180"/>
      <c r="H15" s="180"/>
      <c r="I15" s="180"/>
      <c r="J15" s="190"/>
      <c r="K15" s="189"/>
      <c r="L15" s="189"/>
      <c r="M15" s="189"/>
      <c r="N15" s="189"/>
      <c r="O15" s="189"/>
      <c r="P15" s="189"/>
      <c r="Q15" s="185"/>
      <c r="AA15" s="1"/>
      <c r="BM15" s="1"/>
    </row>
    <row r="16" customFormat="false" ht="36" hidden="false" customHeight="true" outlineLevel="0" collapsed="false">
      <c r="A16" s="175"/>
      <c r="B16" s="176"/>
      <c r="C16" s="177"/>
      <c r="D16" s="177"/>
      <c r="E16" s="177"/>
      <c r="F16" s="177"/>
      <c r="G16" s="180"/>
      <c r="H16" s="180"/>
      <c r="I16" s="180"/>
      <c r="J16" s="190"/>
      <c r="K16" s="189"/>
      <c r="L16" s="189"/>
      <c r="M16" s="189"/>
      <c r="N16" s="189"/>
      <c r="O16" s="189"/>
      <c r="P16" s="189"/>
      <c r="Q16" s="185"/>
      <c r="BM16" s="1"/>
    </row>
    <row r="17" customFormat="false" ht="36" hidden="false" customHeight="true" outlineLevel="0" collapsed="false">
      <c r="A17" s="175"/>
      <c r="B17" s="176"/>
      <c r="C17" s="177" t="s">
        <v>468</v>
      </c>
      <c r="D17" s="178" t="n">
        <v>4</v>
      </c>
      <c r="E17" s="179" t="str">
        <f aca="false">IFERROR(__xludf.dummyfunction("IF(M_ID_GA_4=0,""Inexistente"",SINGLE(INDEX(Cumplimiento,ROUNDDOWN(M_ID_GA_4,0)))&amp;IF(M_ID_GA_4-ROUNDDOWN(M_ID_GA_4,0)&lt;0.5,"""","" con tendencia a ""&amp;SINGLE(INDEX(Cumplimiento,ROUNDDOWN(M_ID_GA_4,0)+1))))"),"#NAME?")</f>
        <v>#NAME?</v>
      </c>
      <c r="F17" s="178" t="n">
        <v>4</v>
      </c>
      <c r="G17" s="180"/>
      <c r="H17" s="180"/>
      <c r="I17" s="180"/>
      <c r="J17" s="190"/>
      <c r="K17" s="189"/>
      <c r="L17" s="189"/>
      <c r="M17" s="189"/>
      <c r="N17" s="189"/>
      <c r="O17" s="189"/>
      <c r="P17" s="189"/>
      <c r="Q17" s="185"/>
      <c r="BM17" s="1"/>
    </row>
    <row r="18" customFormat="false" ht="36" hidden="false" customHeight="true" outlineLevel="0" collapsed="false">
      <c r="A18" s="175"/>
      <c r="B18" s="176"/>
      <c r="C18" s="176"/>
      <c r="D18" s="176"/>
      <c r="E18" s="176"/>
      <c r="F18" s="176"/>
      <c r="G18" s="180"/>
      <c r="H18" s="180"/>
      <c r="I18" s="180"/>
      <c r="J18" s="190"/>
      <c r="K18" s="189"/>
      <c r="L18" s="189"/>
      <c r="M18" s="189"/>
      <c r="N18" s="189"/>
      <c r="O18" s="189"/>
      <c r="P18" s="189"/>
      <c r="Q18" s="185"/>
      <c r="BM18" s="1"/>
    </row>
    <row r="19" customFormat="false" ht="36" hidden="false" customHeight="true" outlineLevel="0" collapsed="false">
      <c r="A19" s="175"/>
      <c r="B19" s="176"/>
      <c r="C19" s="177"/>
      <c r="D19" s="177"/>
      <c r="E19" s="177"/>
      <c r="F19" s="177"/>
      <c r="G19" s="180"/>
      <c r="H19" s="180"/>
      <c r="I19" s="180"/>
      <c r="J19" s="190"/>
      <c r="K19" s="189"/>
      <c r="L19" s="189"/>
      <c r="M19" s="189"/>
      <c r="N19" s="189"/>
      <c r="O19" s="189"/>
      <c r="P19" s="189"/>
      <c r="Q19" s="185"/>
      <c r="BM19" s="1"/>
    </row>
    <row r="20" customFormat="false" ht="36" hidden="false" customHeight="true" outlineLevel="0" collapsed="false">
      <c r="A20" s="175"/>
      <c r="B20" s="176"/>
      <c r="C20" s="177" t="s">
        <v>469</v>
      </c>
      <c r="D20" s="178" t="n">
        <v>2</v>
      </c>
      <c r="E20" s="179" t="str">
        <f aca="false">IFERROR(__xludf.dummyfunction("IF(M_ID_GA_5=0,""Inexistente"",SINGLE(INDEX(Cumplimiento,ROUNDDOWN(M_ID_GA_5,0)))&amp;IF(M_ID_GA_5-ROUNDDOWN(M_ID_GA_5,0)&lt;0.5,"""","" con tendencia a ""&amp;SINGLE(INDEX(Cumplimiento,ROUNDDOWN(M_ID_GA_5,0)+1))))"),"#NAME?")</f>
        <v>#NAME?</v>
      </c>
      <c r="F20" s="178" t="n">
        <v>4</v>
      </c>
      <c r="G20" s="180"/>
      <c r="H20" s="180"/>
      <c r="I20" s="180"/>
      <c r="J20" s="190"/>
      <c r="K20" s="189"/>
      <c r="L20" s="189"/>
      <c r="M20" s="189"/>
      <c r="N20" s="189"/>
      <c r="O20" s="189"/>
      <c r="P20" s="189"/>
      <c r="Q20" s="185"/>
      <c r="BM20" s="1"/>
    </row>
    <row r="21" customFormat="false" ht="36" hidden="false" customHeight="true" outlineLevel="0" collapsed="false">
      <c r="A21" s="175"/>
      <c r="B21" s="176"/>
      <c r="C21" s="176"/>
      <c r="D21" s="176"/>
      <c r="E21" s="176"/>
      <c r="F21" s="176"/>
      <c r="G21" s="180"/>
      <c r="H21" s="180"/>
      <c r="I21" s="180"/>
      <c r="J21" s="190"/>
      <c r="K21" s="189"/>
      <c r="L21" s="189"/>
      <c r="M21" s="189"/>
      <c r="N21" s="189"/>
      <c r="O21" s="189"/>
      <c r="P21" s="189"/>
      <c r="Q21" s="185"/>
      <c r="BM21" s="1"/>
    </row>
    <row r="22" customFormat="false" ht="36" hidden="false" customHeight="true" outlineLevel="0" collapsed="false">
      <c r="A22" s="175"/>
      <c r="B22" s="176"/>
      <c r="C22" s="177"/>
      <c r="D22" s="177"/>
      <c r="E22" s="177"/>
      <c r="F22" s="177"/>
      <c r="G22" s="180"/>
      <c r="H22" s="180"/>
      <c r="I22" s="180"/>
      <c r="J22" s="190"/>
      <c r="K22" s="189"/>
      <c r="L22" s="189"/>
      <c r="M22" s="189"/>
      <c r="N22" s="189"/>
      <c r="O22" s="189"/>
      <c r="P22" s="189"/>
      <c r="Q22" s="185"/>
      <c r="BM22" s="1"/>
    </row>
    <row r="23" customFormat="false" ht="30.75" hidden="false" customHeight="true" outlineLevel="0" collapsed="false">
      <c r="A23" s="175"/>
      <c r="B23" s="176"/>
      <c r="C23" s="177" t="s">
        <v>470</v>
      </c>
      <c r="D23" s="178" t="n">
        <v>1</v>
      </c>
      <c r="E23" s="179" t="str">
        <f aca="false">IFERROR(__xludf.dummyfunction("IF(M_ID_GA_6=0,""Inexistente"",SINGLE(INDEX(Cumplimiento,ROUNDDOWN(M_ID_GA_6,0)))&amp;IF(M_ID_GA_6-ROUNDDOWN(M_ID_GA_6,0)&lt;0.5,"""","" con tendencia a ""&amp;SINGLE(INDEX(Cumplimiento,ROUNDDOWN(M_ID_GA_6,0)+1))))"),"#NAME?")</f>
        <v>#NAME?</v>
      </c>
      <c r="F23" s="178" t="n">
        <v>4</v>
      </c>
      <c r="G23" s="180"/>
      <c r="H23" s="180"/>
      <c r="I23" s="180"/>
      <c r="J23" s="190"/>
      <c r="K23" s="189"/>
      <c r="L23" s="189"/>
      <c r="M23" s="189"/>
      <c r="N23" s="189"/>
      <c r="O23" s="189"/>
      <c r="P23" s="189"/>
      <c r="Q23" s="185"/>
      <c r="BM23" s="1"/>
    </row>
    <row r="24" customFormat="false" ht="36.75" hidden="false" customHeight="true" outlineLevel="0" collapsed="false">
      <c r="A24" s="175"/>
      <c r="B24" s="176"/>
      <c r="C24" s="176"/>
      <c r="D24" s="176"/>
      <c r="E24" s="176"/>
      <c r="F24" s="176"/>
      <c r="G24" s="180"/>
      <c r="H24" s="180"/>
      <c r="I24" s="180"/>
      <c r="J24" s="190"/>
      <c r="K24" s="189"/>
      <c r="L24" s="189"/>
      <c r="M24" s="189"/>
      <c r="N24" s="189"/>
      <c r="O24" s="189"/>
      <c r="P24" s="189"/>
      <c r="Q24" s="185"/>
      <c r="AA24" s="1"/>
      <c r="BM24" s="1"/>
    </row>
    <row r="25" customFormat="false" ht="36" hidden="false" customHeight="true" outlineLevel="0" collapsed="false">
      <c r="A25" s="175"/>
      <c r="B25" s="176"/>
      <c r="C25" s="176"/>
      <c r="D25" s="176"/>
      <c r="E25" s="176"/>
      <c r="F25" s="176"/>
      <c r="G25" s="180"/>
      <c r="H25" s="180"/>
      <c r="I25" s="180"/>
      <c r="J25" s="190"/>
      <c r="K25" s="189"/>
      <c r="L25" s="189"/>
      <c r="M25" s="189"/>
      <c r="N25" s="189"/>
      <c r="O25" s="189"/>
      <c r="P25" s="189"/>
      <c r="Q25" s="185"/>
      <c r="BM25" s="1"/>
    </row>
    <row r="26" customFormat="false" ht="42.75" hidden="false" customHeight="true" outlineLevel="0" collapsed="false">
      <c r="A26" s="175"/>
      <c r="B26" s="191" t="s">
        <v>471</v>
      </c>
      <c r="C26" s="192" t="s">
        <v>472</v>
      </c>
      <c r="D26" s="178" t="s">
        <v>473</v>
      </c>
      <c r="E26" s="179" t="str">
        <f aca="false">IFERROR(__xludf.dummyfunction("IF(M_ID_AN_1=0,""Inexistente"",SINGLE(INDEX(Cumplimiento,ROUNDDOWN(M_ID_AN_1,0)))&amp;IF(M_ID_AN_1-ROUNDDOWN(M_ID_AN_1,0)&lt;0.5,"""","" con tendencia a ""&amp;SINGLE(INDEX(Cumplimiento,ROUNDDOWN(M_ID_AN_1,0)+1))))"),"#NAME?")</f>
        <v>#NAME?</v>
      </c>
      <c r="F26" s="178"/>
      <c r="G26" s="180"/>
      <c r="H26" s="180"/>
      <c r="I26" s="180"/>
      <c r="J26" s="180"/>
      <c r="K26" s="180"/>
      <c r="L26" s="180"/>
      <c r="M26" s="180"/>
      <c r="N26" s="180"/>
      <c r="O26" s="181"/>
      <c r="P26" s="182"/>
      <c r="Q26" s="185"/>
      <c r="BM26" s="1"/>
    </row>
    <row r="27" customFormat="false" ht="43.5" hidden="false" customHeight="true" outlineLevel="0" collapsed="false">
      <c r="A27" s="175"/>
      <c r="B27" s="191"/>
      <c r="C27" s="191"/>
      <c r="D27" s="191"/>
      <c r="E27" s="191"/>
      <c r="F27" s="191"/>
      <c r="G27" s="180"/>
      <c r="H27" s="180"/>
      <c r="I27" s="180"/>
      <c r="J27" s="180"/>
      <c r="K27" s="180"/>
      <c r="L27" s="180"/>
      <c r="M27" s="180"/>
      <c r="N27" s="180"/>
      <c r="O27" s="181"/>
      <c r="P27" s="182"/>
      <c r="Q27" s="185"/>
      <c r="BM27" s="1"/>
    </row>
    <row r="28" customFormat="false" ht="39.75" hidden="false" customHeight="true" outlineLevel="0" collapsed="false">
      <c r="A28" s="175"/>
      <c r="B28" s="191"/>
      <c r="C28" s="191"/>
      <c r="D28" s="178"/>
      <c r="E28" s="178"/>
      <c r="F28" s="178"/>
      <c r="G28" s="180"/>
      <c r="H28" s="180"/>
      <c r="I28" s="180"/>
      <c r="J28" s="180"/>
      <c r="K28" s="180"/>
      <c r="L28" s="180"/>
      <c r="M28" s="180"/>
      <c r="N28" s="180"/>
      <c r="O28" s="181"/>
      <c r="P28" s="181"/>
      <c r="Q28" s="185"/>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customFormat="false" ht="39.75" hidden="false" customHeight="true" outlineLevel="0" collapsed="false">
      <c r="A29" s="175"/>
      <c r="B29" s="191"/>
      <c r="C29" s="177" t="s">
        <v>474</v>
      </c>
      <c r="D29" s="178" t="s">
        <v>473</v>
      </c>
      <c r="E29" s="179" t="str">
        <f aca="false">IFERROR(__xludf.dummyfunction("IF(M_ID_AN_2=0,""Inexistente"",SINGLE(INDEX(Cumplimiento,ROUNDDOWN(M_ID_AN_2,0)))&amp;IF(M_ID_AN_2-ROUNDDOWN(M_ID_AN_2,0)&lt;0.5,"""","" con tendencia a ""&amp;SINGLE(INDEX(Cumplimiento,ROUNDDOWN(M_ID_AN_2,0)+1))))"),"#NAME?")</f>
        <v>#NAME?</v>
      </c>
      <c r="F29" s="178"/>
      <c r="G29" s="180"/>
      <c r="H29" s="180"/>
      <c r="I29" s="180"/>
      <c r="J29" s="180"/>
      <c r="K29" s="180"/>
      <c r="L29" s="180"/>
      <c r="M29" s="180"/>
      <c r="N29" s="180"/>
      <c r="O29" s="181"/>
      <c r="P29" s="181"/>
      <c r="Q29" s="185"/>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customFormat="false" ht="39.75" hidden="false" customHeight="true" outlineLevel="0" collapsed="false">
      <c r="A30" s="175"/>
      <c r="B30" s="191"/>
      <c r="C30" s="191"/>
      <c r="D30" s="191"/>
      <c r="E30" s="191"/>
      <c r="F30" s="191"/>
      <c r="G30" s="180"/>
      <c r="H30" s="180"/>
      <c r="I30" s="180"/>
      <c r="J30" s="180"/>
      <c r="K30" s="180"/>
      <c r="L30" s="180"/>
      <c r="M30" s="180"/>
      <c r="N30" s="180"/>
      <c r="O30" s="181"/>
      <c r="P30" s="181"/>
      <c r="Q30" s="185"/>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customFormat="false" ht="39.75" hidden="false" customHeight="true" outlineLevel="0" collapsed="false">
      <c r="A31" s="175"/>
      <c r="B31" s="191"/>
      <c r="C31" s="177"/>
      <c r="D31" s="177"/>
      <c r="E31" s="177"/>
      <c r="F31" s="177"/>
      <c r="G31" s="180"/>
      <c r="H31" s="180"/>
      <c r="I31" s="180"/>
      <c r="J31" s="180"/>
      <c r="K31" s="180"/>
      <c r="L31" s="180"/>
      <c r="M31" s="180"/>
      <c r="N31" s="180"/>
      <c r="O31" s="181"/>
      <c r="P31" s="181"/>
      <c r="Q31" s="185"/>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customFormat="false" ht="39.75" hidden="false" customHeight="true" outlineLevel="0" collapsed="false">
      <c r="A32" s="175"/>
      <c r="B32" s="191"/>
      <c r="C32" s="193" t="s">
        <v>475</v>
      </c>
      <c r="D32" s="178" t="n">
        <v>1</v>
      </c>
      <c r="E32" s="179" t="str">
        <f aca="false">IFERROR(__xludf.dummyfunction("IF(M_ID_AN_3=0,""Inexistente"",SINGLE(INDEX(Cumplimiento,ROUNDDOWN(M_ID_AN_3,0)))&amp;IF(M_ID_AN_3-ROUNDDOWN(M_ID_AN_3,0)&lt;0.5,"""","" con tendencia a ""&amp;SINGLE(INDEX(Cumplimiento,ROUNDDOWN(M_ID_AN_3,0)+1))))"),"#NAME?")</f>
        <v>#NAME?</v>
      </c>
      <c r="F32" s="178"/>
      <c r="G32" s="180"/>
      <c r="H32" s="180"/>
      <c r="I32" s="180"/>
      <c r="J32" s="180"/>
      <c r="K32" s="180"/>
      <c r="L32" s="180"/>
      <c r="M32" s="180"/>
      <c r="N32" s="180"/>
      <c r="O32" s="181"/>
      <c r="P32" s="181"/>
      <c r="Q32" s="185"/>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customFormat="false" ht="39.75" hidden="false" customHeight="true" outlineLevel="0" collapsed="false">
      <c r="A33" s="175"/>
      <c r="B33" s="191"/>
      <c r="C33" s="191"/>
      <c r="D33" s="191"/>
      <c r="E33" s="191"/>
      <c r="F33" s="191"/>
      <c r="G33" s="180"/>
      <c r="H33" s="180"/>
      <c r="I33" s="180"/>
      <c r="J33" s="180"/>
      <c r="K33" s="180"/>
      <c r="L33" s="180"/>
      <c r="M33" s="180"/>
      <c r="N33" s="180"/>
      <c r="O33" s="181"/>
      <c r="P33" s="181"/>
      <c r="Q33" s="185"/>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customFormat="false" ht="39.75" hidden="false" customHeight="true" outlineLevel="0" collapsed="false">
      <c r="A34" s="175"/>
      <c r="B34" s="191"/>
      <c r="C34" s="193"/>
      <c r="D34" s="193"/>
      <c r="E34" s="193"/>
      <c r="F34" s="193"/>
      <c r="G34" s="180"/>
      <c r="H34" s="180"/>
      <c r="I34" s="180"/>
      <c r="J34" s="180"/>
      <c r="K34" s="180"/>
      <c r="L34" s="180"/>
      <c r="M34" s="180"/>
      <c r="N34" s="180"/>
      <c r="O34" s="181"/>
      <c r="P34" s="181"/>
      <c r="Q34" s="185"/>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customFormat="false" ht="42.75" hidden="false" customHeight="true" outlineLevel="0" collapsed="false">
      <c r="A35" s="175"/>
      <c r="B35" s="191"/>
      <c r="C35" s="192" t="s">
        <v>476</v>
      </c>
      <c r="D35" s="178" t="n">
        <v>4</v>
      </c>
      <c r="E35" s="179" t="str">
        <f aca="false">IFERROR(__xludf.dummyfunction("IF(M_ID_AN_4=0,""Inexistente"",SINGLE(INDEX(Cumplimiento,ROUNDDOWN(M_ID_AN_4,0)))&amp;IF(M_ID_AN_4-ROUNDDOWN(M_ID_AN_4,0)&lt;0.5,"""","" con tendencia a ""&amp;SINGLE(INDEX(Cumplimiento,ROUNDDOWN(M_ID_AN_4,0)+1))))"),"#NAME?")</f>
        <v>#NAME?</v>
      </c>
      <c r="F35" s="178"/>
      <c r="G35" s="180"/>
      <c r="H35" s="180"/>
      <c r="I35" s="180"/>
      <c r="J35" s="180"/>
      <c r="K35" s="180"/>
      <c r="L35" s="180"/>
      <c r="M35" s="180"/>
      <c r="N35" s="180"/>
      <c r="O35" s="181"/>
      <c r="P35" s="182"/>
      <c r="Q35" s="185"/>
      <c r="BM35" s="1"/>
    </row>
    <row r="36" customFormat="false" ht="43.5" hidden="false" customHeight="true" outlineLevel="0" collapsed="false">
      <c r="A36" s="175"/>
      <c r="B36" s="191"/>
      <c r="C36" s="191"/>
      <c r="D36" s="191"/>
      <c r="E36" s="191"/>
      <c r="F36" s="191"/>
      <c r="G36" s="180"/>
      <c r="H36" s="180"/>
      <c r="I36" s="180"/>
      <c r="J36" s="180"/>
      <c r="K36" s="180"/>
      <c r="L36" s="180"/>
      <c r="M36" s="180"/>
      <c r="N36" s="180"/>
      <c r="O36" s="181"/>
      <c r="P36" s="182"/>
      <c r="Q36" s="185"/>
      <c r="BM36" s="1"/>
    </row>
    <row r="37" customFormat="false" ht="39.75" hidden="false" customHeight="true" outlineLevel="0" collapsed="false">
      <c r="A37" s="175"/>
      <c r="B37" s="191"/>
      <c r="C37" s="191"/>
      <c r="D37" s="178"/>
      <c r="E37" s="178"/>
      <c r="F37" s="178"/>
      <c r="G37" s="180"/>
      <c r="H37" s="180"/>
      <c r="I37" s="180"/>
      <c r="J37" s="180"/>
      <c r="K37" s="180"/>
      <c r="L37" s="180"/>
      <c r="M37" s="180"/>
      <c r="N37" s="180"/>
      <c r="O37" s="181"/>
      <c r="P37" s="181"/>
      <c r="Q37" s="185"/>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customFormat="false" ht="42.75" hidden="false" customHeight="true" outlineLevel="0" collapsed="false">
      <c r="A38" s="175"/>
      <c r="B38" s="191"/>
      <c r="C38" s="192" t="s">
        <v>477</v>
      </c>
      <c r="D38" s="178" t="n">
        <v>2</v>
      </c>
      <c r="E38" s="179" t="str">
        <f aca="false">IFERROR(__xludf.dummyfunction("IF(M_ID_AN_5=0,""Inexistente"",SINGLE(INDEX(Cumplimiento,ROUNDDOWN(M_ID_AN_5,0)))&amp;IF(M_ID_AN_5-ROUNDDOWN(M_ID_AN_5,0)&lt;0.5,"""","" con tendencia a ""&amp;SINGLE(INDEX(Cumplimiento,ROUNDDOWN(M_ID_AN_5,0)+1))))"),"#NAME?")</f>
        <v>#NAME?</v>
      </c>
      <c r="F38" s="178"/>
      <c r="G38" s="180"/>
      <c r="H38" s="180"/>
      <c r="I38" s="180"/>
      <c r="J38" s="180"/>
      <c r="K38" s="180"/>
      <c r="L38" s="180"/>
      <c r="M38" s="180"/>
      <c r="N38" s="180"/>
      <c r="O38" s="181"/>
      <c r="P38" s="182"/>
      <c r="Q38" s="185"/>
      <c r="BM38" s="1"/>
    </row>
    <row r="39" customFormat="false" ht="43.5" hidden="false" customHeight="true" outlineLevel="0" collapsed="false">
      <c r="A39" s="175"/>
      <c r="B39" s="191"/>
      <c r="C39" s="191"/>
      <c r="D39" s="191"/>
      <c r="E39" s="191"/>
      <c r="F39" s="191"/>
      <c r="G39" s="180"/>
      <c r="H39" s="180"/>
      <c r="I39" s="180"/>
      <c r="J39" s="180"/>
      <c r="K39" s="180"/>
      <c r="L39" s="180"/>
      <c r="M39" s="180"/>
      <c r="N39" s="180"/>
      <c r="O39" s="181"/>
      <c r="P39" s="182"/>
      <c r="Q39" s="185"/>
      <c r="BM39" s="1"/>
    </row>
    <row r="40" customFormat="false" ht="39.75" hidden="false" customHeight="true" outlineLevel="0" collapsed="false">
      <c r="A40" s="175"/>
      <c r="B40" s="191"/>
      <c r="C40" s="192"/>
      <c r="D40" s="178"/>
      <c r="E40" s="178"/>
      <c r="F40" s="178"/>
      <c r="G40" s="180"/>
      <c r="H40" s="180"/>
      <c r="I40" s="180"/>
      <c r="J40" s="180"/>
      <c r="K40" s="180"/>
      <c r="L40" s="180"/>
      <c r="M40" s="180"/>
      <c r="N40" s="180"/>
      <c r="O40" s="181"/>
      <c r="P40" s="181"/>
      <c r="Q40" s="185"/>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customFormat="false" ht="39.75" hidden="false" customHeight="true" outlineLevel="0" collapsed="false">
      <c r="A41" s="175"/>
      <c r="B41" s="194" t="s">
        <v>478</v>
      </c>
      <c r="C41" s="177" t="s">
        <v>479</v>
      </c>
      <c r="D41" s="178" t="n">
        <v>1</v>
      </c>
      <c r="E41" s="179" t="str">
        <f aca="false">IFERROR(__xludf.dummyfunction("IF(M_ID_GO_1=0,""Inexistente"",SINGLE(INDEX(Cumplimiento,ROUNDDOWN(M_ID_GO_1,0)))&amp;IF(M_ID_GO_1-ROUNDDOWN(M_ID_GO_1,0)&lt;0.5,"""","" con tendencia a ""&amp;SINGLE(INDEX(Cumplimiento,ROUNDDOWN(M_ID_GO_1,0)+1))))"),"#NAME?")</f>
        <v>#NAME?</v>
      </c>
      <c r="F41" s="178"/>
      <c r="G41" s="180"/>
      <c r="H41" s="180"/>
      <c r="I41" s="180"/>
      <c r="J41" s="180"/>
      <c r="K41" s="180"/>
      <c r="L41" s="180"/>
      <c r="M41" s="180"/>
      <c r="N41" s="180"/>
      <c r="O41" s="181"/>
      <c r="P41" s="182"/>
      <c r="Q41" s="185"/>
      <c r="BM41" s="1"/>
    </row>
    <row r="42" customFormat="false" ht="35.25" hidden="false" customHeight="true" outlineLevel="0" collapsed="false">
      <c r="A42" s="175"/>
      <c r="B42" s="194"/>
      <c r="C42" s="194"/>
      <c r="D42" s="194"/>
      <c r="E42" s="194"/>
      <c r="F42" s="194"/>
      <c r="G42" s="180"/>
      <c r="H42" s="180"/>
      <c r="I42" s="180"/>
      <c r="J42" s="180"/>
      <c r="K42" s="180"/>
      <c r="L42" s="180"/>
      <c r="M42" s="180"/>
      <c r="N42" s="180"/>
      <c r="O42" s="181"/>
      <c r="P42" s="182"/>
      <c r="Q42" s="185"/>
      <c r="BM42" s="1"/>
    </row>
    <row r="43" customFormat="false" ht="34.5" hidden="false" customHeight="true" outlineLevel="0" collapsed="false">
      <c r="A43" s="175"/>
      <c r="B43" s="194"/>
      <c r="C43" s="177"/>
      <c r="D43" s="177"/>
      <c r="E43" s="177"/>
      <c r="F43" s="177"/>
      <c r="G43" s="180"/>
      <c r="H43" s="180"/>
      <c r="I43" s="180"/>
      <c r="J43" s="180"/>
      <c r="K43" s="180"/>
      <c r="L43" s="180"/>
      <c r="M43" s="180"/>
      <c r="N43" s="180"/>
      <c r="O43" s="181"/>
      <c r="P43" s="181"/>
      <c r="Q43" s="185"/>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customFormat="false" ht="33.75" hidden="false" customHeight="true" outlineLevel="0" collapsed="false">
      <c r="A44" s="175"/>
      <c r="B44" s="194"/>
      <c r="C44" s="177" t="s">
        <v>480</v>
      </c>
      <c r="D44" s="178" t="n">
        <v>1</v>
      </c>
      <c r="E44" s="179" t="str">
        <f aca="false">IFERROR(__xludf.dummyfunction("IF(M_ID_GO_2=0,""Inexistente"",SINGLE(INDEX(Cumplimiento,ROUNDDOWN(M_ID_GO_2,0)))&amp;IF(M_ID_GO_2-ROUNDDOWN(M_ID_GO_2,0)&lt;0.5,"""","" con tendencia a ""&amp;SINGLE(INDEX(Cumplimiento,ROUNDDOWN(M_ID_GO_2,0)+1))))"),"#NAME?")</f>
        <v>#NAME?</v>
      </c>
      <c r="F44" s="178"/>
      <c r="G44" s="180"/>
      <c r="H44" s="180"/>
      <c r="I44" s="180"/>
      <c r="J44" s="180"/>
      <c r="K44" s="180"/>
      <c r="L44" s="180"/>
      <c r="M44" s="180"/>
      <c r="N44" s="180"/>
      <c r="O44" s="181"/>
      <c r="P44" s="182"/>
      <c r="Q44" s="185"/>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customFormat="false" ht="35.25" hidden="false" customHeight="true" outlineLevel="0" collapsed="false">
      <c r="A45" s="175"/>
      <c r="B45" s="194"/>
      <c r="C45" s="194"/>
      <c r="D45" s="194"/>
      <c r="E45" s="194"/>
      <c r="F45" s="194"/>
      <c r="G45" s="180"/>
      <c r="H45" s="180"/>
      <c r="I45" s="186"/>
      <c r="J45" s="186"/>
      <c r="K45" s="186"/>
      <c r="L45" s="186"/>
      <c r="M45" s="180"/>
      <c r="N45" s="180"/>
      <c r="O45" s="187"/>
      <c r="P45" s="188"/>
      <c r="Q45" s="185"/>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customFormat="false" ht="32.25" hidden="false" customHeight="true" outlineLevel="0" collapsed="false">
      <c r="A46" s="175"/>
      <c r="B46" s="194"/>
      <c r="C46" s="177"/>
      <c r="D46" s="177"/>
      <c r="E46" s="177"/>
      <c r="F46" s="177"/>
      <c r="G46" s="180"/>
      <c r="H46" s="180"/>
      <c r="I46" s="180"/>
      <c r="J46" s="189"/>
      <c r="K46" s="189"/>
      <c r="L46" s="189"/>
      <c r="M46" s="189"/>
      <c r="N46" s="189"/>
      <c r="O46" s="189"/>
      <c r="P46" s="189"/>
      <c r="Q46" s="185"/>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customFormat="false" ht="32.25" hidden="false" customHeight="true" outlineLevel="0" collapsed="false">
      <c r="A47" s="175"/>
      <c r="B47" s="194"/>
      <c r="C47" s="177" t="s">
        <v>298</v>
      </c>
      <c r="D47" s="178" t="n">
        <v>1</v>
      </c>
      <c r="E47" s="179" t="str">
        <f aca="false">IFERROR(__xludf.dummyfunction("IF(M_ID_GO_3=0,""Inexistente"",SINGLE(INDEX(Cumplimiento,ROUNDDOWN(M_ID_GO_3,0)))&amp;IF(M_ID_GO_3-ROUNDDOWN(M_ID_GO_3,0)&lt;0.5,"""","" con tendencia a ""&amp;SINGLE(INDEX(Cumplimiento,ROUNDDOWN(M_ID_GO_3,0)+1))))"),"#NAME?")</f>
        <v>#NAME?</v>
      </c>
      <c r="F47" s="178"/>
      <c r="G47" s="180"/>
      <c r="H47" s="180"/>
      <c r="I47" s="180"/>
      <c r="J47" s="189"/>
      <c r="K47" s="189"/>
      <c r="L47" s="189"/>
      <c r="M47" s="189"/>
      <c r="N47" s="189"/>
      <c r="O47" s="189"/>
      <c r="P47" s="189"/>
      <c r="Q47" s="185"/>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customFormat="false" ht="32.25" hidden="false" customHeight="true" outlineLevel="0" collapsed="false">
      <c r="A48" s="175"/>
      <c r="B48" s="194"/>
      <c r="C48" s="194"/>
      <c r="D48" s="194"/>
      <c r="E48" s="194"/>
      <c r="F48" s="194"/>
      <c r="G48" s="180"/>
      <c r="H48" s="180"/>
      <c r="I48" s="180"/>
      <c r="J48" s="189"/>
      <c r="K48" s="189"/>
      <c r="L48" s="189"/>
      <c r="M48" s="189"/>
      <c r="N48" s="189"/>
      <c r="O48" s="189"/>
      <c r="P48" s="189"/>
      <c r="Q48" s="185"/>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customFormat="false" ht="32.25" hidden="false" customHeight="true" outlineLevel="0" collapsed="false">
      <c r="A49" s="175"/>
      <c r="B49" s="194"/>
      <c r="C49" s="177"/>
      <c r="D49" s="177"/>
      <c r="E49" s="177"/>
      <c r="F49" s="177"/>
      <c r="G49" s="180"/>
      <c r="H49" s="180"/>
      <c r="I49" s="180"/>
      <c r="J49" s="189"/>
      <c r="K49" s="189"/>
      <c r="L49" s="189"/>
      <c r="M49" s="189"/>
      <c r="N49" s="189"/>
      <c r="O49" s="189"/>
      <c r="P49" s="189"/>
      <c r="Q49" s="185"/>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customFormat="false" ht="39.75" hidden="false" customHeight="true" outlineLevel="0" collapsed="false">
      <c r="A50" s="175"/>
      <c r="B50" s="194"/>
      <c r="C50" s="177" t="s">
        <v>481</v>
      </c>
      <c r="D50" s="178" t="n">
        <v>4</v>
      </c>
      <c r="E50" s="179" t="str">
        <f aca="false">IFERROR(__xludf.dummyfunction("IF(M_ID_GO_4=0,""Inexistente"",SINGLE(INDEX(Cumplimiento,ROUNDDOWN(M_ID_GO_4,0)))&amp;IF(M_ID_GO_4-ROUNDDOWN(M_ID_GO_4,0)&lt;0.5,"""","" con tendencia a ""&amp;SINGLE(INDEX(Cumplimiento,ROUNDDOWN(M_ID_GO_4,0)+1))))"),"#NAME?")</f>
        <v>#NAME?</v>
      </c>
      <c r="F50" s="178"/>
      <c r="G50" s="180"/>
      <c r="H50" s="180"/>
      <c r="I50" s="180"/>
      <c r="J50" s="180"/>
      <c r="K50" s="180"/>
      <c r="L50" s="180"/>
      <c r="M50" s="180"/>
      <c r="N50" s="180"/>
      <c r="O50" s="181"/>
      <c r="P50" s="182"/>
      <c r="Q50" s="185"/>
      <c r="BM50" s="1"/>
    </row>
    <row r="51" customFormat="false" ht="35.25" hidden="false" customHeight="true" outlineLevel="0" collapsed="false">
      <c r="A51" s="175"/>
      <c r="B51" s="194"/>
      <c r="C51" s="194"/>
      <c r="D51" s="194"/>
      <c r="E51" s="194"/>
      <c r="F51" s="194"/>
      <c r="G51" s="180"/>
      <c r="H51" s="180"/>
      <c r="I51" s="180"/>
      <c r="J51" s="180"/>
      <c r="K51" s="180"/>
      <c r="L51" s="180"/>
      <c r="M51" s="180"/>
      <c r="N51" s="180"/>
      <c r="O51" s="181"/>
      <c r="P51" s="182"/>
      <c r="Q51" s="185"/>
      <c r="BM51" s="1"/>
    </row>
    <row r="52" customFormat="false" ht="34.5" hidden="false" customHeight="true" outlineLevel="0" collapsed="false">
      <c r="A52" s="175"/>
      <c r="B52" s="194"/>
      <c r="C52" s="177"/>
      <c r="D52" s="177"/>
      <c r="E52" s="177"/>
      <c r="F52" s="177"/>
      <c r="G52" s="180"/>
      <c r="H52" s="180"/>
      <c r="I52" s="180"/>
      <c r="J52" s="180"/>
      <c r="K52" s="180"/>
      <c r="L52" s="180"/>
      <c r="M52" s="180"/>
      <c r="N52" s="180"/>
      <c r="O52" s="181"/>
      <c r="P52" s="181"/>
      <c r="Q52" s="185"/>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customFormat="false" ht="39.75" hidden="false" customHeight="true" outlineLevel="0" collapsed="false">
      <c r="A53" s="175"/>
      <c r="B53" s="176" t="s">
        <v>482</v>
      </c>
      <c r="C53" s="177" t="s">
        <v>301</v>
      </c>
      <c r="D53" s="178" t="n">
        <v>2</v>
      </c>
      <c r="E53" s="179" t="str">
        <f aca="false">IFERROR(__xludf.dummyfunction("IF(M_ID_ER_1=0,""Inexistente"",SINGLE(INDEX(Cumplimiento,ROUNDDOWN(M_ID_ER_1,0)))&amp;IF(M_ID_ER_1-ROUNDDOWN(M_ID_ER_1,0)&lt;0.5,"""","" con tendencia a ""&amp;SINGLE(INDEX(Cumplimiento,ROUNDDOWN(M_ID_ER_1,0)+1))))"),"#NAME?")</f>
        <v>#NAME?</v>
      </c>
      <c r="F53" s="178"/>
      <c r="G53" s="180"/>
      <c r="H53" s="180"/>
      <c r="I53" s="180"/>
      <c r="J53" s="180"/>
      <c r="K53" s="180"/>
      <c r="L53" s="180"/>
      <c r="M53" s="180"/>
      <c r="N53" s="180"/>
      <c r="O53" s="181"/>
      <c r="P53" s="182"/>
      <c r="Q53" s="185"/>
      <c r="BM53" s="1"/>
    </row>
    <row r="54" customFormat="false" ht="35.25" hidden="false" customHeight="true" outlineLevel="0" collapsed="false">
      <c r="A54" s="175"/>
      <c r="B54" s="176"/>
      <c r="C54" s="176"/>
      <c r="D54" s="176"/>
      <c r="E54" s="176"/>
      <c r="F54" s="176"/>
      <c r="G54" s="180"/>
      <c r="H54" s="180"/>
      <c r="I54" s="180"/>
      <c r="J54" s="180"/>
      <c r="K54" s="180"/>
      <c r="L54" s="180"/>
      <c r="M54" s="180"/>
      <c r="N54" s="180"/>
      <c r="O54" s="181"/>
      <c r="P54" s="182"/>
      <c r="Q54" s="185"/>
      <c r="BM54" s="1"/>
    </row>
    <row r="55" customFormat="false" ht="34.5" hidden="false" customHeight="true" outlineLevel="0" collapsed="false">
      <c r="A55" s="175"/>
      <c r="B55" s="176"/>
      <c r="C55" s="177"/>
      <c r="D55" s="177"/>
      <c r="E55" s="177"/>
      <c r="F55" s="177"/>
      <c r="G55" s="180"/>
      <c r="H55" s="180"/>
      <c r="I55" s="180"/>
      <c r="J55" s="180"/>
      <c r="K55" s="180"/>
      <c r="L55" s="180"/>
      <c r="M55" s="180"/>
      <c r="N55" s="180"/>
      <c r="O55" s="181"/>
      <c r="P55" s="181"/>
      <c r="Q55" s="185"/>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customFormat="false" ht="33.75" hidden="false" customHeight="true" outlineLevel="0" collapsed="false">
      <c r="A56" s="175"/>
      <c r="B56" s="176"/>
      <c r="C56" s="177" t="s">
        <v>483</v>
      </c>
      <c r="D56" s="178" t="n">
        <v>2</v>
      </c>
      <c r="E56" s="179" t="str">
        <f aca="false">IFERROR(__xludf.dummyfunction("IF(M_ID_ER_2=0,""Inexistente"",SINGLE(INDEX(Cumplimiento,ROUNDDOWN(M_ID_ER_2,0)))&amp;IF(M_ID_ER_2-ROUNDDOWN(M_ID_ER_2,0)&lt;0.5,"""","" con tendencia a ""&amp;SINGLE(INDEX(Cumplimiento,ROUNDDOWN(M_ID_ER_2,0)+1))))"),"#NAME?")</f>
        <v>#NAME?</v>
      </c>
      <c r="F56" s="178"/>
      <c r="G56" s="180"/>
      <c r="H56" s="180"/>
      <c r="I56" s="180"/>
      <c r="J56" s="180"/>
      <c r="K56" s="180"/>
      <c r="L56" s="180"/>
      <c r="M56" s="180"/>
      <c r="N56" s="180"/>
      <c r="O56" s="181"/>
      <c r="P56" s="182"/>
      <c r="Q56" s="185"/>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customFormat="false" ht="35.25" hidden="false" customHeight="true" outlineLevel="0" collapsed="false">
      <c r="A57" s="175"/>
      <c r="B57" s="176"/>
      <c r="C57" s="176"/>
      <c r="D57" s="176"/>
      <c r="E57" s="176"/>
      <c r="F57" s="176"/>
      <c r="G57" s="180"/>
      <c r="H57" s="180"/>
      <c r="I57" s="186"/>
      <c r="J57" s="186"/>
      <c r="K57" s="186"/>
      <c r="L57" s="186"/>
      <c r="M57" s="180"/>
      <c r="N57" s="180"/>
      <c r="O57" s="187"/>
      <c r="P57" s="188"/>
      <c r="Q57" s="185"/>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customFormat="false" ht="32.25" hidden="false" customHeight="true" outlineLevel="0" collapsed="false">
      <c r="A58" s="175"/>
      <c r="B58" s="176"/>
      <c r="C58" s="177"/>
      <c r="D58" s="177"/>
      <c r="E58" s="177"/>
      <c r="F58" s="177"/>
      <c r="G58" s="180"/>
      <c r="H58" s="180"/>
      <c r="I58" s="180"/>
      <c r="J58" s="189"/>
      <c r="K58" s="189"/>
      <c r="L58" s="189"/>
      <c r="M58" s="189"/>
      <c r="N58" s="189"/>
      <c r="O58" s="189"/>
      <c r="P58" s="189"/>
      <c r="Q58" s="185"/>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customFormat="false" ht="39.75" hidden="false" customHeight="true" outlineLevel="0" collapsed="false">
      <c r="A59" s="175"/>
      <c r="B59" s="176"/>
      <c r="C59" s="177" t="s">
        <v>484</v>
      </c>
      <c r="D59" s="178" t="n">
        <v>1</v>
      </c>
      <c r="E59" s="179" t="str">
        <f aca="false">IFERROR(__xludf.dummyfunction("IF(M_ID_ER_3=0,""Inexistente"",SINGLE(INDEX(Cumplimiento,ROUNDDOWN(M_ID_ER_3,0)))&amp;IF(M_ID_ER_3-ROUNDDOWN(M_ID_ER_3,0)&lt;0.5,"""","" con tendencia a ""&amp;SINGLE(INDEX(Cumplimiento,ROUNDDOWN(M_ID_ER_3,0)+1))))"),"#NAME?")</f>
        <v>#NAME?</v>
      </c>
      <c r="F59" s="178"/>
      <c r="G59" s="180"/>
      <c r="H59" s="180"/>
      <c r="I59" s="180"/>
      <c r="J59" s="180"/>
      <c r="K59" s="180"/>
      <c r="L59" s="180"/>
      <c r="M59" s="180"/>
      <c r="N59" s="180"/>
      <c r="O59" s="181"/>
      <c r="P59" s="182"/>
      <c r="Q59" s="185"/>
      <c r="BM59" s="1"/>
    </row>
    <row r="60" customFormat="false" ht="35.25" hidden="false" customHeight="true" outlineLevel="0" collapsed="false">
      <c r="A60" s="175"/>
      <c r="B60" s="176"/>
      <c r="C60" s="176"/>
      <c r="D60" s="176"/>
      <c r="E60" s="176"/>
      <c r="F60" s="176"/>
      <c r="G60" s="180"/>
      <c r="H60" s="180"/>
      <c r="I60" s="180"/>
      <c r="J60" s="180"/>
      <c r="K60" s="180"/>
      <c r="L60" s="180"/>
      <c r="M60" s="180"/>
      <c r="N60" s="180"/>
      <c r="O60" s="181"/>
      <c r="P60" s="182"/>
      <c r="Q60" s="185"/>
      <c r="BM60" s="1"/>
    </row>
    <row r="61" customFormat="false" ht="34.5" hidden="false" customHeight="true" outlineLevel="0" collapsed="false">
      <c r="A61" s="175"/>
      <c r="B61" s="176"/>
      <c r="C61" s="177"/>
      <c r="D61" s="177"/>
      <c r="E61" s="177"/>
      <c r="F61" s="177"/>
      <c r="G61" s="180"/>
      <c r="H61" s="180"/>
      <c r="I61" s="180"/>
      <c r="J61" s="180"/>
      <c r="K61" s="180"/>
      <c r="L61" s="180"/>
      <c r="M61" s="180"/>
      <c r="N61" s="180"/>
      <c r="O61" s="181"/>
      <c r="P61" s="181"/>
      <c r="Q61" s="185"/>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customFormat="false" ht="34.5" hidden="false" customHeight="true" outlineLevel="0" collapsed="false">
      <c r="A62" s="175"/>
      <c r="B62" s="176"/>
      <c r="C62" s="177" t="s">
        <v>485</v>
      </c>
      <c r="D62" s="178" t="n">
        <v>1</v>
      </c>
      <c r="E62" s="179" t="str">
        <f aca="false">IFERROR(__xludf.dummyfunction("IF(M_ID_ER_4=0,""Inexistente"",SINGLE(INDEX(Cumplimiento,ROUNDDOWN(M_ID_ER_4,0)))&amp;IF(M_ID_ER_4-ROUNDDOWN(M_ID_ER_4,0)&lt;0.5,"""","" con tendencia a ""&amp;SINGLE(INDEX(Cumplimiento,ROUNDDOWN(M_ID_ER_4,0)+1))))"),"#NAME?")</f>
        <v>#NAME?</v>
      </c>
      <c r="F62" s="178"/>
      <c r="G62" s="180"/>
      <c r="H62" s="180"/>
      <c r="I62" s="180"/>
      <c r="J62" s="180"/>
      <c r="K62" s="180"/>
      <c r="L62" s="180"/>
      <c r="M62" s="180"/>
      <c r="N62" s="180"/>
      <c r="O62" s="181"/>
      <c r="P62" s="181"/>
      <c r="Q62" s="185"/>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customFormat="false" ht="34.5" hidden="false" customHeight="true" outlineLevel="0" collapsed="false">
      <c r="A63" s="175"/>
      <c r="B63" s="176"/>
      <c r="C63" s="176"/>
      <c r="D63" s="176"/>
      <c r="E63" s="176"/>
      <c r="F63" s="176"/>
      <c r="G63" s="180"/>
      <c r="H63" s="180"/>
      <c r="I63" s="180"/>
      <c r="J63" s="180"/>
      <c r="K63" s="180"/>
      <c r="L63" s="180"/>
      <c r="M63" s="180"/>
      <c r="N63" s="180"/>
      <c r="O63" s="181"/>
      <c r="P63" s="181"/>
      <c r="Q63" s="185"/>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customFormat="false" ht="34.5" hidden="false" customHeight="true" outlineLevel="0" collapsed="false">
      <c r="A64" s="175"/>
      <c r="B64" s="176"/>
      <c r="C64" s="177"/>
      <c r="D64" s="177"/>
      <c r="E64" s="177"/>
      <c r="F64" s="177"/>
      <c r="G64" s="180"/>
      <c r="H64" s="180"/>
      <c r="I64" s="180"/>
      <c r="J64" s="180"/>
      <c r="K64" s="180"/>
      <c r="L64" s="180"/>
      <c r="M64" s="180"/>
      <c r="N64" s="180"/>
      <c r="O64" s="181"/>
      <c r="P64" s="181"/>
      <c r="Q64" s="185"/>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customFormat="false" ht="34.5" hidden="false" customHeight="true" outlineLevel="0" collapsed="false">
      <c r="A65" s="175"/>
      <c r="B65" s="176"/>
      <c r="C65" s="177" t="s">
        <v>486</v>
      </c>
      <c r="D65" s="178" t="n">
        <v>1</v>
      </c>
      <c r="E65" s="179" t="str">
        <f aca="false">IFERROR(__xludf.dummyfunction("IF(M_ID_ER_5=0,""Inexistente"",SINGLE(INDEX(Cumplimiento,ROUNDDOWN(M_ID_ER_5,0)))&amp;IF(M_ID_ER_5-ROUNDDOWN(M_ID_ER_5,0)&lt;0.5,"""","" con tendencia a ""&amp;SINGLE(INDEX(Cumplimiento,ROUNDDOWN(M_ID_ER_5,0)+1))))"),"#NAME?")</f>
        <v>#NAME?</v>
      </c>
      <c r="F65" s="178"/>
      <c r="G65" s="180"/>
      <c r="H65" s="180"/>
      <c r="I65" s="180"/>
      <c r="J65" s="180"/>
      <c r="K65" s="180"/>
      <c r="L65" s="180"/>
      <c r="M65" s="180"/>
      <c r="N65" s="180"/>
      <c r="O65" s="181"/>
      <c r="P65" s="181"/>
      <c r="Q65" s="185"/>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customFormat="false" ht="34.5" hidden="false" customHeight="true" outlineLevel="0" collapsed="false">
      <c r="A66" s="175"/>
      <c r="B66" s="176"/>
      <c r="C66" s="176"/>
      <c r="D66" s="176"/>
      <c r="E66" s="176"/>
      <c r="F66" s="176"/>
      <c r="G66" s="180"/>
      <c r="H66" s="180"/>
      <c r="I66" s="180"/>
      <c r="J66" s="180"/>
      <c r="K66" s="180"/>
      <c r="L66" s="180"/>
      <c r="M66" s="180"/>
      <c r="N66" s="180"/>
      <c r="O66" s="181"/>
      <c r="P66" s="181"/>
      <c r="Q66" s="185"/>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customFormat="false" ht="34.5" hidden="false" customHeight="true" outlineLevel="0" collapsed="false">
      <c r="A67" s="175"/>
      <c r="B67" s="176"/>
      <c r="C67" s="177"/>
      <c r="D67" s="177"/>
      <c r="E67" s="177"/>
      <c r="F67" s="177"/>
      <c r="G67" s="180"/>
      <c r="H67" s="180"/>
      <c r="I67" s="180"/>
      <c r="J67" s="180"/>
      <c r="K67" s="180"/>
      <c r="L67" s="180"/>
      <c r="M67" s="180"/>
      <c r="N67" s="180"/>
      <c r="O67" s="181"/>
      <c r="P67" s="181"/>
      <c r="Q67" s="185"/>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row>
    <row r="68" customFormat="false" ht="39.75" hidden="false" customHeight="true" outlineLevel="0" collapsed="false">
      <c r="A68" s="175"/>
      <c r="B68" s="176"/>
      <c r="C68" s="177" t="s">
        <v>487</v>
      </c>
      <c r="D68" s="178" t="n">
        <v>1</v>
      </c>
      <c r="E68" s="179" t="str">
        <f aca="false">IFERROR(__xludf.dummyfunction("IF(M_ID_ER_6=0,""Inexistente"",SINGLE(INDEX(Cumplimiento,ROUNDDOWN(M_ID_ER_6,0)))&amp;IF(M_ID_ER_6-ROUNDDOWN(M_ID_ER_6,0)&lt;0.5,"""","" con tendencia a ""&amp;SINGLE(INDEX(Cumplimiento,ROUNDDOWN(M_ID_ER_6,0)+1))))"),"#NAME?")</f>
        <v>#NAME?</v>
      </c>
      <c r="F68" s="178"/>
      <c r="G68" s="180"/>
      <c r="H68" s="180"/>
      <c r="I68" s="180"/>
      <c r="J68" s="180"/>
      <c r="K68" s="180"/>
      <c r="L68" s="180"/>
      <c r="M68" s="180"/>
      <c r="N68" s="180"/>
      <c r="O68" s="181"/>
      <c r="P68" s="182"/>
      <c r="Q68" s="185"/>
      <c r="BM68" s="1"/>
    </row>
    <row r="69" customFormat="false" ht="35.25" hidden="false" customHeight="true" outlineLevel="0" collapsed="false">
      <c r="A69" s="175"/>
      <c r="B69" s="176"/>
      <c r="C69" s="176"/>
      <c r="D69" s="176"/>
      <c r="E69" s="176"/>
      <c r="F69" s="176"/>
      <c r="G69" s="180"/>
      <c r="H69" s="180"/>
      <c r="I69" s="180"/>
      <c r="J69" s="180"/>
      <c r="K69" s="180"/>
      <c r="L69" s="180"/>
      <c r="M69" s="180"/>
      <c r="N69" s="180"/>
      <c r="O69" s="181"/>
      <c r="P69" s="182"/>
      <c r="Q69" s="185"/>
      <c r="BM69" s="1"/>
    </row>
    <row r="70" customFormat="false" ht="34.5" hidden="false" customHeight="true" outlineLevel="0" collapsed="false">
      <c r="A70" s="175"/>
      <c r="B70" s="176"/>
      <c r="C70" s="176"/>
      <c r="D70" s="176"/>
      <c r="E70" s="176"/>
      <c r="F70" s="176"/>
      <c r="G70" s="180"/>
      <c r="H70" s="180"/>
      <c r="I70" s="180"/>
      <c r="J70" s="180"/>
      <c r="K70" s="180"/>
      <c r="L70" s="180"/>
      <c r="M70" s="180"/>
      <c r="N70" s="180"/>
      <c r="O70" s="181"/>
      <c r="P70" s="181"/>
      <c r="Q70" s="185"/>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row>
    <row r="71" customFormat="false" ht="39.75" hidden="false" customHeight="true" outlineLevel="0" collapsed="false">
      <c r="A71" s="175"/>
      <c r="B71" s="176" t="s">
        <v>488</v>
      </c>
      <c r="C71" s="177" t="s">
        <v>489</v>
      </c>
      <c r="D71" s="178" t="n">
        <v>4</v>
      </c>
      <c r="E71" s="179" t="str">
        <f aca="false">IFERROR(__xludf.dummyfunction("IF(M_ID_GR_1=0,""Inexistente"",SINGLE(INDEX(Cumplimiento,ROUNDDOWN(M_ID_GR_1,0)))&amp;IF(M_ID_GR_1-ROUNDDOWN(M_ID_GR_1,0)&lt;0.5,"""","" con tendencia a ""&amp;SINGLE(INDEX(Cumplimiento,ROUNDDOWN(M_ID_GR_1,0)+1))))"),"#NAME?")</f>
        <v>#NAME?</v>
      </c>
      <c r="F71" s="178"/>
      <c r="G71" s="180"/>
      <c r="H71" s="180"/>
      <c r="I71" s="180"/>
      <c r="J71" s="180"/>
      <c r="K71" s="180"/>
      <c r="L71" s="180"/>
      <c r="M71" s="180"/>
      <c r="N71" s="180"/>
      <c r="O71" s="181"/>
      <c r="P71" s="182"/>
      <c r="Q71" s="185"/>
      <c r="BM71" s="1"/>
    </row>
    <row r="72" customFormat="false" ht="35.25" hidden="false" customHeight="true" outlineLevel="0" collapsed="false">
      <c r="A72" s="175"/>
      <c r="B72" s="176"/>
      <c r="C72" s="176"/>
      <c r="D72" s="176"/>
      <c r="E72" s="176"/>
      <c r="F72" s="176"/>
      <c r="G72" s="180"/>
      <c r="H72" s="180"/>
      <c r="I72" s="180"/>
      <c r="J72" s="180"/>
      <c r="K72" s="180"/>
      <c r="L72" s="180"/>
      <c r="M72" s="180"/>
      <c r="N72" s="180"/>
      <c r="O72" s="181"/>
      <c r="P72" s="182"/>
      <c r="Q72" s="185"/>
      <c r="BM72" s="1"/>
    </row>
    <row r="73" customFormat="false" ht="34.5" hidden="false" customHeight="true" outlineLevel="0" collapsed="false">
      <c r="A73" s="175"/>
      <c r="B73" s="176"/>
      <c r="C73" s="177"/>
      <c r="D73" s="177"/>
      <c r="E73" s="177"/>
      <c r="F73" s="177"/>
      <c r="G73" s="180"/>
      <c r="H73" s="180"/>
      <c r="I73" s="180"/>
      <c r="J73" s="180"/>
      <c r="K73" s="180"/>
      <c r="L73" s="180"/>
      <c r="M73" s="180"/>
      <c r="N73" s="180"/>
      <c r="O73" s="181"/>
      <c r="P73" s="181"/>
      <c r="Q73" s="185"/>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row>
    <row r="74" customFormat="false" ht="39.75" hidden="false" customHeight="true" outlineLevel="0" collapsed="false">
      <c r="A74" s="175"/>
      <c r="B74" s="176"/>
      <c r="C74" s="177" t="s">
        <v>490</v>
      </c>
      <c r="D74" s="178" t="n">
        <v>4</v>
      </c>
      <c r="E74" s="179" t="str">
        <f aca="false">IFERROR(__xludf.dummyfunction("IF(M_ID_GR_2=0,""Inexistente"",SINGLE(INDEX(Cumplimiento,ROUNDDOWN(M_ID_GR_2,0)))&amp;IF(M_ID_GR_2-ROUNDDOWN(M_ID_GR_2,0)&lt;0.5,"""","" con tendencia a ""&amp;SINGLE(INDEX(Cumplimiento,ROUNDDOWN(M_ID_GR_2,0)+1))))"),"#NAME?")</f>
        <v>#NAME?</v>
      </c>
      <c r="F74" s="178"/>
      <c r="G74" s="180"/>
      <c r="H74" s="180"/>
      <c r="I74" s="180"/>
      <c r="J74" s="180"/>
      <c r="K74" s="180"/>
      <c r="L74" s="180"/>
      <c r="M74" s="180"/>
      <c r="N74" s="180"/>
      <c r="O74" s="181"/>
      <c r="P74" s="182"/>
      <c r="Q74" s="185"/>
      <c r="BM74" s="1"/>
    </row>
    <row r="75" customFormat="false" ht="35.25" hidden="false" customHeight="true" outlineLevel="0" collapsed="false">
      <c r="A75" s="175"/>
      <c r="B75" s="176"/>
      <c r="C75" s="176"/>
      <c r="D75" s="176"/>
      <c r="E75" s="176"/>
      <c r="F75" s="176"/>
      <c r="G75" s="180"/>
      <c r="H75" s="180"/>
      <c r="I75" s="180"/>
      <c r="J75" s="180"/>
      <c r="K75" s="180"/>
      <c r="L75" s="180"/>
      <c r="M75" s="180"/>
      <c r="N75" s="180"/>
      <c r="O75" s="181"/>
      <c r="P75" s="182"/>
      <c r="Q75" s="185"/>
      <c r="BM75" s="1"/>
    </row>
    <row r="76" customFormat="false" ht="34.5" hidden="false" customHeight="true" outlineLevel="0" collapsed="false">
      <c r="A76" s="175"/>
      <c r="B76" s="176"/>
      <c r="C76" s="177"/>
      <c r="D76" s="177"/>
      <c r="E76" s="177"/>
      <c r="F76" s="177"/>
      <c r="G76" s="180"/>
      <c r="H76" s="180"/>
      <c r="I76" s="180"/>
      <c r="J76" s="180"/>
      <c r="K76" s="180"/>
      <c r="L76" s="180"/>
      <c r="M76" s="180"/>
      <c r="N76" s="180"/>
      <c r="O76" s="181"/>
      <c r="P76" s="181"/>
      <c r="Q76" s="185"/>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row>
    <row r="77" customFormat="false" ht="39.75" hidden="false" customHeight="true" outlineLevel="0" collapsed="false">
      <c r="A77" s="175"/>
      <c r="B77" s="176"/>
      <c r="C77" s="177" t="s">
        <v>491</v>
      </c>
      <c r="D77" s="178" t="n">
        <v>4</v>
      </c>
      <c r="E77" s="179" t="str">
        <f aca="false">IFERROR(__xludf.dummyfunction("IF(M_ID_GR_3=0,""Inexistente"",SINGLE(INDEX(Cumplimiento,ROUNDDOWN(M_ID_GR_3,0)))&amp;IF(M_ID_GR_3-ROUNDDOWN(M_ID_GR_3,0)&lt;0.5,"""","" con tendencia a ""&amp;SINGLE(INDEX(Cumplimiento,ROUNDDOWN(M_ID_GR_3,0)+1))))"),"#NAME?")</f>
        <v>#NAME?</v>
      </c>
      <c r="F77" s="178"/>
      <c r="G77" s="180"/>
      <c r="H77" s="180"/>
      <c r="I77" s="180"/>
      <c r="J77" s="180"/>
      <c r="K77" s="180"/>
      <c r="L77" s="180"/>
      <c r="M77" s="180"/>
      <c r="N77" s="180"/>
      <c r="O77" s="181"/>
      <c r="P77" s="182"/>
      <c r="Q77" s="185"/>
      <c r="BM77" s="1"/>
    </row>
    <row r="78" customFormat="false" ht="35.25" hidden="false" customHeight="true" outlineLevel="0" collapsed="false">
      <c r="A78" s="175"/>
      <c r="B78" s="176"/>
      <c r="C78" s="176"/>
      <c r="D78" s="176"/>
      <c r="E78" s="176"/>
      <c r="F78" s="176"/>
      <c r="G78" s="180"/>
      <c r="H78" s="180"/>
      <c r="I78" s="180"/>
      <c r="J78" s="180"/>
      <c r="K78" s="180"/>
      <c r="L78" s="180"/>
      <c r="M78" s="180"/>
      <c r="N78" s="180"/>
      <c r="O78" s="181"/>
      <c r="P78" s="182"/>
      <c r="Q78" s="185"/>
      <c r="BM78" s="1"/>
    </row>
    <row r="79" customFormat="false" ht="34.5" hidden="false" customHeight="true" outlineLevel="0" collapsed="false">
      <c r="A79" s="175"/>
      <c r="B79" s="176"/>
      <c r="C79" s="176"/>
      <c r="D79" s="176"/>
      <c r="E79" s="176"/>
      <c r="F79" s="176"/>
      <c r="G79" s="180"/>
      <c r="H79" s="180"/>
      <c r="I79" s="180"/>
      <c r="J79" s="180"/>
      <c r="K79" s="180"/>
      <c r="L79" s="180"/>
      <c r="M79" s="180"/>
      <c r="N79" s="180"/>
      <c r="O79" s="181"/>
      <c r="P79" s="181"/>
      <c r="Q79" s="185"/>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row>
    <row r="80" customFormat="false" ht="39.75" hidden="false" customHeight="true" outlineLevel="0" collapsed="false">
      <c r="A80" s="175"/>
      <c r="B80" s="194" t="s">
        <v>492</v>
      </c>
      <c r="C80" s="177" t="s">
        <v>312</v>
      </c>
      <c r="D80" s="178" t="n">
        <v>1</v>
      </c>
      <c r="E80" s="179" t="str">
        <f aca="false">IFERROR(__xludf.dummyfunction("IF(M_ID_CS_1=0,""Inexistente"",SINGLE(INDEX(Cumplimiento,ROUNDDOWN(M_ID_CS_1,0)))&amp;IF(M_ID_CS_1-ROUNDDOWN(M_ID_CS_1,0)&lt;0.5,"""","" con tendencia a ""&amp;SINGLE(INDEX(Cumplimiento,ROUNDDOWN(M_ID_CS_1,0)+1))))"),"#NAME?")</f>
        <v>#NAME?</v>
      </c>
      <c r="F80" s="178"/>
      <c r="G80" s="180"/>
      <c r="H80" s="180"/>
      <c r="I80" s="180"/>
      <c r="J80" s="180"/>
      <c r="K80" s="180"/>
      <c r="L80" s="180"/>
      <c r="M80" s="180"/>
      <c r="N80" s="180"/>
      <c r="O80" s="181"/>
      <c r="P80" s="181"/>
      <c r="Q80" s="185"/>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row>
    <row r="81" customFormat="false" ht="39.75" hidden="false" customHeight="true" outlineLevel="0" collapsed="false">
      <c r="A81" s="175"/>
      <c r="B81" s="194"/>
      <c r="C81" s="194"/>
      <c r="D81" s="194"/>
      <c r="E81" s="194"/>
      <c r="F81" s="194"/>
      <c r="G81" s="180"/>
      <c r="H81" s="180"/>
      <c r="I81" s="180"/>
      <c r="J81" s="180"/>
      <c r="K81" s="180"/>
      <c r="L81" s="180"/>
      <c r="M81" s="180"/>
      <c r="N81" s="180"/>
      <c r="O81" s="181"/>
      <c r="P81" s="181"/>
      <c r="Q81" s="185"/>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row>
    <row r="82" customFormat="false" ht="39.75" hidden="false" customHeight="true" outlineLevel="0" collapsed="false">
      <c r="A82" s="175"/>
      <c r="B82" s="194"/>
      <c r="C82" s="177"/>
      <c r="D82" s="177"/>
      <c r="E82" s="177"/>
      <c r="F82" s="177"/>
      <c r="G82" s="180"/>
      <c r="H82" s="180"/>
      <c r="I82" s="180"/>
      <c r="J82" s="180"/>
      <c r="K82" s="180"/>
      <c r="L82" s="180"/>
      <c r="M82" s="180"/>
      <c r="N82" s="180"/>
      <c r="O82" s="181"/>
      <c r="P82" s="181"/>
      <c r="Q82" s="185"/>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row>
    <row r="83" customFormat="false" ht="39.75" hidden="false" customHeight="true" outlineLevel="0" collapsed="false">
      <c r="A83" s="175"/>
      <c r="B83" s="194"/>
      <c r="C83" s="177" t="s">
        <v>313</v>
      </c>
      <c r="D83" s="178" t="n">
        <v>1</v>
      </c>
      <c r="E83" s="179" t="str">
        <f aca="false">IFERROR(__xludf.dummyfunction("IF(M_ID_CS_2=0,""Inexistente"",SINGLE(INDEX(Cumplimiento,ROUNDDOWN(M_ID_CS_2,0)))&amp;IF(M_ID_CS_2-ROUNDDOWN(M_ID_CS_2,0)&lt;0.5,"""","" con tendencia a ""&amp;SINGLE(INDEX(Cumplimiento,ROUNDDOWN(M_ID_CS_2,0)+1))))"),"#NAME?")</f>
        <v>#NAME?</v>
      </c>
      <c r="F83" s="178"/>
      <c r="G83" s="180"/>
      <c r="H83" s="180"/>
      <c r="I83" s="180"/>
      <c r="J83" s="180"/>
      <c r="K83" s="180"/>
      <c r="L83" s="180"/>
      <c r="M83" s="180"/>
      <c r="N83" s="180"/>
      <c r="O83" s="181"/>
      <c r="P83" s="181"/>
      <c r="Q83" s="185"/>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row>
    <row r="84" customFormat="false" ht="39.75" hidden="false" customHeight="true" outlineLevel="0" collapsed="false">
      <c r="A84" s="175"/>
      <c r="B84" s="194"/>
      <c r="C84" s="194"/>
      <c r="D84" s="194"/>
      <c r="E84" s="194"/>
      <c r="F84" s="194"/>
      <c r="G84" s="180"/>
      <c r="H84" s="180"/>
      <c r="I84" s="180"/>
      <c r="J84" s="180"/>
      <c r="K84" s="180"/>
      <c r="L84" s="180"/>
      <c r="M84" s="180"/>
      <c r="N84" s="180"/>
      <c r="O84" s="181"/>
      <c r="P84" s="181"/>
      <c r="Q84" s="185"/>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row>
    <row r="85" customFormat="false" ht="39.75" hidden="false" customHeight="true" outlineLevel="0" collapsed="false">
      <c r="A85" s="175"/>
      <c r="B85" s="194"/>
      <c r="C85" s="177"/>
      <c r="D85" s="177"/>
      <c r="E85" s="177"/>
      <c r="F85" s="177"/>
      <c r="G85" s="180"/>
      <c r="H85" s="180"/>
      <c r="I85" s="180"/>
      <c r="J85" s="180"/>
      <c r="K85" s="180"/>
      <c r="L85" s="180"/>
      <c r="M85" s="180"/>
      <c r="N85" s="180"/>
      <c r="O85" s="181"/>
      <c r="P85" s="181"/>
      <c r="Q85" s="185"/>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row>
    <row r="86" customFormat="false" ht="39.75" hidden="false" customHeight="true" outlineLevel="0" collapsed="false">
      <c r="A86" s="175"/>
      <c r="B86" s="194"/>
      <c r="C86" s="177" t="s">
        <v>314</v>
      </c>
      <c r="D86" s="178" t="n">
        <v>1</v>
      </c>
      <c r="E86" s="179" t="str">
        <f aca="false">IFERROR(__xludf.dummyfunction("IF(M_ID_CS_3=0,""Inexistente"",SINGLE(INDEX(Cumplimiento,ROUNDDOWN(M_ID_CS_3,0)))&amp;IF(M_ID_CS_3-ROUNDDOWN(M_ID_CS_3,0)&lt;0.5,"""","" con tendencia a ""&amp;SINGLE(INDEX(Cumplimiento,ROUNDDOWN(M_ID_CS_3,0)+1))))"),"#NAME?")</f>
        <v>#NAME?</v>
      </c>
      <c r="F86" s="178"/>
      <c r="G86" s="180"/>
      <c r="H86" s="180"/>
      <c r="I86" s="180"/>
      <c r="J86" s="180"/>
      <c r="K86" s="180"/>
      <c r="L86" s="180"/>
      <c r="M86" s="180"/>
      <c r="N86" s="180"/>
      <c r="O86" s="181"/>
      <c r="P86" s="181"/>
      <c r="Q86" s="185"/>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row>
    <row r="87" customFormat="false" ht="39.75" hidden="false" customHeight="true" outlineLevel="0" collapsed="false">
      <c r="A87" s="175"/>
      <c r="B87" s="194"/>
      <c r="C87" s="194"/>
      <c r="D87" s="194"/>
      <c r="E87" s="194"/>
      <c r="F87" s="194"/>
      <c r="G87" s="180"/>
      <c r="H87" s="180"/>
      <c r="I87" s="180"/>
      <c r="J87" s="180"/>
      <c r="K87" s="180"/>
      <c r="L87" s="180"/>
      <c r="M87" s="180"/>
      <c r="N87" s="180"/>
      <c r="O87" s="181"/>
      <c r="P87" s="181"/>
      <c r="Q87" s="185"/>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row>
    <row r="88" customFormat="false" ht="39.75" hidden="false" customHeight="true" outlineLevel="0" collapsed="false">
      <c r="A88" s="175"/>
      <c r="B88" s="194"/>
      <c r="C88" s="177"/>
      <c r="D88" s="177"/>
      <c r="E88" s="177"/>
      <c r="F88" s="177"/>
      <c r="G88" s="180"/>
      <c r="H88" s="180"/>
      <c r="I88" s="180"/>
      <c r="J88" s="180"/>
      <c r="K88" s="180"/>
      <c r="L88" s="180"/>
      <c r="M88" s="180"/>
      <c r="N88" s="180"/>
      <c r="O88" s="181"/>
      <c r="P88" s="181"/>
      <c r="Q88" s="185"/>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row>
    <row r="89" customFormat="false" ht="39.75" hidden="false" customHeight="true" outlineLevel="0" collapsed="false">
      <c r="A89" s="175"/>
      <c r="B89" s="194"/>
      <c r="C89" s="177" t="s">
        <v>315</v>
      </c>
      <c r="D89" s="178" t="n">
        <v>1</v>
      </c>
      <c r="E89" s="179" t="str">
        <f aca="false">IFERROR(__xludf.dummyfunction("IF(M_ID_CS_4=0,""Inexistente"",SINGLE(INDEX(Cumplimiento,ROUNDDOWN(M_ID_CS_4,0)))&amp;IF(M_ID_CS_4-ROUNDDOWN(M_ID_CS_4,0)&lt;0.5,"""","" con tendencia a ""&amp;SINGLE(INDEX(Cumplimiento,ROUNDDOWN(M_ID_CS_4,0)+1))))"),"#NAME?")</f>
        <v>#NAME?</v>
      </c>
      <c r="F89" s="178"/>
      <c r="G89" s="180"/>
      <c r="H89" s="180"/>
      <c r="I89" s="180"/>
      <c r="J89" s="180"/>
      <c r="K89" s="180"/>
      <c r="L89" s="180"/>
      <c r="M89" s="180"/>
      <c r="N89" s="180"/>
      <c r="O89" s="181"/>
      <c r="P89" s="181"/>
      <c r="Q89" s="185"/>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row>
    <row r="90" customFormat="false" ht="39.75" hidden="false" customHeight="true" outlineLevel="0" collapsed="false">
      <c r="A90" s="175"/>
      <c r="B90" s="194"/>
      <c r="C90" s="194"/>
      <c r="D90" s="194"/>
      <c r="E90" s="194"/>
      <c r="F90" s="194"/>
      <c r="G90" s="180"/>
      <c r="H90" s="180"/>
      <c r="I90" s="180"/>
      <c r="J90" s="180"/>
      <c r="K90" s="180"/>
      <c r="L90" s="180"/>
      <c r="M90" s="180"/>
      <c r="N90" s="180"/>
      <c r="O90" s="181"/>
      <c r="P90" s="181"/>
      <c r="Q90" s="185"/>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row>
    <row r="91" customFormat="false" ht="39.75" hidden="false" customHeight="true" outlineLevel="0" collapsed="false">
      <c r="A91" s="175"/>
      <c r="B91" s="194"/>
      <c r="C91" s="177"/>
      <c r="D91" s="177"/>
      <c r="E91" s="177"/>
      <c r="F91" s="177"/>
      <c r="G91" s="180"/>
      <c r="H91" s="180"/>
      <c r="I91" s="180"/>
      <c r="J91" s="180"/>
      <c r="K91" s="180"/>
      <c r="L91" s="180"/>
      <c r="M91" s="180"/>
      <c r="N91" s="180"/>
      <c r="O91" s="181"/>
      <c r="P91" s="181"/>
      <c r="Q91" s="185"/>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row>
    <row r="92" customFormat="false" ht="39.75" hidden="false" customHeight="true" outlineLevel="0" collapsed="false">
      <c r="A92" s="175"/>
      <c r="B92" s="194"/>
      <c r="C92" s="177" t="s">
        <v>316</v>
      </c>
      <c r="D92" s="178" t="n">
        <v>1</v>
      </c>
      <c r="E92" s="179" t="str">
        <f aca="false">IFERROR(__xludf.dummyfunction("IF(M_ID_CS_5=0,""Inexistente"",SINGLE(INDEX(Cumplimiento,ROUNDDOWN(M_ID_CS_5,0)))&amp;IF(M_ID_CS_5-ROUNDDOWN(M_ID_CS_5,0)&lt;0.5,"""","" con tendencia a ""&amp;SINGLE(INDEX(Cumplimiento,ROUNDDOWN(M_ID_CS_5,0)+1))))"),"#NAME?")</f>
        <v>#NAME?</v>
      </c>
      <c r="F92" s="178"/>
      <c r="G92" s="180"/>
      <c r="H92" s="180"/>
      <c r="I92" s="180"/>
      <c r="J92" s="180"/>
      <c r="K92" s="180"/>
      <c r="L92" s="180"/>
      <c r="M92" s="180"/>
      <c r="N92" s="180"/>
      <c r="O92" s="181"/>
      <c r="P92" s="181"/>
      <c r="Q92" s="185"/>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row>
    <row r="93" customFormat="false" ht="39.75" hidden="false" customHeight="true" outlineLevel="0" collapsed="false">
      <c r="A93" s="175"/>
      <c r="B93" s="194"/>
      <c r="C93" s="194"/>
      <c r="D93" s="194"/>
      <c r="E93" s="194"/>
      <c r="F93" s="194"/>
      <c r="G93" s="180"/>
      <c r="H93" s="180"/>
      <c r="I93" s="180"/>
      <c r="J93" s="180"/>
      <c r="K93" s="180"/>
      <c r="L93" s="180"/>
      <c r="M93" s="180"/>
      <c r="N93" s="180"/>
      <c r="O93" s="181"/>
      <c r="P93" s="181"/>
      <c r="Q93" s="185"/>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row>
    <row r="94" customFormat="false" ht="39.75" hidden="false" customHeight="true" outlineLevel="0" collapsed="false">
      <c r="A94" s="175"/>
      <c r="B94" s="194"/>
      <c r="C94" s="177"/>
      <c r="D94" s="177"/>
      <c r="E94" s="177"/>
      <c r="F94" s="177"/>
      <c r="G94" s="180"/>
      <c r="H94" s="180"/>
      <c r="I94" s="180"/>
      <c r="J94" s="180"/>
      <c r="K94" s="180"/>
      <c r="L94" s="180"/>
      <c r="M94" s="180"/>
      <c r="N94" s="180"/>
      <c r="O94" s="181"/>
      <c r="P94" s="181"/>
      <c r="Q94" s="185"/>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row>
    <row r="95" customFormat="false" ht="33.75" hidden="false" customHeight="true" outlineLevel="0" collapsed="false">
      <c r="A95" s="195" t="s">
        <v>16</v>
      </c>
      <c r="B95" s="196" t="s">
        <v>493</v>
      </c>
      <c r="C95" s="197" t="s">
        <v>494</v>
      </c>
      <c r="D95" s="178" t="n">
        <v>1</v>
      </c>
      <c r="E95" s="179" t="str">
        <f aca="false">IFERROR(__xludf.dummyfunction("IF(M_PR_CA_1=0,""Inexistente"",SINGLE(INDEX(Cumplimiento,ROUNDDOWN(M_PR_CA_1,0)))&amp;IF(M_PR_CA_1-ROUNDDOWN(M_PR_CA_1,0)&lt;0.5,"""","" con tendencia a ""&amp;SINGLE(INDEX(Cumplimiento,ROUNDDOWN(M_PR_CA_1,0)+1))))"),"#NAME?")</f>
        <v>#NAME?</v>
      </c>
      <c r="F95" s="178"/>
      <c r="G95" s="180"/>
      <c r="H95" s="180"/>
      <c r="I95" s="180"/>
      <c r="J95" s="180"/>
      <c r="K95" s="180"/>
      <c r="L95" s="180"/>
      <c r="M95" s="180"/>
      <c r="N95" s="180"/>
      <c r="O95" s="181"/>
      <c r="P95" s="182"/>
      <c r="Q95" s="185"/>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row>
    <row r="96" customFormat="false" ht="35.25" hidden="false" customHeight="true" outlineLevel="0" collapsed="false">
      <c r="A96" s="195"/>
      <c r="B96" s="196"/>
      <c r="C96" s="196"/>
      <c r="D96" s="196"/>
      <c r="E96" s="196"/>
      <c r="F96" s="196"/>
      <c r="G96" s="180"/>
      <c r="H96" s="180"/>
      <c r="I96" s="186"/>
      <c r="J96" s="186"/>
      <c r="K96" s="186"/>
      <c r="L96" s="186"/>
      <c r="M96" s="180"/>
      <c r="N96" s="180"/>
      <c r="O96" s="187"/>
      <c r="P96" s="188"/>
      <c r="Q96" s="185"/>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row>
    <row r="97" customFormat="false" ht="32.25" hidden="false" customHeight="true" outlineLevel="0" collapsed="false">
      <c r="A97" s="195"/>
      <c r="B97" s="196"/>
      <c r="C97" s="197"/>
      <c r="D97" s="197"/>
      <c r="E97" s="197"/>
      <c r="F97" s="197"/>
      <c r="G97" s="180"/>
      <c r="H97" s="180"/>
      <c r="I97" s="180"/>
      <c r="J97" s="189"/>
      <c r="K97" s="189"/>
      <c r="L97" s="189"/>
      <c r="M97" s="189"/>
      <c r="N97" s="189"/>
      <c r="O97" s="189"/>
      <c r="P97" s="189"/>
      <c r="Q97" s="185"/>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row>
    <row r="98" customFormat="false" ht="39.75" hidden="false" customHeight="true" outlineLevel="0" collapsed="false">
      <c r="A98" s="195"/>
      <c r="B98" s="196"/>
      <c r="C98" s="197" t="s">
        <v>319</v>
      </c>
      <c r="D98" s="178" t="n">
        <v>1</v>
      </c>
      <c r="E98" s="179" t="str">
        <f aca="false">IFERROR(__xludf.dummyfunction("IF(M_PR_CA_2=0,""Inexistente"",SINGLE(INDEX(Cumplimiento,ROUNDDOWN(M_PR_CA_2,0)))&amp;IF(M_PR_CA_2-ROUNDDOWN(M_PR_CA_2,0)&lt;0.5,"""","" con tendencia a ""&amp;SINGLE(INDEX(Cumplimiento,ROUNDDOWN(M_PR_CA_2,0)+1))))"),"#NAME?")</f>
        <v>#NAME?</v>
      </c>
      <c r="F98" s="178"/>
      <c r="G98" s="180"/>
      <c r="H98" s="180"/>
      <c r="I98" s="180"/>
      <c r="J98" s="180"/>
      <c r="K98" s="180"/>
      <c r="L98" s="180"/>
      <c r="M98" s="180"/>
      <c r="N98" s="180"/>
      <c r="O98" s="181"/>
      <c r="P98" s="182"/>
      <c r="Q98" s="185"/>
      <c r="BM98" s="1"/>
    </row>
    <row r="99" customFormat="false" ht="35.25" hidden="false" customHeight="true" outlineLevel="0" collapsed="false">
      <c r="A99" s="195"/>
      <c r="B99" s="196"/>
      <c r="C99" s="196"/>
      <c r="D99" s="196"/>
      <c r="E99" s="196"/>
      <c r="F99" s="196"/>
      <c r="G99" s="180"/>
      <c r="H99" s="180"/>
      <c r="I99" s="180"/>
      <c r="J99" s="180"/>
      <c r="K99" s="180"/>
      <c r="L99" s="180"/>
      <c r="M99" s="180"/>
      <c r="N99" s="180"/>
      <c r="O99" s="181"/>
      <c r="P99" s="182"/>
      <c r="Q99" s="185"/>
      <c r="BM99" s="1"/>
    </row>
    <row r="100" customFormat="false" ht="34.5" hidden="false" customHeight="true" outlineLevel="0" collapsed="false">
      <c r="A100" s="195"/>
      <c r="B100" s="196"/>
      <c r="C100" s="197"/>
      <c r="D100" s="197"/>
      <c r="E100" s="197"/>
      <c r="F100" s="197"/>
      <c r="G100" s="180"/>
      <c r="H100" s="180"/>
      <c r="I100" s="180"/>
      <c r="J100" s="180"/>
      <c r="K100" s="180"/>
      <c r="L100" s="180"/>
      <c r="M100" s="180"/>
      <c r="N100" s="180"/>
      <c r="O100" s="181"/>
      <c r="P100" s="181"/>
      <c r="Q100" s="185"/>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row>
    <row r="101" customFormat="false" ht="34.5" hidden="false" customHeight="true" outlineLevel="0" collapsed="false">
      <c r="A101" s="195"/>
      <c r="B101" s="196"/>
      <c r="C101" s="197" t="s">
        <v>495</v>
      </c>
      <c r="D101" s="178" t="n">
        <v>1</v>
      </c>
      <c r="E101" s="179" t="str">
        <f aca="false">IFERROR(__xludf.dummyfunction("IF(M_PR_CA_3=0,""Inexistente"",SINGLE(INDEX(Cumplimiento,ROUNDDOWN(M_PR_CA_3,0)))&amp;IF(M_PR_CA_3-ROUNDDOWN(M_PR_CA_3,0)&lt;0.5,"""","" con tendencia a ""&amp;SINGLE(INDEX(Cumplimiento,ROUNDDOWN(M_PR_CA_3,0)+1))))"),"#NAME?")</f>
        <v>#NAME?</v>
      </c>
      <c r="F101" s="178"/>
      <c r="G101" s="180"/>
      <c r="H101" s="180"/>
      <c r="I101" s="180"/>
      <c r="J101" s="180"/>
      <c r="K101" s="180"/>
      <c r="L101" s="180"/>
      <c r="M101" s="180"/>
      <c r="N101" s="180"/>
      <c r="O101" s="181"/>
      <c r="P101" s="181"/>
      <c r="Q101" s="185"/>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row>
    <row r="102" customFormat="false" ht="34.5" hidden="false" customHeight="true" outlineLevel="0" collapsed="false">
      <c r="A102" s="195"/>
      <c r="B102" s="196"/>
      <c r="C102" s="196"/>
      <c r="D102" s="196"/>
      <c r="E102" s="196"/>
      <c r="F102" s="196"/>
      <c r="G102" s="180"/>
      <c r="H102" s="180"/>
      <c r="I102" s="180"/>
      <c r="J102" s="180"/>
      <c r="K102" s="180"/>
      <c r="L102" s="180"/>
      <c r="M102" s="180"/>
      <c r="N102" s="180"/>
      <c r="O102" s="181"/>
      <c r="P102" s="181"/>
      <c r="Q102" s="185"/>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row>
    <row r="103" customFormat="false" ht="34.5" hidden="false" customHeight="true" outlineLevel="0" collapsed="false">
      <c r="A103" s="195"/>
      <c r="B103" s="196"/>
      <c r="C103" s="197"/>
      <c r="D103" s="197"/>
      <c r="E103" s="197"/>
      <c r="F103" s="197"/>
      <c r="G103" s="180"/>
      <c r="H103" s="180"/>
      <c r="I103" s="180"/>
      <c r="J103" s="180"/>
      <c r="K103" s="180"/>
      <c r="L103" s="180"/>
      <c r="M103" s="180"/>
      <c r="N103" s="180"/>
      <c r="O103" s="181"/>
      <c r="P103" s="181"/>
      <c r="Q103" s="185"/>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row>
    <row r="104" customFormat="false" ht="39.75" hidden="false" customHeight="true" outlineLevel="0" collapsed="false">
      <c r="A104" s="195"/>
      <c r="B104" s="196"/>
      <c r="C104" s="197" t="s">
        <v>496</v>
      </c>
      <c r="D104" s="178" t="n">
        <v>2</v>
      </c>
      <c r="E104" s="179" t="str">
        <f aca="false">IFERROR(__xludf.dummyfunction("IF(M_PR_CA_4=0,""Inexistente"",SINGLE(INDEX(Cumplimiento,ROUNDDOWN(M_PR_CA_4,0)))&amp;IF(M_PR_CA_4-ROUNDDOWN(M_PR_CA_4,0)&lt;0.5,"""","" con tendencia a ""&amp;SINGLE(INDEX(Cumplimiento,ROUNDDOWN(M_PR_CA_4,0)+1))))"),"#NAME?")</f>
        <v>#NAME?</v>
      </c>
      <c r="F104" s="178"/>
      <c r="G104" s="180"/>
      <c r="H104" s="180"/>
      <c r="I104" s="180"/>
      <c r="J104" s="180"/>
      <c r="K104" s="180"/>
      <c r="L104" s="180"/>
      <c r="M104" s="180"/>
      <c r="N104" s="180"/>
      <c r="O104" s="181"/>
      <c r="P104" s="182"/>
      <c r="Q104" s="185"/>
      <c r="BM104" s="1"/>
    </row>
    <row r="105" customFormat="false" ht="35.25" hidden="false" customHeight="true" outlineLevel="0" collapsed="false">
      <c r="A105" s="195"/>
      <c r="B105" s="196"/>
      <c r="C105" s="196"/>
      <c r="D105" s="196"/>
      <c r="E105" s="196"/>
      <c r="F105" s="196"/>
      <c r="G105" s="180"/>
      <c r="H105" s="180"/>
      <c r="I105" s="180"/>
      <c r="J105" s="180"/>
      <c r="K105" s="180"/>
      <c r="L105" s="180"/>
      <c r="M105" s="180"/>
      <c r="N105" s="180"/>
      <c r="O105" s="181"/>
      <c r="P105" s="182"/>
      <c r="Q105" s="185"/>
      <c r="BM105" s="1"/>
    </row>
    <row r="106" customFormat="false" ht="34.5" hidden="false" customHeight="true" outlineLevel="0" collapsed="false">
      <c r="A106" s="195"/>
      <c r="B106" s="196"/>
      <c r="C106" s="197"/>
      <c r="D106" s="197"/>
      <c r="E106" s="197"/>
      <c r="F106" s="197"/>
      <c r="G106" s="180"/>
      <c r="H106" s="180"/>
      <c r="I106" s="180"/>
      <c r="J106" s="180"/>
      <c r="K106" s="180"/>
      <c r="L106" s="180"/>
      <c r="M106" s="180"/>
      <c r="N106" s="180"/>
      <c r="O106" s="181"/>
      <c r="P106" s="181"/>
      <c r="Q106" s="185"/>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row>
    <row r="107" customFormat="false" ht="39.75" hidden="false" customHeight="true" outlineLevel="0" collapsed="false">
      <c r="A107" s="195"/>
      <c r="B107" s="196"/>
      <c r="C107" s="197" t="s">
        <v>497</v>
      </c>
      <c r="D107" s="178" t="n">
        <v>2</v>
      </c>
      <c r="E107" s="179" t="str">
        <f aca="false">IFERROR(__xludf.dummyfunction("IF(M_PR_CA_5=0,""Inexistente"",SINGLE(INDEX(Cumplimiento,ROUNDDOWN(M_PR_CA_5,0)))&amp;IF(M_PR_CA_5-ROUNDDOWN(M_PR_CA_5,0)&lt;0.5,"""","" con tendencia a ""&amp;SINGLE(INDEX(Cumplimiento,ROUNDDOWN(M_PR_CA_5,0)+1))))"),"#NAME?")</f>
        <v>#NAME?</v>
      </c>
      <c r="F107" s="178"/>
      <c r="G107" s="180"/>
      <c r="H107" s="180"/>
      <c r="I107" s="180"/>
      <c r="J107" s="180"/>
      <c r="K107" s="180"/>
      <c r="L107" s="180"/>
      <c r="M107" s="180"/>
      <c r="N107" s="180"/>
      <c r="O107" s="181"/>
      <c r="P107" s="182"/>
      <c r="Q107" s="185"/>
      <c r="BM107" s="1"/>
    </row>
    <row r="108" customFormat="false" ht="35.25" hidden="false" customHeight="true" outlineLevel="0" collapsed="false">
      <c r="A108" s="195"/>
      <c r="B108" s="196"/>
      <c r="C108" s="196"/>
      <c r="D108" s="196"/>
      <c r="E108" s="196"/>
      <c r="F108" s="196"/>
      <c r="G108" s="180"/>
      <c r="H108" s="180"/>
      <c r="I108" s="180"/>
      <c r="J108" s="180"/>
      <c r="K108" s="180"/>
      <c r="L108" s="180"/>
      <c r="M108" s="180"/>
      <c r="N108" s="180"/>
      <c r="O108" s="181"/>
      <c r="P108" s="182"/>
      <c r="Q108" s="185"/>
      <c r="BM108" s="1"/>
    </row>
    <row r="109" customFormat="false" ht="34.5" hidden="false" customHeight="true" outlineLevel="0" collapsed="false">
      <c r="A109" s="195"/>
      <c r="B109" s="196"/>
      <c r="C109" s="197"/>
      <c r="D109" s="197"/>
      <c r="E109" s="197"/>
      <c r="F109" s="197"/>
      <c r="G109" s="180"/>
      <c r="H109" s="180"/>
      <c r="I109" s="180"/>
      <c r="J109" s="180"/>
      <c r="K109" s="180"/>
      <c r="L109" s="180"/>
      <c r="M109" s="180"/>
      <c r="N109" s="180"/>
      <c r="O109" s="181"/>
      <c r="P109" s="181"/>
      <c r="Q109" s="185"/>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row>
    <row r="110" customFormat="false" ht="34.5" hidden="false" customHeight="true" outlineLevel="0" collapsed="false">
      <c r="A110" s="195"/>
      <c r="B110" s="196"/>
      <c r="C110" s="197" t="s">
        <v>323</v>
      </c>
      <c r="D110" s="178" t="n">
        <v>1</v>
      </c>
      <c r="E110" s="179" t="str">
        <f aca="false">IFERROR(__xludf.dummyfunction("IF(M_PR_CA_6=0,""Inexistente"",SINGLE(INDEX(Cumplimiento,ROUNDDOWN(M_PR_CA_6,0)))&amp;IF(M_PR_CA_6-ROUNDDOWN(M_PR_CA_6,0)&lt;0.5,"""","" con tendencia a ""&amp;SINGLE(INDEX(Cumplimiento,ROUNDDOWN(M_PR_CA_6,0)+1))))"),"#NAME?")</f>
        <v>#NAME?</v>
      </c>
      <c r="F110" s="178"/>
      <c r="G110" s="180"/>
      <c r="H110" s="180"/>
      <c r="I110" s="180"/>
      <c r="J110" s="180"/>
      <c r="K110" s="180"/>
      <c r="L110" s="180"/>
      <c r="M110" s="180"/>
      <c r="N110" s="180"/>
      <c r="O110" s="181"/>
      <c r="P110" s="181"/>
      <c r="Q110" s="185"/>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row>
    <row r="111" customFormat="false" ht="34.5" hidden="false" customHeight="true" outlineLevel="0" collapsed="false">
      <c r="A111" s="195"/>
      <c r="B111" s="196"/>
      <c r="C111" s="196"/>
      <c r="D111" s="196"/>
      <c r="E111" s="196"/>
      <c r="F111" s="196"/>
      <c r="G111" s="180"/>
      <c r="H111" s="180"/>
      <c r="I111" s="180"/>
      <c r="J111" s="180"/>
      <c r="K111" s="180"/>
      <c r="L111" s="180"/>
      <c r="M111" s="180"/>
      <c r="N111" s="180"/>
      <c r="O111" s="181"/>
      <c r="P111" s="181"/>
      <c r="Q111" s="185"/>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row>
    <row r="112" customFormat="false" ht="34.5" hidden="false" customHeight="true" outlineLevel="0" collapsed="false">
      <c r="A112" s="195"/>
      <c r="B112" s="196"/>
      <c r="C112" s="197"/>
      <c r="D112" s="197"/>
      <c r="E112" s="197"/>
      <c r="F112" s="197"/>
      <c r="G112" s="180"/>
      <c r="H112" s="180"/>
      <c r="I112" s="180"/>
      <c r="J112" s="180"/>
      <c r="K112" s="180"/>
      <c r="L112" s="180"/>
      <c r="M112" s="180"/>
      <c r="N112" s="180"/>
      <c r="O112" s="181"/>
      <c r="P112" s="181"/>
      <c r="Q112" s="185"/>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row>
    <row r="113" customFormat="false" ht="34.5" hidden="false" customHeight="true" outlineLevel="0" collapsed="false">
      <c r="A113" s="195"/>
      <c r="B113" s="196"/>
      <c r="C113" s="197" t="s">
        <v>324</v>
      </c>
      <c r="D113" s="178" t="n">
        <v>1</v>
      </c>
      <c r="E113" s="179" t="str">
        <f aca="false">IFERROR(__xludf.dummyfunction("IF(M_PR_CA_7=0,""Inexistente"",SINGLE(INDEX(Cumplimiento,ROUNDDOWN(M_PR_CA_7,0)))&amp;IF(M_PR_CA_7-ROUNDDOWN(M_PR_CA_7,0)&lt;0.5,"""","" con tendencia a ""&amp;SINGLE(INDEX(Cumplimiento,ROUNDDOWN(M_PR_CA_7,0)+1))))"),"#NAME?")</f>
        <v>#NAME?</v>
      </c>
      <c r="F113" s="178"/>
      <c r="G113" s="180"/>
      <c r="H113" s="180"/>
      <c r="I113" s="180"/>
      <c r="J113" s="180"/>
      <c r="K113" s="180"/>
      <c r="L113" s="180"/>
      <c r="M113" s="180"/>
      <c r="N113" s="180"/>
      <c r="O113" s="181"/>
      <c r="P113" s="181"/>
      <c r="Q113" s="185"/>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row>
    <row r="114" customFormat="false" ht="34.5" hidden="false" customHeight="true" outlineLevel="0" collapsed="false">
      <c r="A114" s="195"/>
      <c r="B114" s="196"/>
      <c r="C114" s="196"/>
      <c r="D114" s="196"/>
      <c r="E114" s="196"/>
      <c r="F114" s="196"/>
      <c r="G114" s="180"/>
      <c r="H114" s="180"/>
      <c r="I114" s="180"/>
      <c r="J114" s="180"/>
      <c r="K114" s="180"/>
      <c r="L114" s="180"/>
      <c r="M114" s="180"/>
      <c r="N114" s="180"/>
      <c r="O114" s="181"/>
      <c r="P114" s="181"/>
      <c r="Q114" s="185"/>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row>
    <row r="115" customFormat="false" ht="34.5" hidden="false" customHeight="true" outlineLevel="0" collapsed="false">
      <c r="A115" s="195"/>
      <c r="B115" s="196"/>
      <c r="C115" s="196"/>
      <c r="D115" s="196"/>
      <c r="E115" s="196"/>
      <c r="F115" s="196"/>
      <c r="G115" s="180"/>
      <c r="H115" s="180"/>
      <c r="I115" s="180"/>
      <c r="J115" s="180"/>
      <c r="K115" s="180"/>
      <c r="L115" s="180"/>
      <c r="M115" s="180"/>
      <c r="N115" s="180"/>
      <c r="O115" s="181"/>
      <c r="P115" s="181"/>
      <c r="Q115" s="185"/>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row>
    <row r="116" customFormat="false" ht="33.75" hidden="false" customHeight="true" outlineLevel="0" collapsed="false">
      <c r="A116" s="195"/>
      <c r="B116" s="196" t="s">
        <v>498</v>
      </c>
      <c r="C116" s="197" t="s">
        <v>499</v>
      </c>
      <c r="D116" s="178" t="n">
        <v>1</v>
      </c>
      <c r="E116" s="179" t="str">
        <f aca="false">IFERROR(__xludf.dummyfunction("IF(M_PR_CF_1=0,""Inexistente"",SINGLE(INDEX(Cumplimiento,ROUNDDOWN(M_PR_CF_1,0)))&amp;IF(M_PR_CF_1-ROUNDDOWN(M_PR_CF_1,0)&lt;0.5,"""","" con tendencia a ""&amp;SINGLE(INDEX(Cumplimiento,ROUNDDOWN(M_PR_CF_1,0)+1))))"),"#NAME?")</f>
        <v>#NAME?</v>
      </c>
      <c r="F116" s="178"/>
      <c r="G116" s="180"/>
      <c r="H116" s="180"/>
      <c r="I116" s="180"/>
      <c r="J116" s="180"/>
      <c r="K116" s="180"/>
      <c r="L116" s="180"/>
      <c r="M116" s="180"/>
      <c r="N116" s="180"/>
      <c r="O116" s="181"/>
      <c r="P116" s="182"/>
      <c r="Q116" s="185"/>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row>
    <row r="117" customFormat="false" ht="35.25" hidden="false" customHeight="true" outlineLevel="0" collapsed="false">
      <c r="A117" s="195"/>
      <c r="B117" s="196"/>
      <c r="C117" s="196"/>
      <c r="D117" s="196"/>
      <c r="E117" s="196"/>
      <c r="F117" s="196"/>
      <c r="G117" s="180"/>
      <c r="H117" s="180"/>
      <c r="I117" s="186"/>
      <c r="J117" s="186"/>
      <c r="K117" s="186"/>
      <c r="L117" s="186"/>
      <c r="M117" s="180"/>
      <c r="N117" s="180"/>
      <c r="O117" s="187"/>
      <c r="P117" s="188"/>
      <c r="Q117" s="185"/>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row>
    <row r="118" customFormat="false" ht="32.25" hidden="false" customHeight="true" outlineLevel="0" collapsed="false">
      <c r="A118" s="195"/>
      <c r="B118" s="196"/>
      <c r="C118" s="197"/>
      <c r="D118" s="197"/>
      <c r="E118" s="197"/>
      <c r="F118" s="197"/>
      <c r="G118" s="180"/>
      <c r="H118" s="180"/>
      <c r="I118" s="180"/>
      <c r="J118" s="189"/>
      <c r="K118" s="189"/>
      <c r="L118" s="189"/>
      <c r="M118" s="189"/>
      <c r="N118" s="189"/>
      <c r="O118" s="189"/>
      <c r="P118" s="189"/>
      <c r="Q118" s="185"/>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row>
    <row r="119" customFormat="false" ht="32.25" hidden="false" customHeight="true" outlineLevel="0" collapsed="false">
      <c r="A119" s="195"/>
      <c r="B119" s="196"/>
      <c r="C119" s="197" t="s">
        <v>327</v>
      </c>
      <c r="D119" s="178" t="n">
        <v>2</v>
      </c>
      <c r="E119" s="179" t="str">
        <f aca="false">IFERROR(__xludf.dummyfunction("IF(M_PR_CF_2=0,""Inexistente"",SINGLE(INDEX(Cumplimiento,ROUNDDOWN(M_PR_CF_2,0)))&amp;IF(M_PR_CF_2-ROUNDDOWN(M_PR_CF_2,0)&lt;0.5,"""","" con tendencia a ""&amp;SINGLE(INDEX(Cumplimiento,ROUNDDOWN(M_PR_CF_2,0)+1))))"),"#NAME?")</f>
        <v>#NAME?</v>
      </c>
      <c r="F119" s="178"/>
      <c r="G119" s="180"/>
      <c r="H119" s="180"/>
      <c r="I119" s="180"/>
      <c r="J119" s="189"/>
      <c r="K119" s="189"/>
      <c r="L119" s="189"/>
      <c r="M119" s="189"/>
      <c r="N119" s="189"/>
      <c r="O119" s="189"/>
      <c r="P119" s="189"/>
      <c r="Q119" s="185"/>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row>
    <row r="120" customFormat="false" ht="32.25" hidden="false" customHeight="true" outlineLevel="0" collapsed="false">
      <c r="A120" s="195"/>
      <c r="B120" s="196"/>
      <c r="C120" s="196"/>
      <c r="D120" s="196"/>
      <c r="E120" s="196"/>
      <c r="F120" s="196"/>
      <c r="G120" s="180"/>
      <c r="H120" s="180"/>
      <c r="I120" s="180"/>
      <c r="J120" s="189"/>
      <c r="K120" s="189"/>
      <c r="L120" s="189"/>
      <c r="M120" s="189"/>
      <c r="N120" s="189"/>
      <c r="O120" s="189"/>
      <c r="P120" s="189"/>
      <c r="Q120" s="185"/>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row>
    <row r="121" customFormat="false" ht="32.25" hidden="false" customHeight="true" outlineLevel="0" collapsed="false">
      <c r="A121" s="195"/>
      <c r="B121" s="196"/>
      <c r="C121" s="197"/>
      <c r="D121" s="197"/>
      <c r="E121" s="197"/>
      <c r="F121" s="197"/>
      <c r="G121" s="180"/>
      <c r="H121" s="180"/>
      <c r="I121" s="180"/>
      <c r="J121" s="189"/>
      <c r="K121" s="189"/>
      <c r="L121" s="189"/>
      <c r="M121" s="189"/>
      <c r="N121" s="189"/>
      <c r="O121" s="189"/>
      <c r="P121" s="189"/>
      <c r="Q121" s="185"/>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row>
    <row r="122" customFormat="false" ht="32.25" hidden="false" customHeight="true" outlineLevel="0" collapsed="false">
      <c r="A122" s="195"/>
      <c r="B122" s="196"/>
      <c r="C122" s="197" t="s">
        <v>328</v>
      </c>
      <c r="D122" s="178" t="n">
        <v>4</v>
      </c>
      <c r="E122" s="179" t="str">
        <f aca="false">IFERROR(__xludf.dummyfunction("IF(M_PR_CF_3=0,""Inexistente"",SINGLE(INDEX(Cumplimiento,ROUNDDOWN(M_PR_CF_3,0)))&amp;IF(M_PR_CF_3-ROUNDDOWN(M_PR_CF_3,0)&lt;0.5,"""","" con tendencia a ""&amp;SINGLE(INDEX(Cumplimiento,ROUNDDOWN(M_PR_CF_3,0)+1))))"),"#NAME?")</f>
        <v>#NAME?</v>
      </c>
      <c r="F122" s="178"/>
      <c r="G122" s="180"/>
      <c r="H122" s="180"/>
      <c r="I122" s="180"/>
      <c r="J122" s="189"/>
      <c r="K122" s="189"/>
      <c r="L122" s="189"/>
      <c r="M122" s="189"/>
      <c r="N122" s="189"/>
      <c r="O122" s="189"/>
      <c r="P122" s="189"/>
      <c r="Q122" s="185"/>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row>
    <row r="123" customFormat="false" ht="32.25" hidden="false" customHeight="true" outlineLevel="0" collapsed="false">
      <c r="A123" s="195"/>
      <c r="B123" s="196"/>
      <c r="C123" s="196"/>
      <c r="D123" s="196"/>
      <c r="E123" s="196"/>
      <c r="F123" s="196"/>
      <c r="G123" s="180"/>
      <c r="H123" s="180"/>
      <c r="I123" s="180"/>
      <c r="J123" s="189"/>
      <c r="K123" s="189"/>
      <c r="L123" s="189"/>
      <c r="M123" s="189"/>
      <c r="N123" s="189"/>
      <c r="O123" s="189"/>
      <c r="P123" s="189"/>
      <c r="Q123" s="185"/>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row>
    <row r="124" customFormat="false" ht="32.25" hidden="false" customHeight="true" outlineLevel="0" collapsed="false">
      <c r="A124" s="195"/>
      <c r="B124" s="196"/>
      <c r="C124" s="197"/>
      <c r="D124" s="197"/>
      <c r="E124" s="197"/>
      <c r="F124" s="197"/>
      <c r="G124" s="180"/>
      <c r="H124" s="180"/>
      <c r="I124" s="180"/>
      <c r="J124" s="189"/>
      <c r="K124" s="189"/>
      <c r="L124" s="189"/>
      <c r="M124" s="189"/>
      <c r="N124" s="189"/>
      <c r="O124" s="189"/>
      <c r="P124" s="189"/>
      <c r="Q124" s="185"/>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row>
    <row r="125" customFormat="false" ht="32.25" hidden="false" customHeight="true" outlineLevel="0" collapsed="false">
      <c r="A125" s="195"/>
      <c r="B125" s="196"/>
      <c r="C125" s="197" t="s">
        <v>329</v>
      </c>
      <c r="D125" s="178" t="n">
        <v>1</v>
      </c>
      <c r="E125" s="179" t="str">
        <f aca="false">IFERROR(__xludf.dummyfunction("IF(M_PR_CF_4=0,""Inexistente"",SINGLE(INDEX(Cumplimiento,ROUNDDOWN(M_PR_CF_4,0)))&amp;IF(M_PR_CF_4-ROUNDDOWN(M_PR_CF_4,0)&lt;0.5,"""","" con tendencia a ""&amp;SINGLE(INDEX(Cumplimiento,ROUNDDOWN(M_PR_CF_4,0)+1))))"),"#NAME?")</f>
        <v>#NAME?</v>
      </c>
      <c r="F125" s="178"/>
      <c r="G125" s="180"/>
      <c r="H125" s="180"/>
      <c r="I125" s="180"/>
      <c r="J125" s="189"/>
      <c r="K125" s="189"/>
      <c r="L125" s="189"/>
      <c r="M125" s="189"/>
      <c r="N125" s="189"/>
      <c r="O125" s="189"/>
      <c r="P125" s="189"/>
      <c r="Q125" s="185"/>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row>
    <row r="126" customFormat="false" ht="32.25" hidden="false" customHeight="true" outlineLevel="0" collapsed="false">
      <c r="A126" s="195"/>
      <c r="B126" s="196"/>
      <c r="C126" s="196"/>
      <c r="D126" s="196"/>
      <c r="E126" s="196"/>
      <c r="F126" s="196"/>
      <c r="G126" s="180"/>
      <c r="H126" s="180"/>
      <c r="I126" s="180"/>
      <c r="J126" s="189"/>
      <c r="K126" s="189"/>
      <c r="L126" s="189"/>
      <c r="M126" s="189"/>
      <c r="N126" s="189"/>
      <c r="O126" s="189"/>
      <c r="P126" s="189"/>
      <c r="Q126" s="185"/>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row>
    <row r="127" customFormat="false" ht="32.25" hidden="false" customHeight="true" outlineLevel="0" collapsed="false">
      <c r="A127" s="195"/>
      <c r="B127" s="196"/>
      <c r="C127" s="197"/>
      <c r="D127" s="197"/>
      <c r="E127" s="197"/>
      <c r="F127" s="197"/>
      <c r="G127" s="180"/>
      <c r="H127" s="180"/>
      <c r="I127" s="180"/>
      <c r="J127" s="189"/>
      <c r="K127" s="189"/>
      <c r="L127" s="189"/>
      <c r="M127" s="189"/>
      <c r="N127" s="189"/>
      <c r="O127" s="189"/>
      <c r="P127" s="189"/>
      <c r="Q127" s="185"/>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row>
    <row r="128" customFormat="false" ht="39.75" hidden="false" customHeight="true" outlineLevel="0" collapsed="false">
      <c r="A128" s="195"/>
      <c r="B128" s="196"/>
      <c r="C128" s="197" t="s">
        <v>500</v>
      </c>
      <c r="D128" s="178" t="n">
        <v>2</v>
      </c>
      <c r="E128" s="179" t="str">
        <f aca="false">IFERROR(__xludf.dummyfunction("IF(M_PR_CF_5=0,""Inexistente"",SINGLE(INDEX(Cumplimiento,ROUNDDOWN(M_PR_CF_5,0)))&amp;IF(M_PR_CF_5-ROUNDDOWN(M_PR_CF_5,0)&lt;0.5,"""","" con tendencia a ""&amp;SINGLE(INDEX(Cumplimiento,ROUNDDOWN(M_PR_CF_5,0)+1))))"),"#NAME?")</f>
        <v>#NAME?</v>
      </c>
      <c r="F128" s="178"/>
      <c r="G128" s="180"/>
      <c r="H128" s="180"/>
      <c r="I128" s="180"/>
      <c r="J128" s="180"/>
      <c r="K128" s="180"/>
      <c r="L128" s="180"/>
      <c r="M128" s="180"/>
      <c r="N128" s="180"/>
      <c r="O128" s="181"/>
      <c r="P128" s="182"/>
      <c r="Q128" s="185"/>
      <c r="BM128" s="1"/>
    </row>
    <row r="129" customFormat="false" ht="35.25" hidden="false" customHeight="true" outlineLevel="0" collapsed="false">
      <c r="A129" s="195"/>
      <c r="B129" s="196"/>
      <c r="C129" s="196"/>
      <c r="D129" s="196"/>
      <c r="E129" s="196"/>
      <c r="F129" s="196"/>
      <c r="G129" s="180"/>
      <c r="H129" s="180"/>
      <c r="I129" s="180"/>
      <c r="J129" s="180"/>
      <c r="K129" s="180"/>
      <c r="L129" s="180"/>
      <c r="M129" s="180"/>
      <c r="N129" s="180"/>
      <c r="O129" s="181"/>
      <c r="P129" s="182"/>
      <c r="Q129" s="185"/>
      <c r="BM129" s="1"/>
    </row>
    <row r="130" customFormat="false" ht="34.5" hidden="false" customHeight="true" outlineLevel="0" collapsed="false">
      <c r="A130" s="195"/>
      <c r="B130" s="196"/>
      <c r="C130" s="196"/>
      <c r="D130" s="196"/>
      <c r="E130" s="196"/>
      <c r="F130" s="196"/>
      <c r="G130" s="180"/>
      <c r="H130" s="180"/>
      <c r="I130" s="180"/>
      <c r="J130" s="180"/>
      <c r="K130" s="180"/>
      <c r="L130" s="180"/>
      <c r="M130" s="180"/>
      <c r="N130" s="180"/>
      <c r="O130" s="181"/>
      <c r="P130" s="181"/>
      <c r="Q130" s="185"/>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row>
    <row r="131" customFormat="false" ht="34.5" hidden="false" customHeight="true" outlineLevel="0" collapsed="false">
      <c r="A131" s="195"/>
      <c r="B131" s="196" t="s">
        <v>501</v>
      </c>
      <c r="C131" s="197" t="s">
        <v>502</v>
      </c>
      <c r="D131" s="178" t="n">
        <v>2</v>
      </c>
      <c r="E131" s="178"/>
      <c r="F131" s="178"/>
      <c r="G131" s="180"/>
      <c r="H131" s="180"/>
      <c r="I131" s="180"/>
      <c r="J131" s="180"/>
      <c r="K131" s="180"/>
      <c r="L131" s="180"/>
      <c r="M131" s="180"/>
      <c r="N131" s="180"/>
      <c r="O131" s="181"/>
      <c r="P131" s="181"/>
      <c r="Q131" s="185"/>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row>
    <row r="132" customFormat="false" ht="34.5" hidden="false" customHeight="true" outlineLevel="0" collapsed="false">
      <c r="A132" s="195"/>
      <c r="B132" s="196"/>
      <c r="C132" s="196"/>
      <c r="D132" s="196"/>
      <c r="E132" s="196"/>
      <c r="F132" s="196"/>
      <c r="G132" s="180"/>
      <c r="H132" s="180"/>
      <c r="I132" s="180"/>
      <c r="J132" s="180"/>
      <c r="K132" s="180"/>
      <c r="L132" s="180"/>
      <c r="M132" s="180"/>
      <c r="N132" s="180"/>
      <c r="O132" s="181"/>
      <c r="P132" s="181"/>
      <c r="Q132" s="185"/>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row>
    <row r="133" customFormat="false" ht="34.5" hidden="false" customHeight="true" outlineLevel="0" collapsed="false">
      <c r="A133" s="195"/>
      <c r="B133" s="196"/>
      <c r="C133" s="197"/>
      <c r="D133" s="197"/>
      <c r="E133" s="197"/>
      <c r="F133" s="197"/>
      <c r="G133" s="180"/>
      <c r="H133" s="180"/>
      <c r="I133" s="180"/>
      <c r="J133" s="180"/>
      <c r="K133" s="180"/>
      <c r="L133" s="180"/>
      <c r="M133" s="180"/>
      <c r="N133" s="180"/>
      <c r="O133" s="181"/>
      <c r="P133" s="181"/>
      <c r="Q133" s="185"/>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row>
    <row r="134" customFormat="false" ht="34.5" hidden="false" customHeight="true" outlineLevel="0" collapsed="false">
      <c r="A134" s="195"/>
      <c r="B134" s="196"/>
      <c r="C134" s="197" t="s">
        <v>333</v>
      </c>
      <c r="D134" s="178" t="n">
        <v>2</v>
      </c>
      <c r="E134" s="178"/>
      <c r="F134" s="178"/>
      <c r="G134" s="180"/>
      <c r="H134" s="180"/>
      <c r="I134" s="180"/>
      <c r="J134" s="180"/>
      <c r="K134" s="180"/>
      <c r="L134" s="180"/>
      <c r="M134" s="180"/>
      <c r="N134" s="180"/>
      <c r="O134" s="181"/>
      <c r="P134" s="181"/>
      <c r="Q134" s="185"/>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row>
    <row r="135" customFormat="false" ht="34.5" hidden="false" customHeight="true" outlineLevel="0" collapsed="false">
      <c r="A135" s="195"/>
      <c r="B135" s="196"/>
      <c r="C135" s="196"/>
      <c r="D135" s="196"/>
      <c r="E135" s="196"/>
      <c r="F135" s="196"/>
      <c r="G135" s="180"/>
      <c r="H135" s="180"/>
      <c r="I135" s="180"/>
      <c r="J135" s="180"/>
      <c r="K135" s="180"/>
      <c r="L135" s="180"/>
      <c r="M135" s="180"/>
      <c r="N135" s="180"/>
      <c r="O135" s="181"/>
      <c r="P135" s="181"/>
      <c r="Q135" s="185"/>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row>
    <row r="136" customFormat="false" ht="34.5" hidden="false" customHeight="true" outlineLevel="0" collapsed="false">
      <c r="A136" s="195"/>
      <c r="B136" s="196"/>
      <c r="C136" s="197"/>
      <c r="D136" s="197"/>
      <c r="E136" s="197"/>
      <c r="F136" s="197"/>
      <c r="G136" s="180"/>
      <c r="H136" s="180"/>
      <c r="I136" s="180"/>
      <c r="J136" s="180"/>
      <c r="K136" s="180"/>
      <c r="L136" s="180"/>
      <c r="M136" s="180"/>
      <c r="N136" s="180"/>
      <c r="O136" s="181"/>
      <c r="P136" s="181"/>
      <c r="Q136" s="185"/>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row>
    <row r="137" customFormat="false" ht="34.5" hidden="false" customHeight="true" outlineLevel="0" collapsed="false">
      <c r="A137" s="195"/>
      <c r="B137" s="196"/>
      <c r="C137" s="197" t="s">
        <v>503</v>
      </c>
      <c r="D137" s="178" t="n">
        <v>2</v>
      </c>
      <c r="E137" s="178"/>
      <c r="F137" s="178"/>
      <c r="G137" s="180"/>
      <c r="H137" s="180"/>
      <c r="I137" s="180"/>
      <c r="J137" s="180"/>
      <c r="K137" s="180"/>
      <c r="L137" s="180"/>
      <c r="M137" s="180"/>
      <c r="N137" s="180"/>
      <c r="O137" s="181"/>
      <c r="P137" s="181"/>
      <c r="Q137" s="185"/>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row>
    <row r="138" customFormat="false" ht="34.5" hidden="false" customHeight="true" outlineLevel="0" collapsed="false">
      <c r="A138" s="195"/>
      <c r="B138" s="196"/>
      <c r="C138" s="196"/>
      <c r="D138" s="196"/>
      <c r="E138" s="196"/>
      <c r="F138" s="196"/>
      <c r="G138" s="180"/>
      <c r="H138" s="180"/>
      <c r="I138" s="180"/>
      <c r="J138" s="180"/>
      <c r="K138" s="180"/>
      <c r="L138" s="180"/>
      <c r="M138" s="180"/>
      <c r="N138" s="180"/>
      <c r="O138" s="181"/>
      <c r="P138" s="181"/>
      <c r="Q138" s="185"/>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row>
    <row r="139" customFormat="false" ht="34.5" hidden="false" customHeight="true" outlineLevel="0" collapsed="false">
      <c r="A139" s="195"/>
      <c r="B139" s="196"/>
      <c r="C139" s="197"/>
      <c r="D139" s="197"/>
      <c r="E139" s="197"/>
      <c r="F139" s="197"/>
      <c r="G139" s="180"/>
      <c r="H139" s="180"/>
      <c r="I139" s="180"/>
      <c r="J139" s="180"/>
      <c r="K139" s="180"/>
      <c r="L139" s="180"/>
      <c r="M139" s="180"/>
      <c r="N139" s="180"/>
      <c r="O139" s="181"/>
      <c r="P139" s="181"/>
      <c r="Q139" s="185"/>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row>
    <row r="140" customFormat="false" ht="34.5" hidden="false" customHeight="true" outlineLevel="0" collapsed="false">
      <c r="A140" s="195"/>
      <c r="B140" s="196"/>
      <c r="C140" s="197" t="s">
        <v>335</v>
      </c>
      <c r="D140" s="178" t="n">
        <v>3</v>
      </c>
      <c r="E140" s="178"/>
      <c r="F140" s="178"/>
      <c r="G140" s="180"/>
      <c r="H140" s="180"/>
      <c r="I140" s="180"/>
      <c r="J140" s="180"/>
      <c r="K140" s="180"/>
      <c r="L140" s="180"/>
      <c r="M140" s="180"/>
      <c r="N140" s="180"/>
      <c r="O140" s="181"/>
      <c r="P140" s="181"/>
      <c r="Q140" s="185"/>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row>
    <row r="141" customFormat="false" ht="34.5" hidden="false" customHeight="true" outlineLevel="0" collapsed="false">
      <c r="A141" s="195"/>
      <c r="B141" s="196"/>
      <c r="C141" s="196"/>
      <c r="D141" s="196"/>
      <c r="E141" s="196"/>
      <c r="F141" s="196"/>
      <c r="G141" s="180"/>
      <c r="H141" s="180"/>
      <c r="I141" s="180"/>
      <c r="J141" s="180"/>
      <c r="K141" s="180"/>
      <c r="L141" s="180"/>
      <c r="M141" s="180"/>
      <c r="N141" s="180"/>
      <c r="O141" s="181"/>
      <c r="P141" s="181"/>
      <c r="Q141" s="185"/>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row>
    <row r="142" customFormat="false" ht="34.5" hidden="false" customHeight="true" outlineLevel="0" collapsed="false">
      <c r="A142" s="195"/>
      <c r="B142" s="196"/>
      <c r="C142" s="197"/>
      <c r="D142" s="197"/>
      <c r="E142" s="197"/>
      <c r="F142" s="197"/>
      <c r="G142" s="180"/>
      <c r="H142" s="180"/>
      <c r="I142" s="180"/>
      <c r="J142" s="180"/>
      <c r="K142" s="180"/>
      <c r="L142" s="180"/>
      <c r="M142" s="180"/>
      <c r="N142" s="180"/>
      <c r="O142" s="181"/>
      <c r="P142" s="181"/>
      <c r="Q142" s="185"/>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row>
    <row r="143" customFormat="false" ht="34.5" hidden="false" customHeight="true" outlineLevel="0" collapsed="false">
      <c r="A143" s="195"/>
      <c r="B143" s="196"/>
      <c r="C143" s="197" t="s">
        <v>336</v>
      </c>
      <c r="D143" s="178" t="n">
        <v>1</v>
      </c>
      <c r="E143" s="178"/>
      <c r="F143" s="178"/>
      <c r="G143" s="180"/>
      <c r="H143" s="180"/>
      <c r="I143" s="180"/>
      <c r="J143" s="180"/>
      <c r="K143" s="180"/>
      <c r="L143" s="180"/>
      <c r="M143" s="180"/>
      <c r="N143" s="180"/>
      <c r="O143" s="181"/>
      <c r="P143" s="181"/>
      <c r="Q143" s="185"/>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row>
    <row r="144" customFormat="false" ht="34.5" hidden="false" customHeight="true" outlineLevel="0" collapsed="false">
      <c r="A144" s="195"/>
      <c r="B144" s="196"/>
      <c r="C144" s="196"/>
      <c r="D144" s="196"/>
      <c r="E144" s="196"/>
      <c r="F144" s="196"/>
      <c r="G144" s="180"/>
      <c r="H144" s="180"/>
      <c r="I144" s="180"/>
      <c r="J144" s="180"/>
      <c r="K144" s="180"/>
      <c r="L144" s="180"/>
      <c r="M144" s="180"/>
      <c r="N144" s="180"/>
      <c r="O144" s="181"/>
      <c r="P144" s="181"/>
      <c r="Q144" s="185"/>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row>
    <row r="145" customFormat="false" ht="34.5" hidden="false" customHeight="true" outlineLevel="0" collapsed="false">
      <c r="A145" s="195"/>
      <c r="B145" s="196"/>
      <c r="C145" s="197"/>
      <c r="D145" s="197"/>
      <c r="E145" s="197"/>
      <c r="F145" s="197"/>
      <c r="G145" s="180"/>
      <c r="H145" s="180"/>
      <c r="I145" s="180"/>
      <c r="J145" s="180"/>
      <c r="K145" s="180"/>
      <c r="L145" s="180"/>
      <c r="M145" s="180"/>
      <c r="N145" s="180"/>
      <c r="O145" s="181"/>
      <c r="P145" s="181"/>
      <c r="Q145" s="185"/>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row>
    <row r="146" customFormat="false" ht="34.5" hidden="false" customHeight="true" outlineLevel="0" collapsed="false">
      <c r="A146" s="195"/>
      <c r="B146" s="196"/>
      <c r="C146" s="197" t="s">
        <v>337</v>
      </c>
      <c r="D146" s="178" t="n">
        <v>3</v>
      </c>
      <c r="E146" s="178"/>
      <c r="F146" s="178"/>
      <c r="G146" s="180"/>
      <c r="H146" s="180"/>
      <c r="I146" s="180"/>
      <c r="J146" s="180"/>
      <c r="K146" s="180"/>
      <c r="L146" s="180"/>
      <c r="M146" s="180"/>
      <c r="N146" s="180"/>
      <c r="O146" s="181"/>
      <c r="P146" s="181"/>
      <c r="Q146" s="185"/>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row>
    <row r="147" customFormat="false" ht="34.5" hidden="false" customHeight="true" outlineLevel="0" collapsed="false">
      <c r="A147" s="195"/>
      <c r="B147" s="196"/>
      <c r="C147" s="196"/>
      <c r="D147" s="196"/>
      <c r="E147" s="196"/>
      <c r="F147" s="196"/>
      <c r="G147" s="180"/>
      <c r="H147" s="180"/>
      <c r="I147" s="180"/>
      <c r="J147" s="180"/>
      <c r="K147" s="180"/>
      <c r="L147" s="180"/>
      <c r="M147" s="180"/>
      <c r="N147" s="180"/>
      <c r="O147" s="181"/>
      <c r="P147" s="181"/>
      <c r="Q147" s="185"/>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row>
    <row r="148" customFormat="false" ht="34.5" hidden="false" customHeight="true" outlineLevel="0" collapsed="false">
      <c r="A148" s="195"/>
      <c r="B148" s="196"/>
      <c r="C148" s="197"/>
      <c r="D148" s="197"/>
      <c r="E148" s="197"/>
      <c r="F148" s="197"/>
      <c r="G148" s="180"/>
      <c r="H148" s="180"/>
      <c r="I148" s="180"/>
      <c r="J148" s="180"/>
      <c r="K148" s="180"/>
      <c r="L148" s="180"/>
      <c r="M148" s="180"/>
      <c r="N148" s="180"/>
      <c r="O148" s="181"/>
      <c r="P148" s="181"/>
      <c r="Q148" s="185"/>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row>
    <row r="149" customFormat="false" ht="39.75" hidden="false" customHeight="true" outlineLevel="0" collapsed="false">
      <c r="A149" s="195"/>
      <c r="B149" s="196"/>
      <c r="C149" s="197" t="s">
        <v>338</v>
      </c>
      <c r="D149" s="178" t="n">
        <v>2</v>
      </c>
      <c r="E149" s="178"/>
      <c r="F149" s="178"/>
      <c r="G149" s="180"/>
      <c r="H149" s="180"/>
      <c r="I149" s="180"/>
      <c r="J149" s="180"/>
      <c r="K149" s="180"/>
      <c r="L149" s="180"/>
      <c r="M149" s="180"/>
      <c r="N149" s="180"/>
      <c r="O149" s="181"/>
      <c r="P149" s="182"/>
      <c r="Q149" s="185"/>
      <c r="BM149" s="1"/>
    </row>
    <row r="150" customFormat="false" ht="35.25" hidden="false" customHeight="true" outlineLevel="0" collapsed="false">
      <c r="A150" s="195"/>
      <c r="B150" s="196"/>
      <c r="C150" s="196"/>
      <c r="D150" s="196"/>
      <c r="E150" s="196"/>
      <c r="F150" s="196"/>
      <c r="G150" s="180"/>
      <c r="H150" s="180"/>
      <c r="I150" s="180"/>
      <c r="J150" s="180"/>
      <c r="K150" s="180"/>
      <c r="L150" s="180"/>
      <c r="M150" s="180"/>
      <c r="N150" s="180"/>
      <c r="O150" s="181"/>
      <c r="P150" s="182"/>
      <c r="Q150" s="185"/>
      <c r="BM150" s="1"/>
    </row>
    <row r="151" customFormat="false" ht="34.5" hidden="false" customHeight="true" outlineLevel="0" collapsed="false">
      <c r="A151" s="195"/>
      <c r="B151" s="196"/>
      <c r="C151" s="196"/>
      <c r="D151" s="196"/>
      <c r="E151" s="196"/>
      <c r="F151" s="196"/>
      <c r="G151" s="180"/>
      <c r="H151" s="180"/>
      <c r="I151" s="180"/>
      <c r="J151" s="180"/>
      <c r="K151" s="180"/>
      <c r="L151" s="180"/>
      <c r="M151" s="180"/>
      <c r="N151" s="180"/>
      <c r="O151" s="181"/>
      <c r="P151" s="181"/>
      <c r="Q151" s="185"/>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row>
    <row r="152" customFormat="false" ht="34.5" hidden="false" customHeight="true" outlineLevel="0" collapsed="false">
      <c r="A152" s="195"/>
      <c r="B152" s="196" t="s">
        <v>504</v>
      </c>
      <c r="C152" s="197" t="s">
        <v>505</v>
      </c>
      <c r="D152" s="178" t="n">
        <v>3</v>
      </c>
      <c r="E152" s="178"/>
      <c r="F152" s="178"/>
      <c r="G152" s="180"/>
      <c r="H152" s="180"/>
      <c r="I152" s="180"/>
      <c r="J152" s="180"/>
      <c r="K152" s="180"/>
      <c r="L152" s="180"/>
      <c r="M152" s="180"/>
      <c r="N152" s="180"/>
      <c r="O152" s="181"/>
      <c r="P152" s="181"/>
      <c r="Q152" s="185"/>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row>
    <row r="153" customFormat="false" ht="34.5" hidden="false" customHeight="true" outlineLevel="0" collapsed="false">
      <c r="A153" s="195"/>
      <c r="B153" s="196"/>
      <c r="C153" s="196"/>
      <c r="D153" s="196"/>
      <c r="E153" s="196"/>
      <c r="F153" s="196"/>
      <c r="G153" s="180"/>
      <c r="H153" s="180"/>
      <c r="I153" s="180"/>
      <c r="J153" s="180"/>
      <c r="K153" s="180"/>
      <c r="L153" s="180"/>
      <c r="M153" s="180"/>
      <c r="N153" s="180"/>
      <c r="O153" s="181"/>
      <c r="P153" s="181"/>
      <c r="Q153" s="185"/>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row>
    <row r="154" customFormat="false" ht="34.5" hidden="false" customHeight="true" outlineLevel="0" collapsed="false">
      <c r="A154" s="195"/>
      <c r="B154" s="196"/>
      <c r="C154" s="197"/>
      <c r="D154" s="197"/>
      <c r="E154" s="197"/>
      <c r="F154" s="197"/>
      <c r="G154" s="180"/>
      <c r="H154" s="180"/>
      <c r="I154" s="180"/>
      <c r="J154" s="180"/>
      <c r="K154" s="180"/>
      <c r="L154" s="180"/>
      <c r="M154" s="180"/>
      <c r="N154" s="180"/>
      <c r="O154" s="181"/>
      <c r="P154" s="181"/>
      <c r="Q154" s="185"/>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row>
    <row r="155" customFormat="false" ht="34.5" hidden="false" customHeight="true" outlineLevel="0" collapsed="false">
      <c r="A155" s="195"/>
      <c r="B155" s="196"/>
      <c r="C155" s="197" t="s">
        <v>506</v>
      </c>
      <c r="D155" s="178" t="n">
        <v>2</v>
      </c>
      <c r="E155" s="178"/>
      <c r="F155" s="178"/>
      <c r="G155" s="180"/>
      <c r="H155" s="180"/>
      <c r="I155" s="180"/>
      <c r="J155" s="180"/>
      <c r="K155" s="180"/>
      <c r="L155" s="180"/>
      <c r="M155" s="180"/>
      <c r="N155" s="180"/>
      <c r="O155" s="181"/>
      <c r="P155" s="181"/>
      <c r="Q155" s="185"/>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row>
    <row r="156" customFormat="false" ht="34.5" hidden="false" customHeight="true" outlineLevel="0" collapsed="false">
      <c r="A156" s="195"/>
      <c r="B156" s="196"/>
      <c r="C156" s="196"/>
      <c r="D156" s="196"/>
      <c r="E156" s="196"/>
      <c r="F156" s="196"/>
      <c r="G156" s="180"/>
      <c r="H156" s="180"/>
      <c r="I156" s="180"/>
      <c r="J156" s="180"/>
      <c r="K156" s="180"/>
      <c r="L156" s="180"/>
      <c r="M156" s="180"/>
      <c r="N156" s="180"/>
      <c r="O156" s="181"/>
      <c r="P156" s="181"/>
      <c r="Q156" s="185"/>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row>
    <row r="157" customFormat="false" ht="34.5" hidden="false" customHeight="true" outlineLevel="0" collapsed="false">
      <c r="A157" s="195"/>
      <c r="B157" s="196"/>
      <c r="C157" s="197"/>
      <c r="D157" s="197"/>
      <c r="E157" s="197"/>
      <c r="F157" s="197"/>
      <c r="G157" s="180"/>
      <c r="H157" s="180"/>
      <c r="I157" s="180"/>
      <c r="J157" s="180"/>
      <c r="K157" s="180"/>
      <c r="L157" s="180"/>
      <c r="M157" s="180"/>
      <c r="N157" s="180"/>
      <c r="O157" s="181"/>
      <c r="P157" s="181"/>
      <c r="Q157" s="185"/>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row>
    <row r="158" customFormat="false" ht="34.5" hidden="false" customHeight="true" outlineLevel="0" collapsed="false">
      <c r="A158" s="195"/>
      <c r="B158" s="196"/>
      <c r="C158" s="197" t="s">
        <v>507</v>
      </c>
      <c r="D158" s="178" t="n">
        <v>2</v>
      </c>
      <c r="E158" s="178"/>
      <c r="F158" s="178"/>
      <c r="G158" s="180"/>
      <c r="H158" s="180"/>
      <c r="I158" s="180"/>
      <c r="J158" s="180"/>
      <c r="K158" s="180"/>
      <c r="L158" s="180"/>
      <c r="M158" s="180"/>
      <c r="N158" s="180"/>
      <c r="O158" s="181"/>
      <c r="P158" s="181"/>
      <c r="Q158" s="185"/>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row>
    <row r="159" customFormat="false" ht="34.5" hidden="false" customHeight="true" outlineLevel="0" collapsed="false">
      <c r="A159" s="195"/>
      <c r="B159" s="196"/>
      <c r="C159" s="196"/>
      <c r="D159" s="196"/>
      <c r="E159" s="196"/>
      <c r="F159" s="196"/>
      <c r="G159" s="180"/>
      <c r="H159" s="180"/>
      <c r="I159" s="180"/>
      <c r="J159" s="180"/>
      <c r="K159" s="180"/>
      <c r="L159" s="180"/>
      <c r="M159" s="180"/>
      <c r="N159" s="180"/>
      <c r="O159" s="181"/>
      <c r="P159" s="181"/>
      <c r="Q159" s="185"/>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row>
    <row r="160" customFormat="false" ht="34.5" hidden="false" customHeight="true" outlineLevel="0" collapsed="false">
      <c r="A160" s="195"/>
      <c r="B160" s="196"/>
      <c r="C160" s="197"/>
      <c r="D160" s="197"/>
      <c r="E160" s="197"/>
      <c r="F160" s="197"/>
      <c r="G160" s="180"/>
      <c r="H160" s="180"/>
      <c r="I160" s="180"/>
      <c r="J160" s="180"/>
      <c r="K160" s="180"/>
      <c r="L160" s="180"/>
      <c r="M160" s="180"/>
      <c r="N160" s="180"/>
      <c r="O160" s="181"/>
      <c r="P160" s="181"/>
      <c r="Q160" s="185"/>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row>
    <row r="161" customFormat="false" ht="34.5" hidden="false" customHeight="true" outlineLevel="0" collapsed="false">
      <c r="A161" s="195"/>
      <c r="B161" s="196"/>
      <c r="C161" s="197" t="s">
        <v>508</v>
      </c>
      <c r="D161" s="178" t="n">
        <v>1</v>
      </c>
      <c r="E161" s="178"/>
      <c r="F161" s="178"/>
      <c r="G161" s="180"/>
      <c r="H161" s="180"/>
      <c r="I161" s="180"/>
      <c r="J161" s="180"/>
      <c r="K161" s="180"/>
      <c r="L161" s="180"/>
      <c r="M161" s="180"/>
      <c r="N161" s="180"/>
      <c r="O161" s="181"/>
      <c r="P161" s="181"/>
      <c r="Q161" s="185"/>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row>
    <row r="162" customFormat="false" ht="34.5" hidden="false" customHeight="true" outlineLevel="0" collapsed="false">
      <c r="A162" s="195"/>
      <c r="B162" s="196"/>
      <c r="C162" s="196"/>
      <c r="D162" s="196"/>
      <c r="E162" s="196"/>
      <c r="F162" s="196"/>
      <c r="G162" s="180"/>
      <c r="H162" s="180"/>
      <c r="I162" s="180"/>
      <c r="J162" s="180"/>
      <c r="K162" s="180"/>
      <c r="L162" s="180"/>
      <c r="M162" s="180"/>
      <c r="N162" s="180"/>
      <c r="O162" s="181"/>
      <c r="P162" s="181"/>
      <c r="Q162" s="185"/>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row>
    <row r="163" customFormat="false" ht="34.5" hidden="false" customHeight="true" outlineLevel="0" collapsed="false">
      <c r="A163" s="195"/>
      <c r="B163" s="196"/>
      <c r="C163" s="197"/>
      <c r="D163" s="197"/>
      <c r="E163" s="197"/>
      <c r="F163" s="197"/>
      <c r="G163" s="180"/>
      <c r="H163" s="180"/>
      <c r="I163" s="180"/>
      <c r="J163" s="180"/>
      <c r="K163" s="180"/>
      <c r="L163" s="180"/>
      <c r="M163" s="180"/>
      <c r="N163" s="180"/>
      <c r="O163" s="181"/>
      <c r="P163" s="181"/>
      <c r="Q163" s="185"/>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row>
    <row r="164" customFormat="false" ht="34.5" hidden="false" customHeight="true" outlineLevel="0" collapsed="false">
      <c r="A164" s="195"/>
      <c r="B164" s="196"/>
      <c r="C164" s="197" t="s">
        <v>509</v>
      </c>
      <c r="D164" s="178" t="n">
        <v>1</v>
      </c>
      <c r="E164" s="178"/>
      <c r="F164" s="178"/>
      <c r="G164" s="180"/>
      <c r="H164" s="180"/>
      <c r="I164" s="180"/>
      <c r="J164" s="180"/>
      <c r="K164" s="180"/>
      <c r="L164" s="180"/>
      <c r="M164" s="180"/>
      <c r="N164" s="180"/>
      <c r="O164" s="181"/>
      <c r="P164" s="181"/>
      <c r="Q164" s="185"/>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row>
    <row r="165" customFormat="false" ht="34.5" hidden="false" customHeight="true" outlineLevel="0" collapsed="false">
      <c r="A165" s="195"/>
      <c r="B165" s="196"/>
      <c r="C165" s="196"/>
      <c r="D165" s="196"/>
      <c r="E165" s="196"/>
      <c r="F165" s="196"/>
      <c r="G165" s="180"/>
      <c r="H165" s="180"/>
      <c r="I165" s="180"/>
      <c r="J165" s="180"/>
      <c r="K165" s="180"/>
      <c r="L165" s="180"/>
      <c r="M165" s="180"/>
      <c r="N165" s="180"/>
      <c r="O165" s="181"/>
      <c r="P165" s="181"/>
      <c r="Q165" s="185"/>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row>
    <row r="166" customFormat="false" ht="34.5" hidden="false" customHeight="true" outlineLevel="0" collapsed="false">
      <c r="A166" s="195"/>
      <c r="B166" s="196"/>
      <c r="C166" s="197"/>
      <c r="D166" s="197"/>
      <c r="E166" s="197"/>
      <c r="F166" s="197"/>
      <c r="G166" s="180"/>
      <c r="H166" s="180"/>
      <c r="I166" s="180"/>
      <c r="J166" s="180"/>
      <c r="K166" s="180"/>
      <c r="L166" s="180"/>
      <c r="M166" s="180"/>
      <c r="N166" s="180"/>
      <c r="O166" s="181"/>
      <c r="P166" s="181"/>
      <c r="Q166" s="185"/>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row>
    <row r="167" customFormat="false" ht="34.5" hidden="false" customHeight="true" outlineLevel="0" collapsed="false">
      <c r="A167" s="195"/>
      <c r="B167" s="196"/>
      <c r="C167" s="197" t="s">
        <v>346</v>
      </c>
      <c r="D167" s="178" t="n">
        <v>3</v>
      </c>
      <c r="E167" s="178"/>
      <c r="F167" s="178"/>
      <c r="G167" s="180"/>
      <c r="H167" s="180"/>
      <c r="I167" s="180"/>
      <c r="J167" s="180"/>
      <c r="K167" s="180"/>
      <c r="L167" s="180"/>
      <c r="M167" s="180"/>
      <c r="N167" s="180"/>
      <c r="O167" s="181"/>
      <c r="P167" s="181"/>
      <c r="Q167" s="185"/>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row>
    <row r="168" customFormat="false" ht="34.5" hidden="false" customHeight="true" outlineLevel="0" collapsed="false">
      <c r="A168" s="195"/>
      <c r="B168" s="196"/>
      <c r="C168" s="196"/>
      <c r="D168" s="196"/>
      <c r="E168" s="196"/>
      <c r="F168" s="196"/>
      <c r="G168" s="180"/>
      <c r="H168" s="180"/>
      <c r="I168" s="180"/>
      <c r="J168" s="180"/>
      <c r="K168" s="180"/>
      <c r="L168" s="180"/>
      <c r="M168" s="180"/>
      <c r="N168" s="180"/>
      <c r="O168" s="181"/>
      <c r="P168" s="181"/>
      <c r="Q168" s="185"/>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row>
    <row r="169" customFormat="false" ht="34.5" hidden="false" customHeight="true" outlineLevel="0" collapsed="false">
      <c r="A169" s="195"/>
      <c r="B169" s="196"/>
      <c r="C169" s="197"/>
      <c r="D169" s="197"/>
      <c r="E169" s="197"/>
      <c r="F169" s="197"/>
      <c r="G169" s="180"/>
      <c r="H169" s="180"/>
      <c r="I169" s="180"/>
      <c r="J169" s="180"/>
      <c r="K169" s="180"/>
      <c r="L169" s="180"/>
      <c r="M169" s="180"/>
      <c r="N169" s="180"/>
      <c r="O169" s="181"/>
      <c r="P169" s="181"/>
      <c r="Q169" s="185"/>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row>
    <row r="170" customFormat="false" ht="34.5" hidden="false" customHeight="true" outlineLevel="0" collapsed="false">
      <c r="A170" s="195"/>
      <c r="B170" s="196"/>
      <c r="C170" s="197" t="s">
        <v>510</v>
      </c>
      <c r="D170" s="178" t="n">
        <v>4</v>
      </c>
      <c r="E170" s="178"/>
      <c r="F170" s="178"/>
      <c r="G170" s="180"/>
      <c r="H170" s="180"/>
      <c r="I170" s="180"/>
      <c r="J170" s="180"/>
      <c r="K170" s="180"/>
      <c r="L170" s="180"/>
      <c r="M170" s="180"/>
      <c r="N170" s="180"/>
      <c r="O170" s="181"/>
      <c r="P170" s="181"/>
      <c r="Q170" s="185"/>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row>
    <row r="171" customFormat="false" ht="34.5" hidden="false" customHeight="true" outlineLevel="0" collapsed="false">
      <c r="A171" s="195"/>
      <c r="B171" s="196"/>
      <c r="C171" s="196"/>
      <c r="D171" s="196"/>
      <c r="E171" s="196"/>
      <c r="F171" s="196"/>
      <c r="G171" s="180"/>
      <c r="H171" s="180"/>
      <c r="I171" s="180"/>
      <c r="J171" s="180"/>
      <c r="K171" s="180"/>
      <c r="L171" s="180"/>
      <c r="M171" s="180"/>
      <c r="N171" s="180"/>
      <c r="O171" s="181"/>
      <c r="P171" s="181"/>
      <c r="Q171" s="185"/>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row>
    <row r="172" customFormat="false" ht="34.5" hidden="false" customHeight="true" outlineLevel="0" collapsed="false">
      <c r="A172" s="195"/>
      <c r="B172" s="196"/>
      <c r="C172" s="197"/>
      <c r="D172" s="197"/>
      <c r="E172" s="197"/>
      <c r="F172" s="197"/>
      <c r="G172" s="180"/>
      <c r="H172" s="180"/>
      <c r="I172" s="180"/>
      <c r="J172" s="180"/>
      <c r="K172" s="180"/>
      <c r="L172" s="180"/>
      <c r="M172" s="180"/>
      <c r="N172" s="180"/>
      <c r="O172" s="181"/>
      <c r="P172" s="181"/>
      <c r="Q172" s="185"/>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row>
    <row r="173" customFormat="false" ht="34.5" hidden="false" customHeight="true" outlineLevel="0" collapsed="false">
      <c r="A173" s="195"/>
      <c r="B173" s="196"/>
      <c r="C173" s="197" t="s">
        <v>511</v>
      </c>
      <c r="D173" s="178" t="n">
        <v>4</v>
      </c>
      <c r="E173" s="178"/>
      <c r="F173" s="178"/>
      <c r="G173" s="180"/>
      <c r="H173" s="180"/>
      <c r="I173" s="180"/>
      <c r="J173" s="180"/>
      <c r="K173" s="180"/>
      <c r="L173" s="180"/>
      <c r="M173" s="180"/>
      <c r="N173" s="180"/>
      <c r="O173" s="181"/>
      <c r="P173" s="181"/>
      <c r="Q173" s="185"/>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row>
    <row r="174" customFormat="false" ht="34.5" hidden="false" customHeight="true" outlineLevel="0" collapsed="false">
      <c r="A174" s="195"/>
      <c r="B174" s="196"/>
      <c r="C174" s="196"/>
      <c r="D174" s="196"/>
      <c r="E174" s="196"/>
      <c r="F174" s="196"/>
      <c r="G174" s="180"/>
      <c r="H174" s="180"/>
      <c r="I174" s="180"/>
      <c r="J174" s="180"/>
      <c r="K174" s="180"/>
      <c r="L174" s="180"/>
      <c r="M174" s="180"/>
      <c r="N174" s="180"/>
      <c r="O174" s="181"/>
      <c r="P174" s="181"/>
      <c r="Q174" s="185"/>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row>
    <row r="175" customFormat="false" ht="34.5" hidden="false" customHeight="true" outlineLevel="0" collapsed="false">
      <c r="A175" s="195"/>
      <c r="B175" s="196"/>
      <c r="C175" s="197"/>
      <c r="D175" s="197"/>
      <c r="E175" s="197"/>
      <c r="F175" s="197"/>
      <c r="G175" s="180"/>
      <c r="H175" s="180"/>
      <c r="I175" s="180"/>
      <c r="J175" s="180"/>
      <c r="K175" s="180"/>
      <c r="L175" s="180"/>
      <c r="M175" s="180"/>
      <c r="N175" s="180"/>
      <c r="O175" s="181"/>
      <c r="P175" s="181"/>
      <c r="Q175" s="185"/>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row>
    <row r="176" customFormat="false" ht="34.5" hidden="false" customHeight="true" outlineLevel="0" collapsed="false">
      <c r="A176" s="195"/>
      <c r="B176" s="196"/>
      <c r="C176" s="197" t="s">
        <v>349</v>
      </c>
      <c r="D176" s="178" t="n">
        <v>2</v>
      </c>
      <c r="E176" s="178"/>
      <c r="F176" s="178"/>
      <c r="G176" s="180"/>
      <c r="H176" s="180"/>
      <c r="I176" s="180"/>
      <c r="J176" s="180"/>
      <c r="K176" s="180"/>
      <c r="L176" s="180"/>
      <c r="M176" s="180"/>
      <c r="N176" s="180"/>
      <c r="O176" s="181"/>
      <c r="P176" s="181"/>
      <c r="Q176" s="185"/>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row>
    <row r="177" customFormat="false" ht="34.5" hidden="false" customHeight="true" outlineLevel="0" collapsed="false">
      <c r="A177" s="195"/>
      <c r="B177" s="196"/>
      <c r="C177" s="196"/>
      <c r="D177" s="196"/>
      <c r="E177" s="196"/>
      <c r="F177" s="196"/>
      <c r="G177" s="180"/>
      <c r="H177" s="180"/>
      <c r="I177" s="180"/>
      <c r="J177" s="180"/>
      <c r="K177" s="180"/>
      <c r="L177" s="180"/>
      <c r="M177" s="180"/>
      <c r="N177" s="180"/>
      <c r="O177" s="181"/>
      <c r="P177" s="181"/>
      <c r="Q177" s="185"/>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row>
    <row r="178" customFormat="false" ht="34.5" hidden="false" customHeight="true" outlineLevel="0" collapsed="false">
      <c r="A178" s="195"/>
      <c r="B178" s="196"/>
      <c r="C178" s="197"/>
      <c r="D178" s="197"/>
      <c r="E178" s="197"/>
      <c r="F178" s="197"/>
      <c r="G178" s="180"/>
      <c r="H178" s="180"/>
      <c r="I178" s="180"/>
      <c r="J178" s="180"/>
      <c r="K178" s="180"/>
      <c r="L178" s="180"/>
      <c r="M178" s="180"/>
      <c r="N178" s="180"/>
      <c r="O178" s="181"/>
      <c r="P178" s="181"/>
      <c r="Q178" s="185"/>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row>
    <row r="179" customFormat="false" ht="34.5" hidden="false" customHeight="true" outlineLevel="0" collapsed="false">
      <c r="A179" s="195"/>
      <c r="B179" s="196"/>
      <c r="C179" s="197" t="s">
        <v>350</v>
      </c>
      <c r="D179" s="178" t="n">
        <v>2</v>
      </c>
      <c r="E179" s="178"/>
      <c r="F179" s="178"/>
      <c r="G179" s="180"/>
      <c r="H179" s="180"/>
      <c r="I179" s="180"/>
      <c r="J179" s="180"/>
      <c r="K179" s="180"/>
      <c r="L179" s="180"/>
      <c r="M179" s="180"/>
      <c r="N179" s="180"/>
      <c r="O179" s="181"/>
      <c r="P179" s="181"/>
      <c r="Q179" s="185"/>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row>
    <row r="180" customFormat="false" ht="34.5" hidden="false" customHeight="true" outlineLevel="0" collapsed="false">
      <c r="A180" s="195"/>
      <c r="B180" s="196"/>
      <c r="C180" s="196"/>
      <c r="D180" s="196"/>
      <c r="E180" s="196"/>
      <c r="F180" s="196"/>
      <c r="G180" s="180"/>
      <c r="H180" s="180"/>
      <c r="I180" s="180"/>
      <c r="J180" s="180"/>
      <c r="K180" s="180"/>
      <c r="L180" s="180"/>
      <c r="M180" s="180"/>
      <c r="N180" s="180"/>
      <c r="O180" s="181"/>
      <c r="P180" s="181"/>
      <c r="Q180" s="185"/>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row>
    <row r="181" customFormat="false" ht="34.5" hidden="false" customHeight="true" outlineLevel="0" collapsed="false">
      <c r="A181" s="195"/>
      <c r="B181" s="196"/>
      <c r="C181" s="197"/>
      <c r="D181" s="197"/>
      <c r="E181" s="197"/>
      <c r="F181" s="197"/>
      <c r="G181" s="180"/>
      <c r="H181" s="180"/>
      <c r="I181" s="180"/>
      <c r="J181" s="180"/>
      <c r="K181" s="180"/>
      <c r="L181" s="180"/>
      <c r="M181" s="180"/>
      <c r="N181" s="180"/>
      <c r="O181" s="181"/>
      <c r="P181" s="181"/>
      <c r="Q181" s="185"/>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row>
    <row r="182" customFormat="false" ht="33.75" hidden="false" customHeight="true" outlineLevel="0" collapsed="false">
      <c r="A182" s="195"/>
      <c r="B182" s="196"/>
      <c r="C182" s="197" t="s">
        <v>512</v>
      </c>
      <c r="D182" s="178" t="n">
        <v>3</v>
      </c>
      <c r="E182" s="178"/>
      <c r="F182" s="178"/>
      <c r="G182" s="180"/>
      <c r="H182" s="180"/>
      <c r="I182" s="180"/>
      <c r="J182" s="180"/>
      <c r="K182" s="180"/>
      <c r="L182" s="180"/>
      <c r="M182" s="180"/>
      <c r="N182" s="180"/>
      <c r="O182" s="181"/>
      <c r="P182" s="182"/>
      <c r="Q182" s="185"/>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row>
    <row r="183" customFormat="false" ht="35.25" hidden="false" customHeight="true" outlineLevel="0" collapsed="false">
      <c r="A183" s="195"/>
      <c r="B183" s="196"/>
      <c r="C183" s="196"/>
      <c r="D183" s="196"/>
      <c r="E183" s="196"/>
      <c r="F183" s="196"/>
      <c r="G183" s="180"/>
      <c r="H183" s="180"/>
      <c r="I183" s="186"/>
      <c r="J183" s="186"/>
      <c r="K183" s="186"/>
      <c r="L183" s="186"/>
      <c r="M183" s="180"/>
      <c r="N183" s="180"/>
      <c r="O183" s="187"/>
      <c r="P183" s="188"/>
      <c r="Q183" s="185"/>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row>
    <row r="184" customFormat="false" ht="32.25" hidden="false" customHeight="true" outlineLevel="0" collapsed="false">
      <c r="A184" s="195"/>
      <c r="B184" s="196"/>
      <c r="C184" s="197"/>
      <c r="D184" s="197"/>
      <c r="E184" s="197"/>
      <c r="F184" s="197"/>
      <c r="G184" s="180"/>
      <c r="H184" s="180"/>
      <c r="I184" s="180"/>
      <c r="J184" s="189"/>
      <c r="K184" s="189"/>
      <c r="L184" s="189"/>
      <c r="M184" s="189"/>
      <c r="N184" s="189"/>
      <c r="O184" s="189"/>
      <c r="P184" s="189"/>
      <c r="Q184" s="185"/>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row>
    <row r="185" customFormat="false" ht="39.75" hidden="false" customHeight="true" outlineLevel="0" collapsed="false">
      <c r="A185" s="195"/>
      <c r="B185" s="196"/>
      <c r="C185" s="197" t="s">
        <v>352</v>
      </c>
      <c r="D185" s="178" t="n">
        <v>2</v>
      </c>
      <c r="E185" s="178"/>
      <c r="F185" s="178"/>
      <c r="G185" s="180"/>
      <c r="H185" s="180"/>
      <c r="I185" s="180"/>
      <c r="J185" s="180"/>
      <c r="K185" s="180"/>
      <c r="L185" s="180"/>
      <c r="M185" s="180"/>
      <c r="N185" s="180"/>
      <c r="O185" s="181"/>
      <c r="P185" s="182"/>
      <c r="Q185" s="185"/>
      <c r="BM185" s="1"/>
    </row>
    <row r="186" customFormat="false" ht="35.25" hidden="false" customHeight="true" outlineLevel="0" collapsed="false">
      <c r="A186" s="195"/>
      <c r="B186" s="196"/>
      <c r="C186" s="196"/>
      <c r="D186" s="196"/>
      <c r="E186" s="196"/>
      <c r="F186" s="196"/>
      <c r="G186" s="180"/>
      <c r="H186" s="180"/>
      <c r="I186" s="180"/>
      <c r="J186" s="180"/>
      <c r="K186" s="180"/>
      <c r="L186" s="180"/>
      <c r="M186" s="180"/>
      <c r="N186" s="180"/>
      <c r="O186" s="181"/>
      <c r="P186" s="182"/>
      <c r="Q186" s="185"/>
      <c r="BM186" s="1"/>
    </row>
    <row r="187" customFormat="false" ht="34.5" hidden="false" customHeight="true" outlineLevel="0" collapsed="false">
      <c r="A187" s="195"/>
      <c r="B187" s="196"/>
      <c r="C187" s="196"/>
      <c r="D187" s="196"/>
      <c r="E187" s="196"/>
      <c r="F187" s="196"/>
      <c r="G187" s="180"/>
      <c r="H187" s="180"/>
      <c r="I187" s="180"/>
      <c r="J187" s="180"/>
      <c r="K187" s="180"/>
      <c r="L187" s="180"/>
      <c r="M187" s="180"/>
      <c r="N187" s="180"/>
      <c r="O187" s="181"/>
      <c r="P187" s="181"/>
      <c r="Q187" s="185"/>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row>
    <row r="188" customFormat="false" ht="34.5" hidden="false" customHeight="true" outlineLevel="0" collapsed="false">
      <c r="A188" s="195"/>
      <c r="B188" s="196" t="s">
        <v>513</v>
      </c>
      <c r="C188" s="198" t="s">
        <v>514</v>
      </c>
      <c r="D188" s="178" t="n">
        <v>4</v>
      </c>
      <c r="E188" s="178"/>
      <c r="F188" s="178"/>
      <c r="G188" s="180"/>
      <c r="H188" s="180"/>
      <c r="I188" s="180"/>
      <c r="J188" s="180"/>
      <c r="K188" s="180"/>
      <c r="L188" s="180"/>
      <c r="M188" s="180"/>
      <c r="N188" s="180"/>
      <c r="O188" s="181"/>
      <c r="P188" s="181"/>
      <c r="Q188" s="185"/>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row>
    <row r="189" customFormat="false" ht="34.5" hidden="false" customHeight="true" outlineLevel="0" collapsed="false">
      <c r="A189" s="195"/>
      <c r="B189" s="196"/>
      <c r="C189" s="196"/>
      <c r="D189" s="196"/>
      <c r="E189" s="196"/>
      <c r="F189" s="196"/>
      <c r="G189" s="180"/>
      <c r="H189" s="180"/>
      <c r="I189" s="180"/>
      <c r="J189" s="180"/>
      <c r="K189" s="180"/>
      <c r="L189" s="180"/>
      <c r="M189" s="180"/>
      <c r="N189" s="180"/>
      <c r="O189" s="181"/>
      <c r="P189" s="181"/>
      <c r="Q189" s="185"/>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row>
    <row r="190" customFormat="false" ht="39.75" hidden="false" customHeight="true" outlineLevel="0" collapsed="false">
      <c r="A190" s="195"/>
      <c r="B190" s="196"/>
      <c r="C190" s="198"/>
      <c r="D190" s="198"/>
      <c r="E190" s="198"/>
      <c r="F190" s="198"/>
      <c r="G190" s="180"/>
      <c r="H190" s="180"/>
      <c r="I190" s="180"/>
      <c r="J190" s="180"/>
      <c r="K190" s="180"/>
      <c r="L190" s="180"/>
      <c r="M190" s="180"/>
      <c r="N190" s="180"/>
      <c r="O190" s="181"/>
      <c r="P190" s="181"/>
      <c r="Q190" s="185"/>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row>
    <row r="191" customFormat="false" ht="34.5" hidden="false" customHeight="true" outlineLevel="0" collapsed="false">
      <c r="A191" s="195"/>
      <c r="B191" s="196"/>
      <c r="C191" s="199" t="s">
        <v>355</v>
      </c>
      <c r="D191" s="178" t="n">
        <v>4</v>
      </c>
      <c r="E191" s="178"/>
      <c r="F191" s="200"/>
      <c r="G191" s="180"/>
      <c r="H191" s="180"/>
      <c r="I191" s="180"/>
      <c r="J191" s="180"/>
      <c r="K191" s="180"/>
      <c r="L191" s="180"/>
      <c r="M191" s="180"/>
      <c r="N191" s="180"/>
      <c r="O191" s="181"/>
      <c r="P191" s="181"/>
      <c r="Q191" s="185"/>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row>
    <row r="192" customFormat="false" ht="34.5" hidden="false" customHeight="true" outlineLevel="0" collapsed="false">
      <c r="A192" s="195"/>
      <c r="B192" s="196"/>
      <c r="C192" s="196"/>
      <c r="D192" s="196"/>
      <c r="E192" s="196"/>
      <c r="F192" s="196"/>
      <c r="G192" s="180"/>
      <c r="H192" s="180"/>
      <c r="I192" s="180"/>
      <c r="J192" s="180"/>
      <c r="K192" s="180"/>
      <c r="L192" s="180"/>
      <c r="M192" s="180"/>
      <c r="N192" s="180"/>
      <c r="O192" s="181"/>
      <c r="P192" s="181"/>
      <c r="Q192" s="185"/>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row>
    <row r="193" customFormat="false" ht="34.5" hidden="false" customHeight="true" outlineLevel="0" collapsed="false">
      <c r="A193" s="195"/>
      <c r="B193" s="196"/>
      <c r="C193" s="196"/>
      <c r="D193" s="196"/>
      <c r="E193" s="196"/>
      <c r="F193" s="196"/>
      <c r="G193" s="180"/>
      <c r="H193" s="180"/>
      <c r="I193" s="180"/>
      <c r="J193" s="180"/>
      <c r="K193" s="180"/>
      <c r="L193" s="180"/>
      <c r="M193" s="180"/>
      <c r="N193" s="180"/>
      <c r="O193" s="181"/>
      <c r="P193" s="181"/>
      <c r="Q193" s="185"/>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row>
    <row r="194" customFormat="false" ht="33.75" hidden="false" customHeight="true" outlineLevel="0" collapsed="false">
      <c r="A194" s="195"/>
      <c r="B194" s="196" t="s">
        <v>515</v>
      </c>
      <c r="C194" s="197" t="s">
        <v>516</v>
      </c>
      <c r="D194" s="178" t="n">
        <v>1</v>
      </c>
      <c r="E194" s="178"/>
      <c r="F194" s="178"/>
      <c r="G194" s="180"/>
      <c r="H194" s="180"/>
      <c r="I194" s="180"/>
      <c r="J194" s="180"/>
      <c r="K194" s="180"/>
      <c r="L194" s="180"/>
      <c r="M194" s="180"/>
      <c r="N194" s="180"/>
      <c r="O194" s="181"/>
      <c r="P194" s="182"/>
      <c r="Q194" s="185"/>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row>
    <row r="195" customFormat="false" ht="35.25" hidden="false" customHeight="true" outlineLevel="0" collapsed="false">
      <c r="A195" s="195"/>
      <c r="B195" s="196"/>
      <c r="C195" s="196"/>
      <c r="D195" s="196"/>
      <c r="E195" s="196"/>
      <c r="F195" s="196"/>
      <c r="G195" s="180"/>
      <c r="H195" s="180"/>
      <c r="I195" s="186"/>
      <c r="J195" s="186"/>
      <c r="K195" s="186"/>
      <c r="L195" s="186"/>
      <c r="M195" s="180"/>
      <c r="N195" s="180"/>
      <c r="O195" s="187"/>
      <c r="P195" s="188"/>
      <c r="Q195" s="185"/>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row>
    <row r="196" customFormat="false" ht="32.25" hidden="false" customHeight="true" outlineLevel="0" collapsed="false">
      <c r="A196" s="195"/>
      <c r="B196" s="196"/>
      <c r="C196" s="197"/>
      <c r="D196" s="197"/>
      <c r="E196" s="197"/>
      <c r="F196" s="197"/>
      <c r="G196" s="180"/>
      <c r="H196" s="180"/>
      <c r="I196" s="180"/>
      <c r="J196" s="189"/>
      <c r="K196" s="189"/>
      <c r="L196" s="189"/>
      <c r="M196" s="189"/>
      <c r="N196" s="189"/>
      <c r="O196" s="189"/>
      <c r="P196" s="189"/>
      <c r="Q196" s="185"/>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row>
    <row r="197" customFormat="false" ht="32.25" hidden="false" customHeight="true" outlineLevel="0" collapsed="false">
      <c r="A197" s="195"/>
      <c r="B197" s="196"/>
      <c r="C197" s="197" t="s">
        <v>517</v>
      </c>
      <c r="D197" s="178" t="n">
        <v>3</v>
      </c>
      <c r="E197" s="178"/>
      <c r="F197" s="178"/>
      <c r="G197" s="180"/>
      <c r="H197" s="180"/>
      <c r="I197" s="180"/>
      <c r="J197" s="189"/>
      <c r="K197" s="189"/>
      <c r="L197" s="189"/>
      <c r="M197" s="189"/>
      <c r="N197" s="189"/>
      <c r="O197" s="189"/>
      <c r="P197" s="189"/>
      <c r="Q197" s="185"/>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row>
    <row r="198" customFormat="false" ht="32.25" hidden="false" customHeight="true" outlineLevel="0" collapsed="false">
      <c r="A198" s="195"/>
      <c r="B198" s="196"/>
      <c r="C198" s="196"/>
      <c r="D198" s="196"/>
      <c r="E198" s="196"/>
      <c r="F198" s="196"/>
      <c r="G198" s="180"/>
      <c r="H198" s="180"/>
      <c r="I198" s="180"/>
      <c r="J198" s="189"/>
      <c r="K198" s="189"/>
      <c r="L198" s="189"/>
      <c r="M198" s="189"/>
      <c r="N198" s="189"/>
      <c r="O198" s="189"/>
      <c r="P198" s="189"/>
      <c r="Q198" s="185"/>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row>
    <row r="199" customFormat="false" ht="32.25" hidden="false" customHeight="true" outlineLevel="0" collapsed="false">
      <c r="A199" s="195"/>
      <c r="B199" s="196"/>
      <c r="C199" s="197"/>
      <c r="D199" s="197"/>
      <c r="E199" s="197"/>
      <c r="F199" s="197"/>
      <c r="G199" s="180"/>
      <c r="H199" s="180"/>
      <c r="I199" s="180"/>
      <c r="J199" s="189"/>
      <c r="K199" s="189"/>
      <c r="L199" s="189"/>
      <c r="M199" s="189"/>
      <c r="N199" s="189"/>
      <c r="O199" s="189"/>
      <c r="P199" s="189"/>
      <c r="Q199" s="185"/>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row>
    <row r="200" customFormat="false" ht="39.75" hidden="false" customHeight="true" outlineLevel="0" collapsed="false">
      <c r="A200" s="195"/>
      <c r="B200" s="196"/>
      <c r="C200" s="197" t="s">
        <v>518</v>
      </c>
      <c r="D200" s="178" t="n">
        <v>1</v>
      </c>
      <c r="E200" s="178"/>
      <c r="F200" s="178"/>
      <c r="G200" s="180"/>
      <c r="H200" s="180"/>
      <c r="I200" s="180"/>
      <c r="J200" s="180"/>
      <c r="K200" s="180"/>
      <c r="L200" s="180"/>
      <c r="M200" s="180"/>
      <c r="N200" s="180"/>
      <c r="O200" s="181"/>
      <c r="P200" s="182"/>
      <c r="Q200" s="185"/>
      <c r="BM200" s="1"/>
    </row>
    <row r="201" customFormat="false" ht="35.25" hidden="false" customHeight="true" outlineLevel="0" collapsed="false">
      <c r="A201" s="195"/>
      <c r="B201" s="196"/>
      <c r="C201" s="196"/>
      <c r="D201" s="196"/>
      <c r="E201" s="196"/>
      <c r="F201" s="196"/>
      <c r="G201" s="180"/>
      <c r="H201" s="180"/>
      <c r="I201" s="180"/>
      <c r="J201" s="180"/>
      <c r="K201" s="180"/>
      <c r="L201" s="180"/>
      <c r="M201" s="180"/>
      <c r="N201" s="180"/>
      <c r="O201" s="181"/>
      <c r="P201" s="182"/>
      <c r="Q201" s="185"/>
      <c r="BM201" s="1"/>
    </row>
    <row r="202" customFormat="false" ht="34.5" hidden="false" customHeight="true" outlineLevel="0" collapsed="false">
      <c r="A202" s="195"/>
      <c r="B202" s="196"/>
      <c r="C202" s="197"/>
      <c r="D202" s="197"/>
      <c r="E202" s="197"/>
      <c r="F202" s="197"/>
      <c r="G202" s="180"/>
      <c r="H202" s="180"/>
      <c r="I202" s="180"/>
      <c r="J202" s="180"/>
      <c r="K202" s="180"/>
      <c r="L202" s="180"/>
      <c r="M202" s="180"/>
      <c r="N202" s="180"/>
      <c r="O202" s="181"/>
      <c r="P202" s="181"/>
      <c r="Q202" s="185"/>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row>
    <row r="203" customFormat="false" ht="39.75" hidden="false" customHeight="true" outlineLevel="0" collapsed="false">
      <c r="A203" s="195"/>
      <c r="B203" s="196"/>
      <c r="C203" s="197" t="s">
        <v>519</v>
      </c>
      <c r="D203" s="178" t="n">
        <v>1</v>
      </c>
      <c r="E203" s="178"/>
      <c r="F203" s="178"/>
      <c r="G203" s="180"/>
      <c r="H203" s="180"/>
      <c r="I203" s="180"/>
      <c r="J203" s="180"/>
      <c r="K203" s="180"/>
      <c r="L203" s="180"/>
      <c r="M203" s="180"/>
      <c r="N203" s="180"/>
      <c r="O203" s="181"/>
      <c r="P203" s="182"/>
      <c r="Q203" s="185"/>
      <c r="BM203" s="1"/>
    </row>
    <row r="204" customFormat="false" ht="35.25" hidden="false" customHeight="true" outlineLevel="0" collapsed="false">
      <c r="A204" s="195"/>
      <c r="B204" s="196"/>
      <c r="C204" s="196"/>
      <c r="D204" s="196"/>
      <c r="E204" s="196"/>
      <c r="F204" s="196"/>
      <c r="G204" s="180"/>
      <c r="H204" s="180"/>
      <c r="I204" s="180"/>
      <c r="J204" s="180"/>
      <c r="K204" s="180"/>
      <c r="L204" s="180"/>
      <c r="M204" s="180"/>
      <c r="N204" s="180"/>
      <c r="O204" s="181"/>
      <c r="P204" s="182"/>
      <c r="Q204" s="185"/>
      <c r="BM204" s="1"/>
    </row>
    <row r="205" customFormat="false" ht="34.5" hidden="false" customHeight="true" outlineLevel="0" collapsed="false">
      <c r="A205" s="195"/>
      <c r="B205" s="196"/>
      <c r="C205" s="196"/>
      <c r="D205" s="196"/>
      <c r="E205" s="196"/>
      <c r="F205" s="196"/>
      <c r="G205" s="180"/>
      <c r="H205" s="180"/>
      <c r="I205" s="180"/>
      <c r="J205" s="180"/>
      <c r="K205" s="180"/>
      <c r="L205" s="180"/>
      <c r="M205" s="180"/>
      <c r="N205" s="180"/>
      <c r="O205" s="181"/>
      <c r="P205" s="181"/>
      <c r="Q205" s="185"/>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row>
    <row r="206" customFormat="false" ht="34.5" hidden="false" customHeight="true" outlineLevel="0" collapsed="false">
      <c r="A206" s="201" t="s">
        <v>24</v>
      </c>
      <c r="B206" s="202" t="s">
        <v>520</v>
      </c>
      <c r="C206" s="203" t="s">
        <v>521</v>
      </c>
      <c r="D206" s="178" t="n">
        <v>4</v>
      </c>
      <c r="E206" s="178"/>
      <c r="F206" s="178"/>
      <c r="G206" s="180"/>
      <c r="H206" s="180"/>
      <c r="I206" s="180"/>
      <c r="J206" s="180"/>
      <c r="K206" s="180"/>
      <c r="L206" s="180"/>
      <c r="M206" s="180"/>
      <c r="N206" s="180"/>
      <c r="O206" s="181"/>
      <c r="P206" s="181"/>
      <c r="Q206" s="185"/>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row>
    <row r="207" customFormat="false" ht="34.5" hidden="false" customHeight="true" outlineLevel="0" collapsed="false">
      <c r="A207" s="201"/>
      <c r="B207" s="202"/>
      <c r="C207" s="202"/>
      <c r="D207" s="202"/>
      <c r="E207" s="202"/>
      <c r="F207" s="202"/>
      <c r="G207" s="180"/>
      <c r="H207" s="180"/>
      <c r="I207" s="180"/>
      <c r="J207" s="180"/>
      <c r="K207" s="180"/>
      <c r="L207" s="180"/>
      <c r="M207" s="180"/>
      <c r="N207" s="180"/>
      <c r="O207" s="181"/>
      <c r="P207" s="181"/>
      <c r="Q207" s="185"/>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row>
    <row r="208" customFormat="false" ht="34.5" hidden="false" customHeight="true" outlineLevel="0" collapsed="false">
      <c r="A208" s="201"/>
      <c r="B208" s="202"/>
      <c r="C208" s="203"/>
      <c r="D208" s="203"/>
      <c r="E208" s="203"/>
      <c r="F208" s="203"/>
      <c r="G208" s="180"/>
      <c r="H208" s="180"/>
      <c r="I208" s="180"/>
      <c r="J208" s="180"/>
      <c r="K208" s="180"/>
      <c r="L208" s="180"/>
      <c r="M208" s="180"/>
      <c r="N208" s="180"/>
      <c r="O208" s="181"/>
      <c r="P208" s="181"/>
      <c r="Q208" s="185"/>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row>
    <row r="209" customFormat="false" ht="34.5" hidden="false" customHeight="true" outlineLevel="0" collapsed="false">
      <c r="A209" s="201"/>
      <c r="B209" s="202"/>
      <c r="C209" s="203" t="s">
        <v>522</v>
      </c>
      <c r="D209" s="178" t="n">
        <v>1</v>
      </c>
      <c r="E209" s="178"/>
      <c r="F209" s="178"/>
      <c r="G209" s="180"/>
      <c r="H209" s="180"/>
      <c r="I209" s="180"/>
      <c r="J209" s="180"/>
      <c r="K209" s="180"/>
      <c r="L209" s="180"/>
      <c r="M209" s="180"/>
      <c r="N209" s="180"/>
      <c r="O209" s="181"/>
      <c r="P209" s="181"/>
      <c r="Q209" s="185"/>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row>
    <row r="210" customFormat="false" ht="34.5" hidden="false" customHeight="true" outlineLevel="0" collapsed="false">
      <c r="A210" s="201"/>
      <c r="B210" s="202"/>
      <c r="C210" s="202"/>
      <c r="D210" s="202"/>
      <c r="E210" s="202"/>
      <c r="F210" s="202"/>
      <c r="G210" s="180"/>
      <c r="H210" s="180"/>
      <c r="I210" s="180"/>
      <c r="J210" s="180"/>
      <c r="K210" s="180"/>
      <c r="L210" s="180"/>
      <c r="M210" s="180"/>
      <c r="N210" s="180"/>
      <c r="O210" s="181"/>
      <c r="P210" s="181"/>
      <c r="Q210" s="185"/>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row>
    <row r="211" customFormat="false" ht="34.5" hidden="false" customHeight="true" outlineLevel="0" collapsed="false">
      <c r="A211" s="201"/>
      <c r="B211" s="202"/>
      <c r="C211" s="203"/>
      <c r="D211" s="203"/>
      <c r="E211" s="203"/>
      <c r="F211" s="203"/>
      <c r="G211" s="180"/>
      <c r="H211" s="180"/>
      <c r="I211" s="180"/>
      <c r="J211" s="180"/>
      <c r="K211" s="180"/>
      <c r="L211" s="180"/>
      <c r="M211" s="180"/>
      <c r="N211" s="180"/>
      <c r="O211" s="181"/>
      <c r="P211" s="181"/>
      <c r="Q211" s="185"/>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row>
    <row r="212" customFormat="false" ht="34.5" hidden="false" customHeight="true" outlineLevel="0" collapsed="false">
      <c r="A212" s="201"/>
      <c r="B212" s="202"/>
      <c r="C212" s="203" t="s">
        <v>523</v>
      </c>
      <c r="D212" s="178" t="n">
        <v>4</v>
      </c>
      <c r="E212" s="178"/>
      <c r="F212" s="178"/>
      <c r="G212" s="180"/>
      <c r="H212" s="180"/>
      <c r="I212" s="180"/>
      <c r="J212" s="180"/>
      <c r="K212" s="180"/>
      <c r="L212" s="180"/>
      <c r="M212" s="180"/>
      <c r="N212" s="180"/>
      <c r="O212" s="181"/>
      <c r="P212" s="181"/>
      <c r="Q212" s="185"/>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row>
    <row r="213" customFormat="false" ht="34.5" hidden="false" customHeight="true" outlineLevel="0" collapsed="false">
      <c r="A213" s="201"/>
      <c r="B213" s="202"/>
      <c r="C213" s="202"/>
      <c r="D213" s="202"/>
      <c r="E213" s="202"/>
      <c r="F213" s="202"/>
      <c r="G213" s="180"/>
      <c r="H213" s="180"/>
      <c r="I213" s="180"/>
      <c r="J213" s="180"/>
      <c r="K213" s="180"/>
      <c r="L213" s="180"/>
      <c r="M213" s="180"/>
      <c r="N213" s="180"/>
      <c r="O213" s="181"/>
      <c r="P213" s="181"/>
      <c r="Q213" s="185"/>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row>
    <row r="214" customFormat="false" ht="34.5" hidden="false" customHeight="true" outlineLevel="0" collapsed="false">
      <c r="A214" s="201"/>
      <c r="B214" s="202"/>
      <c r="C214" s="203"/>
      <c r="D214" s="203"/>
      <c r="E214" s="203"/>
      <c r="F214" s="203"/>
      <c r="G214" s="180"/>
      <c r="H214" s="180"/>
      <c r="I214" s="180"/>
      <c r="J214" s="180"/>
      <c r="K214" s="180"/>
      <c r="L214" s="180"/>
      <c r="M214" s="180"/>
      <c r="N214" s="180"/>
      <c r="O214" s="181"/>
      <c r="P214" s="181"/>
      <c r="Q214" s="185"/>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row>
    <row r="215" customFormat="false" ht="34.5" hidden="false" customHeight="true" outlineLevel="0" collapsed="false">
      <c r="A215" s="201"/>
      <c r="B215" s="202"/>
      <c r="C215" s="203" t="s">
        <v>366</v>
      </c>
      <c r="D215" s="178" t="n">
        <v>3</v>
      </c>
      <c r="E215" s="178"/>
      <c r="F215" s="178"/>
      <c r="G215" s="180"/>
      <c r="H215" s="180"/>
      <c r="I215" s="180"/>
      <c r="J215" s="180"/>
      <c r="K215" s="180"/>
      <c r="L215" s="180"/>
      <c r="M215" s="180"/>
      <c r="N215" s="180"/>
      <c r="O215" s="181"/>
      <c r="P215" s="181"/>
      <c r="Q215" s="185"/>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row>
    <row r="216" customFormat="false" ht="34.5" hidden="false" customHeight="true" outlineLevel="0" collapsed="false">
      <c r="A216" s="201"/>
      <c r="B216" s="202"/>
      <c r="C216" s="202"/>
      <c r="D216" s="202"/>
      <c r="E216" s="202"/>
      <c r="F216" s="202"/>
      <c r="G216" s="180"/>
      <c r="H216" s="180"/>
      <c r="I216" s="180"/>
      <c r="J216" s="180"/>
      <c r="K216" s="180"/>
      <c r="L216" s="180"/>
      <c r="M216" s="180"/>
      <c r="N216" s="180"/>
      <c r="O216" s="181"/>
      <c r="P216" s="181"/>
      <c r="Q216" s="185"/>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row>
    <row r="217" customFormat="false" ht="34.5" hidden="false" customHeight="true" outlineLevel="0" collapsed="false">
      <c r="A217" s="201"/>
      <c r="B217" s="202"/>
      <c r="C217" s="203"/>
      <c r="D217" s="203"/>
      <c r="E217" s="203"/>
      <c r="F217" s="203"/>
      <c r="G217" s="180"/>
      <c r="H217" s="180"/>
      <c r="I217" s="180"/>
      <c r="J217" s="180"/>
      <c r="K217" s="180"/>
      <c r="L217" s="180"/>
      <c r="M217" s="180"/>
      <c r="N217" s="180"/>
      <c r="O217" s="181"/>
      <c r="P217" s="181"/>
      <c r="Q217" s="185"/>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row>
    <row r="218" customFormat="false" ht="34.5" hidden="false" customHeight="true" outlineLevel="0" collapsed="false">
      <c r="A218" s="201"/>
      <c r="B218" s="202"/>
      <c r="C218" s="203" t="s">
        <v>367</v>
      </c>
      <c r="D218" s="178" t="n">
        <v>3</v>
      </c>
      <c r="E218" s="178"/>
      <c r="F218" s="178"/>
      <c r="G218" s="180"/>
      <c r="H218" s="180"/>
      <c r="I218" s="180"/>
      <c r="J218" s="180"/>
      <c r="K218" s="180"/>
      <c r="L218" s="180"/>
      <c r="M218" s="180"/>
      <c r="N218" s="180"/>
      <c r="O218" s="181"/>
      <c r="P218" s="181"/>
      <c r="Q218" s="185"/>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row>
    <row r="219" customFormat="false" ht="34.5" hidden="false" customHeight="true" outlineLevel="0" collapsed="false">
      <c r="A219" s="201"/>
      <c r="B219" s="202"/>
      <c r="C219" s="202"/>
      <c r="D219" s="202"/>
      <c r="E219" s="202"/>
      <c r="F219" s="202"/>
      <c r="G219" s="180"/>
      <c r="H219" s="180"/>
      <c r="I219" s="180"/>
      <c r="J219" s="180"/>
      <c r="K219" s="180"/>
      <c r="L219" s="180"/>
      <c r="M219" s="180"/>
      <c r="N219" s="180"/>
      <c r="O219" s="181"/>
      <c r="P219" s="181"/>
      <c r="Q219" s="185"/>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row>
    <row r="220" customFormat="false" ht="34.5" hidden="false" customHeight="true" outlineLevel="0" collapsed="false">
      <c r="A220" s="201"/>
      <c r="B220" s="202"/>
      <c r="C220" s="202"/>
      <c r="D220" s="202"/>
      <c r="E220" s="202"/>
      <c r="F220" s="202"/>
      <c r="G220" s="180"/>
      <c r="H220" s="180"/>
      <c r="I220" s="180"/>
      <c r="J220" s="180"/>
      <c r="K220" s="180"/>
      <c r="L220" s="180"/>
      <c r="M220" s="180"/>
      <c r="N220" s="180"/>
      <c r="O220" s="181"/>
      <c r="P220" s="181"/>
      <c r="Q220" s="185"/>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row>
    <row r="221" customFormat="false" ht="33.75" hidden="false" customHeight="true" outlineLevel="0" collapsed="false">
      <c r="A221" s="201"/>
      <c r="B221" s="202" t="s">
        <v>524</v>
      </c>
      <c r="C221" s="203" t="s">
        <v>369</v>
      </c>
      <c r="D221" s="178" t="n">
        <v>2</v>
      </c>
      <c r="E221" s="178"/>
      <c r="F221" s="178"/>
      <c r="G221" s="180"/>
      <c r="H221" s="180"/>
      <c r="I221" s="180"/>
      <c r="J221" s="180"/>
      <c r="K221" s="180"/>
      <c r="L221" s="180"/>
      <c r="M221" s="180"/>
      <c r="N221" s="180"/>
      <c r="O221" s="181"/>
      <c r="P221" s="182"/>
      <c r="Q221" s="185"/>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row>
    <row r="222" customFormat="false" ht="35.25" hidden="false" customHeight="true" outlineLevel="0" collapsed="false">
      <c r="A222" s="201"/>
      <c r="B222" s="202"/>
      <c r="C222" s="202"/>
      <c r="D222" s="202"/>
      <c r="E222" s="202"/>
      <c r="F222" s="202"/>
      <c r="G222" s="180"/>
      <c r="H222" s="180"/>
      <c r="I222" s="186"/>
      <c r="J222" s="186"/>
      <c r="K222" s="186"/>
      <c r="L222" s="186"/>
      <c r="M222" s="180"/>
      <c r="N222" s="180"/>
      <c r="O222" s="187"/>
      <c r="P222" s="188"/>
      <c r="Q222" s="185"/>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row>
    <row r="223" customFormat="false" ht="32.25" hidden="false" customHeight="true" outlineLevel="0" collapsed="false">
      <c r="A223" s="201"/>
      <c r="B223" s="202"/>
      <c r="C223" s="203"/>
      <c r="D223" s="203"/>
      <c r="E223" s="203"/>
      <c r="F223" s="203"/>
      <c r="G223" s="180"/>
      <c r="H223" s="180"/>
      <c r="I223" s="180"/>
      <c r="J223" s="189"/>
      <c r="K223" s="189"/>
      <c r="L223" s="189"/>
      <c r="M223" s="189"/>
      <c r="N223" s="189"/>
      <c r="O223" s="189"/>
      <c r="P223" s="189"/>
      <c r="Q223" s="185"/>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row>
    <row r="224" customFormat="false" ht="39.75" hidden="false" customHeight="true" outlineLevel="0" collapsed="false">
      <c r="A224" s="201"/>
      <c r="B224" s="202"/>
      <c r="C224" s="203" t="s">
        <v>525</v>
      </c>
      <c r="D224" s="178" t="n">
        <v>2</v>
      </c>
      <c r="E224" s="178"/>
      <c r="F224" s="178"/>
      <c r="G224" s="180"/>
      <c r="H224" s="180"/>
      <c r="I224" s="180"/>
      <c r="J224" s="180"/>
      <c r="K224" s="180"/>
      <c r="L224" s="180"/>
      <c r="M224" s="180"/>
      <c r="N224" s="180"/>
      <c r="O224" s="181"/>
      <c r="P224" s="182"/>
      <c r="Q224" s="185"/>
      <c r="BM224" s="1"/>
    </row>
    <row r="225" customFormat="false" ht="35.25" hidden="false" customHeight="true" outlineLevel="0" collapsed="false">
      <c r="A225" s="201"/>
      <c r="B225" s="202"/>
      <c r="C225" s="202"/>
      <c r="D225" s="202"/>
      <c r="E225" s="202"/>
      <c r="F225" s="202"/>
      <c r="G225" s="180"/>
      <c r="H225" s="180"/>
      <c r="I225" s="180"/>
      <c r="J225" s="180"/>
      <c r="K225" s="180"/>
      <c r="L225" s="180"/>
      <c r="M225" s="180"/>
      <c r="N225" s="180"/>
      <c r="O225" s="181"/>
      <c r="P225" s="182"/>
      <c r="Q225" s="185"/>
      <c r="BM225" s="1"/>
    </row>
    <row r="226" customFormat="false" ht="34.5" hidden="false" customHeight="true" outlineLevel="0" collapsed="false">
      <c r="A226" s="201"/>
      <c r="B226" s="202"/>
      <c r="C226" s="203"/>
      <c r="D226" s="203"/>
      <c r="E226" s="203"/>
      <c r="F226" s="203"/>
      <c r="G226" s="180"/>
      <c r="H226" s="180"/>
      <c r="I226" s="180"/>
      <c r="J226" s="180"/>
      <c r="K226" s="180"/>
      <c r="L226" s="180"/>
      <c r="M226" s="180"/>
      <c r="N226" s="180"/>
      <c r="O226" s="181"/>
      <c r="P226" s="181"/>
      <c r="Q226" s="185"/>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row>
    <row r="227" customFormat="false" ht="34.5" hidden="false" customHeight="true" outlineLevel="0" collapsed="false">
      <c r="A227" s="201"/>
      <c r="B227" s="202"/>
      <c r="C227" s="203" t="s">
        <v>526</v>
      </c>
      <c r="D227" s="178" t="n">
        <v>2</v>
      </c>
      <c r="E227" s="178"/>
      <c r="F227" s="178"/>
      <c r="G227" s="180"/>
      <c r="H227" s="180"/>
      <c r="I227" s="180"/>
      <c r="J227" s="180"/>
      <c r="K227" s="180"/>
      <c r="L227" s="180"/>
      <c r="M227" s="180"/>
      <c r="N227" s="180"/>
      <c r="O227" s="181"/>
      <c r="P227" s="181"/>
      <c r="Q227" s="185"/>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row>
    <row r="228" customFormat="false" ht="34.5" hidden="false" customHeight="true" outlineLevel="0" collapsed="false">
      <c r="A228" s="201"/>
      <c r="B228" s="202"/>
      <c r="C228" s="202"/>
      <c r="D228" s="202"/>
      <c r="E228" s="202"/>
      <c r="F228" s="202"/>
      <c r="G228" s="180"/>
      <c r="H228" s="180"/>
      <c r="I228" s="180"/>
      <c r="J228" s="180"/>
      <c r="K228" s="180"/>
      <c r="L228" s="180"/>
      <c r="M228" s="180"/>
      <c r="N228" s="180"/>
      <c r="O228" s="181"/>
      <c r="P228" s="181"/>
      <c r="Q228" s="185"/>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row>
    <row r="229" customFormat="false" ht="34.5" hidden="false" customHeight="true" outlineLevel="0" collapsed="false">
      <c r="A229" s="201"/>
      <c r="B229" s="202"/>
      <c r="C229" s="203"/>
      <c r="D229" s="203"/>
      <c r="E229" s="203"/>
      <c r="F229" s="203"/>
      <c r="G229" s="180"/>
      <c r="H229" s="180"/>
      <c r="I229" s="180"/>
      <c r="J229" s="180"/>
      <c r="K229" s="180"/>
      <c r="L229" s="180"/>
      <c r="M229" s="180"/>
      <c r="N229" s="180"/>
      <c r="O229" s="181"/>
      <c r="P229" s="181"/>
      <c r="Q229" s="185"/>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row>
    <row r="230" customFormat="false" ht="34.5" hidden="false" customHeight="true" outlineLevel="0" collapsed="false">
      <c r="A230" s="201"/>
      <c r="B230" s="202"/>
      <c r="C230" s="203" t="s">
        <v>527</v>
      </c>
      <c r="D230" s="178" t="n">
        <v>1</v>
      </c>
      <c r="E230" s="178"/>
      <c r="F230" s="178"/>
      <c r="G230" s="180"/>
      <c r="H230" s="180"/>
      <c r="I230" s="180"/>
      <c r="J230" s="180"/>
      <c r="K230" s="180"/>
      <c r="L230" s="180"/>
      <c r="M230" s="180"/>
      <c r="N230" s="180"/>
      <c r="O230" s="181"/>
      <c r="P230" s="181"/>
      <c r="Q230" s="185"/>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row>
    <row r="231" customFormat="false" ht="34.5" hidden="false" customHeight="true" outlineLevel="0" collapsed="false">
      <c r="A231" s="201"/>
      <c r="B231" s="202"/>
      <c r="C231" s="202"/>
      <c r="D231" s="202"/>
      <c r="E231" s="202"/>
      <c r="F231" s="202"/>
      <c r="G231" s="180"/>
      <c r="H231" s="180"/>
      <c r="I231" s="180"/>
      <c r="J231" s="180"/>
      <c r="K231" s="180"/>
      <c r="L231" s="180"/>
      <c r="M231" s="180"/>
      <c r="N231" s="180"/>
      <c r="O231" s="181"/>
      <c r="P231" s="181"/>
      <c r="Q231" s="185"/>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row>
    <row r="232" customFormat="false" ht="34.5" hidden="false" customHeight="true" outlineLevel="0" collapsed="false">
      <c r="A232" s="201"/>
      <c r="B232" s="202"/>
      <c r="C232" s="203"/>
      <c r="D232" s="203"/>
      <c r="E232" s="203"/>
      <c r="F232" s="203"/>
      <c r="G232" s="180"/>
      <c r="H232" s="180"/>
      <c r="I232" s="180"/>
      <c r="J232" s="180"/>
      <c r="K232" s="180"/>
      <c r="L232" s="180"/>
      <c r="M232" s="180"/>
      <c r="N232" s="180"/>
      <c r="O232" s="181"/>
      <c r="P232" s="181"/>
      <c r="Q232" s="185"/>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row>
    <row r="233" customFormat="false" ht="34.5" hidden="false" customHeight="true" outlineLevel="0" collapsed="false">
      <c r="A233" s="201"/>
      <c r="B233" s="202"/>
      <c r="C233" s="203" t="s">
        <v>528</v>
      </c>
      <c r="D233" s="178" t="n">
        <v>3</v>
      </c>
      <c r="E233" s="178"/>
      <c r="F233" s="178"/>
      <c r="G233" s="180"/>
      <c r="H233" s="180"/>
      <c r="I233" s="180"/>
      <c r="J233" s="180"/>
      <c r="K233" s="180"/>
      <c r="L233" s="180"/>
      <c r="M233" s="180"/>
      <c r="N233" s="180"/>
      <c r="O233" s="181"/>
      <c r="P233" s="181"/>
      <c r="Q233" s="185"/>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row>
    <row r="234" customFormat="false" ht="34.5" hidden="false" customHeight="true" outlineLevel="0" collapsed="false">
      <c r="A234" s="201"/>
      <c r="B234" s="202"/>
      <c r="C234" s="202"/>
      <c r="D234" s="202"/>
      <c r="E234" s="202"/>
      <c r="F234" s="202"/>
      <c r="G234" s="180"/>
      <c r="H234" s="180"/>
      <c r="I234" s="180"/>
      <c r="J234" s="180"/>
      <c r="K234" s="180"/>
      <c r="L234" s="180"/>
      <c r="M234" s="180"/>
      <c r="N234" s="180"/>
      <c r="O234" s="181"/>
      <c r="P234" s="181"/>
      <c r="Q234" s="185"/>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row>
    <row r="235" customFormat="false" ht="34.5" hidden="false" customHeight="true" outlineLevel="0" collapsed="false">
      <c r="A235" s="201"/>
      <c r="B235" s="202"/>
      <c r="C235" s="203"/>
      <c r="D235" s="203"/>
      <c r="E235" s="203"/>
      <c r="F235" s="203"/>
      <c r="G235" s="180"/>
      <c r="H235" s="180"/>
      <c r="I235" s="180"/>
      <c r="J235" s="180"/>
      <c r="K235" s="180"/>
      <c r="L235" s="180"/>
      <c r="M235" s="180"/>
      <c r="N235" s="180"/>
      <c r="O235" s="181"/>
      <c r="P235" s="181"/>
      <c r="Q235" s="185"/>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row>
    <row r="236" customFormat="false" ht="34.5" hidden="false" customHeight="true" outlineLevel="0" collapsed="false">
      <c r="A236" s="201"/>
      <c r="B236" s="202"/>
      <c r="C236" s="203" t="s">
        <v>374</v>
      </c>
      <c r="D236" s="178" t="n">
        <v>1</v>
      </c>
      <c r="E236" s="178"/>
      <c r="F236" s="178"/>
      <c r="G236" s="180"/>
      <c r="H236" s="180"/>
      <c r="I236" s="180"/>
      <c r="J236" s="180"/>
      <c r="K236" s="180"/>
      <c r="L236" s="180"/>
      <c r="M236" s="180"/>
      <c r="N236" s="180"/>
      <c r="O236" s="181"/>
      <c r="P236" s="181"/>
      <c r="Q236" s="185"/>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row>
    <row r="237" customFormat="false" ht="34.5" hidden="false" customHeight="true" outlineLevel="0" collapsed="false">
      <c r="A237" s="201"/>
      <c r="B237" s="202"/>
      <c r="C237" s="202"/>
      <c r="D237" s="202"/>
      <c r="E237" s="202"/>
      <c r="F237" s="202"/>
      <c r="G237" s="180"/>
      <c r="H237" s="180"/>
      <c r="I237" s="180"/>
      <c r="J237" s="180"/>
      <c r="K237" s="180"/>
      <c r="L237" s="180"/>
      <c r="M237" s="180"/>
      <c r="N237" s="180"/>
      <c r="O237" s="181"/>
      <c r="P237" s="181"/>
      <c r="Q237" s="185"/>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row>
    <row r="238" customFormat="false" ht="34.5" hidden="false" customHeight="true" outlineLevel="0" collapsed="false">
      <c r="A238" s="201"/>
      <c r="B238" s="202"/>
      <c r="C238" s="203"/>
      <c r="D238" s="203"/>
      <c r="E238" s="203"/>
      <c r="F238" s="203"/>
      <c r="G238" s="180"/>
      <c r="H238" s="180"/>
      <c r="I238" s="180"/>
      <c r="J238" s="180"/>
      <c r="K238" s="180"/>
      <c r="L238" s="180"/>
      <c r="M238" s="180"/>
      <c r="N238" s="180"/>
      <c r="O238" s="181"/>
      <c r="P238" s="181"/>
      <c r="Q238" s="185"/>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row>
    <row r="239" customFormat="false" ht="34.5" hidden="false" customHeight="true" outlineLevel="0" collapsed="false">
      <c r="A239" s="201"/>
      <c r="B239" s="202"/>
      <c r="C239" s="203" t="s">
        <v>529</v>
      </c>
      <c r="D239" s="178" t="n">
        <v>4</v>
      </c>
      <c r="E239" s="178"/>
      <c r="F239" s="178"/>
      <c r="G239" s="180"/>
      <c r="H239" s="180"/>
      <c r="I239" s="180"/>
      <c r="J239" s="180"/>
      <c r="K239" s="180"/>
      <c r="L239" s="180"/>
      <c r="M239" s="180"/>
      <c r="N239" s="180"/>
      <c r="O239" s="181"/>
      <c r="P239" s="181"/>
      <c r="Q239" s="185"/>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row>
    <row r="240" customFormat="false" ht="34.5" hidden="false" customHeight="true" outlineLevel="0" collapsed="false">
      <c r="A240" s="201"/>
      <c r="B240" s="202"/>
      <c r="C240" s="202"/>
      <c r="D240" s="202"/>
      <c r="E240" s="202"/>
      <c r="F240" s="202"/>
      <c r="G240" s="180"/>
      <c r="H240" s="180"/>
      <c r="I240" s="180"/>
      <c r="J240" s="180"/>
      <c r="K240" s="180"/>
      <c r="L240" s="180"/>
      <c r="M240" s="180"/>
      <c r="N240" s="180"/>
      <c r="O240" s="181"/>
      <c r="P240" s="181"/>
      <c r="Q240" s="185"/>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row>
    <row r="241" customFormat="false" ht="34.5" hidden="false" customHeight="true" outlineLevel="0" collapsed="false">
      <c r="A241" s="201"/>
      <c r="B241" s="202"/>
      <c r="C241" s="203"/>
      <c r="D241" s="203"/>
      <c r="E241" s="203"/>
      <c r="F241" s="203"/>
      <c r="G241" s="180"/>
      <c r="H241" s="180"/>
      <c r="I241" s="180"/>
      <c r="J241" s="180"/>
      <c r="K241" s="180"/>
      <c r="L241" s="180"/>
      <c r="M241" s="180"/>
      <c r="N241" s="180"/>
      <c r="O241" s="181"/>
      <c r="P241" s="181"/>
      <c r="Q241" s="185"/>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row>
    <row r="242" customFormat="false" ht="39.75" hidden="false" customHeight="true" outlineLevel="0" collapsed="false">
      <c r="A242" s="201"/>
      <c r="B242" s="202"/>
      <c r="C242" s="203" t="s">
        <v>530</v>
      </c>
      <c r="D242" s="178" t="n">
        <v>2</v>
      </c>
      <c r="E242" s="178"/>
      <c r="F242" s="178"/>
      <c r="G242" s="180"/>
      <c r="H242" s="180"/>
      <c r="I242" s="180"/>
      <c r="J242" s="180"/>
      <c r="K242" s="180"/>
      <c r="L242" s="180"/>
      <c r="M242" s="180"/>
      <c r="N242" s="180"/>
      <c r="O242" s="181"/>
      <c r="P242" s="182"/>
      <c r="Q242" s="185"/>
      <c r="BM242" s="1"/>
    </row>
    <row r="243" customFormat="false" ht="35.25" hidden="false" customHeight="true" outlineLevel="0" collapsed="false">
      <c r="A243" s="201"/>
      <c r="B243" s="202"/>
      <c r="C243" s="202"/>
      <c r="D243" s="202"/>
      <c r="E243" s="202"/>
      <c r="F243" s="202"/>
      <c r="G243" s="180"/>
      <c r="H243" s="180"/>
      <c r="I243" s="180"/>
      <c r="J243" s="180"/>
      <c r="K243" s="180"/>
      <c r="L243" s="180"/>
      <c r="M243" s="180"/>
      <c r="N243" s="180"/>
      <c r="O243" s="181"/>
      <c r="P243" s="182"/>
      <c r="Q243" s="185"/>
      <c r="BM243" s="1"/>
    </row>
    <row r="244" customFormat="false" ht="34.5" hidden="false" customHeight="true" outlineLevel="0" collapsed="false">
      <c r="A244" s="201"/>
      <c r="B244" s="202"/>
      <c r="C244" s="202"/>
      <c r="D244" s="202"/>
      <c r="E244" s="202"/>
      <c r="F244" s="202"/>
      <c r="G244" s="180"/>
      <c r="H244" s="180"/>
      <c r="I244" s="180"/>
      <c r="J244" s="180"/>
      <c r="K244" s="180"/>
      <c r="L244" s="180"/>
      <c r="M244" s="180"/>
      <c r="N244" s="180"/>
      <c r="O244" s="181"/>
      <c r="P244" s="181"/>
      <c r="Q244" s="185"/>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row>
    <row r="245" customFormat="false" ht="34.5" hidden="false" customHeight="true" outlineLevel="0" collapsed="false">
      <c r="A245" s="201"/>
      <c r="B245" s="202" t="s">
        <v>531</v>
      </c>
      <c r="C245" s="203" t="s">
        <v>532</v>
      </c>
      <c r="D245" s="178" t="n">
        <v>3</v>
      </c>
      <c r="E245" s="178"/>
      <c r="F245" s="178"/>
      <c r="G245" s="180"/>
      <c r="H245" s="180"/>
      <c r="I245" s="180"/>
      <c r="J245" s="180"/>
      <c r="K245" s="180"/>
      <c r="L245" s="180"/>
      <c r="M245" s="180"/>
      <c r="N245" s="180"/>
      <c r="O245" s="181"/>
      <c r="P245" s="181"/>
      <c r="Q245" s="185"/>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row>
    <row r="246" customFormat="false" ht="34.5" hidden="false" customHeight="true" outlineLevel="0" collapsed="false">
      <c r="A246" s="201"/>
      <c r="B246" s="202"/>
      <c r="C246" s="202"/>
      <c r="D246" s="202"/>
      <c r="E246" s="202"/>
      <c r="F246" s="202"/>
      <c r="G246" s="180"/>
      <c r="H246" s="180"/>
      <c r="I246" s="180"/>
      <c r="J246" s="180"/>
      <c r="K246" s="180"/>
      <c r="L246" s="180"/>
      <c r="M246" s="180"/>
      <c r="N246" s="180"/>
      <c r="O246" s="181"/>
      <c r="P246" s="181"/>
      <c r="Q246" s="185"/>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row>
    <row r="247" customFormat="false" ht="34.5" hidden="false" customHeight="true" outlineLevel="0" collapsed="false">
      <c r="A247" s="201"/>
      <c r="B247" s="202"/>
      <c r="C247" s="203"/>
      <c r="D247" s="203"/>
      <c r="E247" s="203"/>
      <c r="F247" s="203"/>
      <c r="G247" s="180"/>
      <c r="H247" s="180"/>
      <c r="I247" s="180"/>
      <c r="J247" s="180"/>
      <c r="K247" s="180"/>
      <c r="L247" s="180"/>
      <c r="M247" s="180"/>
      <c r="N247" s="180"/>
      <c r="O247" s="181"/>
      <c r="P247" s="181"/>
      <c r="Q247" s="185"/>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row>
    <row r="248" customFormat="false" ht="34.5" hidden="false" customHeight="true" outlineLevel="0" collapsed="false">
      <c r="A248" s="201"/>
      <c r="B248" s="202"/>
      <c r="C248" s="203" t="s">
        <v>533</v>
      </c>
      <c r="D248" s="178" t="n">
        <v>4</v>
      </c>
      <c r="E248" s="178"/>
      <c r="F248" s="178"/>
      <c r="G248" s="180"/>
      <c r="H248" s="180"/>
      <c r="I248" s="180"/>
      <c r="J248" s="180"/>
      <c r="K248" s="180"/>
      <c r="L248" s="180"/>
      <c r="M248" s="180"/>
      <c r="N248" s="180"/>
      <c r="O248" s="181"/>
      <c r="P248" s="181"/>
      <c r="Q248" s="185"/>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row>
    <row r="249" customFormat="false" ht="34.5" hidden="false" customHeight="true" outlineLevel="0" collapsed="false">
      <c r="A249" s="201"/>
      <c r="B249" s="202"/>
      <c r="C249" s="202"/>
      <c r="D249" s="202"/>
      <c r="E249" s="202"/>
      <c r="F249" s="202"/>
      <c r="G249" s="180"/>
      <c r="H249" s="180"/>
      <c r="I249" s="180"/>
      <c r="J249" s="180"/>
      <c r="K249" s="180"/>
      <c r="L249" s="180"/>
      <c r="M249" s="180"/>
      <c r="N249" s="180"/>
      <c r="O249" s="181"/>
      <c r="P249" s="181"/>
      <c r="Q249" s="185"/>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row>
    <row r="250" customFormat="false" ht="34.5" hidden="false" customHeight="true" outlineLevel="0" collapsed="false">
      <c r="A250" s="201"/>
      <c r="B250" s="202"/>
      <c r="C250" s="203"/>
      <c r="D250" s="203"/>
      <c r="E250" s="203"/>
      <c r="F250" s="203"/>
      <c r="G250" s="180"/>
      <c r="H250" s="180"/>
      <c r="I250" s="180"/>
      <c r="J250" s="180"/>
      <c r="K250" s="180"/>
      <c r="L250" s="180"/>
      <c r="M250" s="180"/>
      <c r="N250" s="180"/>
      <c r="O250" s="181"/>
      <c r="P250" s="181"/>
      <c r="Q250" s="185"/>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row>
    <row r="251" customFormat="false" ht="34.5" hidden="false" customHeight="true" outlineLevel="0" collapsed="false">
      <c r="A251" s="201"/>
      <c r="B251" s="202"/>
      <c r="C251" s="203" t="s">
        <v>534</v>
      </c>
      <c r="D251" s="178" t="n">
        <v>4</v>
      </c>
      <c r="E251" s="178"/>
      <c r="F251" s="178"/>
      <c r="G251" s="180"/>
      <c r="H251" s="180"/>
      <c r="I251" s="180"/>
      <c r="J251" s="180"/>
      <c r="K251" s="180"/>
      <c r="L251" s="180"/>
      <c r="M251" s="180"/>
      <c r="N251" s="180"/>
      <c r="O251" s="181"/>
      <c r="P251" s="181"/>
      <c r="Q251" s="185"/>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row>
    <row r="252" customFormat="false" ht="34.5" hidden="false" customHeight="true" outlineLevel="0" collapsed="false">
      <c r="A252" s="201"/>
      <c r="B252" s="202"/>
      <c r="C252" s="202"/>
      <c r="D252" s="202"/>
      <c r="E252" s="202"/>
      <c r="F252" s="202"/>
      <c r="G252" s="180"/>
      <c r="H252" s="180"/>
      <c r="I252" s="180"/>
      <c r="J252" s="180"/>
      <c r="K252" s="180"/>
      <c r="L252" s="180"/>
      <c r="M252" s="180"/>
      <c r="N252" s="180"/>
      <c r="O252" s="181"/>
      <c r="P252" s="181"/>
      <c r="Q252" s="185"/>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row>
    <row r="253" customFormat="false" ht="34.5" hidden="false" customHeight="true" outlineLevel="0" collapsed="false">
      <c r="A253" s="201"/>
      <c r="B253" s="202"/>
      <c r="C253" s="203"/>
      <c r="D253" s="203"/>
      <c r="E253" s="203"/>
      <c r="F253" s="203"/>
      <c r="G253" s="180"/>
      <c r="H253" s="180"/>
      <c r="I253" s="180"/>
      <c r="J253" s="180"/>
      <c r="K253" s="180"/>
      <c r="L253" s="180"/>
      <c r="M253" s="180"/>
      <c r="N253" s="180"/>
      <c r="O253" s="181"/>
      <c r="P253" s="181"/>
      <c r="Q253" s="185"/>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row>
    <row r="254" customFormat="false" ht="34.5" hidden="false" customHeight="true" outlineLevel="0" collapsed="false">
      <c r="A254" s="201"/>
      <c r="B254" s="202"/>
      <c r="C254" s="203" t="s">
        <v>381</v>
      </c>
      <c r="D254" s="178" t="n">
        <v>4</v>
      </c>
      <c r="E254" s="178"/>
      <c r="F254" s="178"/>
      <c r="G254" s="180"/>
      <c r="H254" s="180"/>
      <c r="I254" s="180"/>
      <c r="J254" s="180"/>
      <c r="K254" s="180"/>
      <c r="L254" s="180"/>
      <c r="M254" s="180"/>
      <c r="N254" s="180"/>
      <c r="O254" s="181"/>
      <c r="P254" s="181"/>
      <c r="Q254" s="185"/>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row>
    <row r="255" customFormat="false" ht="34.5" hidden="false" customHeight="true" outlineLevel="0" collapsed="false">
      <c r="A255" s="201"/>
      <c r="B255" s="202"/>
      <c r="C255" s="202"/>
      <c r="D255" s="202"/>
      <c r="E255" s="202"/>
      <c r="F255" s="202"/>
      <c r="G255" s="180"/>
      <c r="H255" s="180"/>
      <c r="I255" s="180"/>
      <c r="J255" s="180"/>
      <c r="K255" s="180"/>
      <c r="L255" s="180"/>
      <c r="M255" s="180"/>
      <c r="N255" s="180"/>
      <c r="O255" s="181"/>
      <c r="P255" s="181"/>
      <c r="Q255" s="185"/>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row>
    <row r="256" customFormat="false" ht="34.5" hidden="false" customHeight="true" outlineLevel="0" collapsed="false">
      <c r="A256" s="201"/>
      <c r="B256" s="202"/>
      <c r="C256" s="203"/>
      <c r="D256" s="203"/>
      <c r="E256" s="203"/>
      <c r="F256" s="203"/>
      <c r="G256" s="180"/>
      <c r="H256" s="180"/>
      <c r="I256" s="180"/>
      <c r="J256" s="180"/>
      <c r="K256" s="180"/>
      <c r="L256" s="180"/>
      <c r="M256" s="180"/>
      <c r="N256" s="180"/>
      <c r="O256" s="181"/>
      <c r="P256" s="181"/>
      <c r="Q256" s="185"/>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row>
    <row r="257" customFormat="false" ht="39.75" hidden="false" customHeight="true" outlineLevel="0" collapsed="false">
      <c r="A257" s="201"/>
      <c r="B257" s="202"/>
      <c r="C257" s="203" t="s">
        <v>382</v>
      </c>
      <c r="D257" s="178" t="n">
        <v>4</v>
      </c>
      <c r="E257" s="178"/>
      <c r="F257" s="178"/>
      <c r="G257" s="180"/>
      <c r="H257" s="180"/>
      <c r="I257" s="180"/>
      <c r="J257" s="180"/>
      <c r="K257" s="180"/>
      <c r="L257" s="180"/>
      <c r="M257" s="180"/>
      <c r="N257" s="180"/>
      <c r="O257" s="181"/>
      <c r="P257" s="182"/>
      <c r="Q257" s="185"/>
      <c r="BM257" s="1"/>
    </row>
    <row r="258" customFormat="false" ht="35.25" hidden="false" customHeight="true" outlineLevel="0" collapsed="false">
      <c r="A258" s="201"/>
      <c r="B258" s="202"/>
      <c r="C258" s="202"/>
      <c r="D258" s="202"/>
      <c r="E258" s="202"/>
      <c r="F258" s="202"/>
      <c r="G258" s="180"/>
      <c r="H258" s="180"/>
      <c r="I258" s="180"/>
      <c r="J258" s="180"/>
      <c r="K258" s="180"/>
      <c r="L258" s="180"/>
      <c r="M258" s="180"/>
      <c r="N258" s="180"/>
      <c r="O258" s="181"/>
      <c r="P258" s="182"/>
      <c r="Q258" s="185"/>
      <c r="BM258" s="1"/>
    </row>
    <row r="259" customFormat="false" ht="34.5" hidden="false" customHeight="true" outlineLevel="0" collapsed="false">
      <c r="A259" s="201"/>
      <c r="B259" s="202"/>
      <c r="C259" s="202"/>
      <c r="D259" s="202"/>
      <c r="E259" s="202"/>
      <c r="F259" s="202"/>
      <c r="G259" s="180"/>
      <c r="H259" s="180"/>
      <c r="I259" s="180"/>
      <c r="J259" s="180"/>
      <c r="K259" s="180"/>
      <c r="L259" s="180"/>
      <c r="M259" s="180"/>
      <c r="N259" s="180"/>
      <c r="O259" s="181"/>
      <c r="P259" s="181"/>
      <c r="Q259" s="185"/>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row>
    <row r="260" customFormat="false" ht="64.5" hidden="false" customHeight="true" outlineLevel="0" collapsed="false">
      <c r="A260" s="204" t="s">
        <v>28</v>
      </c>
      <c r="B260" s="205" t="s">
        <v>535</v>
      </c>
      <c r="C260" s="206" t="s">
        <v>536</v>
      </c>
      <c r="D260" s="178" t="n">
        <v>1</v>
      </c>
      <c r="E260" s="178"/>
      <c r="F260" s="178"/>
      <c r="G260" s="180"/>
      <c r="H260" s="180"/>
      <c r="I260" s="180"/>
      <c r="J260" s="180"/>
      <c r="K260" s="180"/>
      <c r="L260" s="180"/>
      <c r="M260" s="180"/>
      <c r="N260" s="180"/>
      <c r="O260" s="181"/>
      <c r="P260" s="182"/>
      <c r="Q260" s="185"/>
      <c r="BM260" s="1"/>
    </row>
    <row r="261" customFormat="false" ht="64.5" hidden="false" customHeight="true" outlineLevel="0" collapsed="false">
      <c r="A261" s="204"/>
      <c r="B261" s="205"/>
      <c r="C261" s="205"/>
      <c r="D261" s="205"/>
      <c r="E261" s="205"/>
      <c r="F261" s="205"/>
      <c r="G261" s="180"/>
      <c r="H261" s="180"/>
      <c r="I261" s="180"/>
      <c r="J261" s="180"/>
      <c r="K261" s="180"/>
      <c r="L261" s="180"/>
      <c r="M261" s="180"/>
      <c r="N261" s="180"/>
      <c r="O261" s="181"/>
      <c r="P261" s="182"/>
      <c r="Q261" s="185"/>
      <c r="BM261" s="1"/>
    </row>
    <row r="262" customFormat="false" ht="64.5" hidden="false" customHeight="true" outlineLevel="0" collapsed="false">
      <c r="A262" s="204"/>
      <c r="B262" s="205"/>
      <c r="C262" s="205"/>
      <c r="D262" s="205"/>
      <c r="E262" s="205"/>
      <c r="F262" s="205"/>
      <c r="G262" s="180"/>
      <c r="H262" s="180"/>
      <c r="I262" s="180"/>
      <c r="J262" s="180"/>
      <c r="K262" s="180"/>
      <c r="L262" s="180"/>
      <c r="M262" s="180"/>
      <c r="N262" s="180"/>
      <c r="O262" s="181"/>
      <c r="P262" s="181"/>
      <c r="Q262" s="185"/>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row>
    <row r="263" customFormat="false" ht="39.75" hidden="false" customHeight="true" outlineLevel="0" collapsed="false">
      <c r="A263" s="204"/>
      <c r="B263" s="205" t="s">
        <v>537</v>
      </c>
      <c r="C263" s="206" t="s">
        <v>538</v>
      </c>
      <c r="D263" s="178" t="n">
        <v>1</v>
      </c>
      <c r="E263" s="178"/>
      <c r="F263" s="178"/>
      <c r="G263" s="180"/>
      <c r="H263" s="180"/>
      <c r="I263" s="180"/>
      <c r="J263" s="180"/>
      <c r="K263" s="180"/>
      <c r="L263" s="180"/>
      <c r="M263" s="180"/>
      <c r="N263" s="180"/>
      <c r="O263" s="181"/>
      <c r="P263" s="182"/>
      <c r="Q263" s="185"/>
      <c r="BM263" s="1"/>
    </row>
    <row r="264" customFormat="false" ht="35.25" hidden="false" customHeight="true" outlineLevel="0" collapsed="false">
      <c r="A264" s="204"/>
      <c r="B264" s="205"/>
      <c r="C264" s="205"/>
      <c r="D264" s="205"/>
      <c r="E264" s="205"/>
      <c r="F264" s="205"/>
      <c r="G264" s="180"/>
      <c r="H264" s="180"/>
      <c r="I264" s="180"/>
      <c r="J264" s="180"/>
      <c r="K264" s="180"/>
      <c r="L264" s="180"/>
      <c r="M264" s="180"/>
      <c r="N264" s="180"/>
      <c r="O264" s="181"/>
      <c r="P264" s="182"/>
      <c r="Q264" s="185"/>
      <c r="BM264" s="1"/>
    </row>
    <row r="265" customFormat="false" ht="34.5" hidden="false" customHeight="true" outlineLevel="0" collapsed="false">
      <c r="A265" s="204"/>
      <c r="B265" s="205"/>
      <c r="C265" s="206"/>
      <c r="D265" s="206"/>
      <c r="E265" s="206"/>
      <c r="F265" s="206"/>
      <c r="G265" s="180"/>
      <c r="H265" s="180"/>
      <c r="I265" s="180"/>
      <c r="J265" s="180"/>
      <c r="K265" s="180"/>
      <c r="L265" s="180"/>
      <c r="M265" s="180"/>
      <c r="N265" s="180"/>
      <c r="O265" s="181"/>
      <c r="P265" s="181"/>
      <c r="Q265" s="185"/>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row>
    <row r="266" customFormat="false" ht="39.75" hidden="false" customHeight="true" outlineLevel="0" collapsed="false">
      <c r="A266" s="204"/>
      <c r="B266" s="205"/>
      <c r="C266" s="206" t="s">
        <v>539</v>
      </c>
      <c r="D266" s="178" t="n">
        <v>2</v>
      </c>
      <c r="E266" s="178"/>
      <c r="F266" s="178"/>
      <c r="G266" s="180"/>
      <c r="H266" s="180"/>
      <c r="I266" s="180"/>
      <c r="J266" s="180"/>
      <c r="K266" s="180"/>
      <c r="L266" s="180"/>
      <c r="M266" s="180"/>
      <c r="N266" s="180"/>
      <c r="O266" s="181"/>
      <c r="P266" s="182"/>
      <c r="Q266" s="185"/>
      <c r="BM266" s="1"/>
    </row>
    <row r="267" customFormat="false" ht="35.25" hidden="false" customHeight="true" outlineLevel="0" collapsed="false">
      <c r="A267" s="204"/>
      <c r="B267" s="205"/>
      <c r="C267" s="205"/>
      <c r="D267" s="205"/>
      <c r="E267" s="205"/>
      <c r="F267" s="205"/>
      <c r="G267" s="180"/>
      <c r="H267" s="180"/>
      <c r="I267" s="180"/>
      <c r="J267" s="180"/>
      <c r="K267" s="180"/>
      <c r="L267" s="180"/>
      <c r="M267" s="180"/>
      <c r="N267" s="180"/>
      <c r="O267" s="181"/>
      <c r="P267" s="182"/>
      <c r="Q267" s="185"/>
      <c r="BM267" s="1"/>
    </row>
    <row r="268" customFormat="false" ht="34.5" hidden="false" customHeight="true" outlineLevel="0" collapsed="false">
      <c r="A268" s="204"/>
      <c r="B268" s="205"/>
      <c r="C268" s="206"/>
      <c r="D268" s="206"/>
      <c r="E268" s="206"/>
      <c r="F268" s="206"/>
      <c r="G268" s="180"/>
      <c r="H268" s="180"/>
      <c r="I268" s="180"/>
      <c r="J268" s="180"/>
      <c r="K268" s="180"/>
      <c r="L268" s="180"/>
      <c r="M268" s="180"/>
      <c r="N268" s="180"/>
      <c r="O268" s="181"/>
      <c r="P268" s="181"/>
      <c r="Q268" s="185"/>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row>
    <row r="269" customFormat="false" ht="39.75" hidden="false" customHeight="true" outlineLevel="0" collapsed="false">
      <c r="A269" s="204"/>
      <c r="B269" s="205"/>
      <c r="C269" s="206" t="s">
        <v>540</v>
      </c>
      <c r="D269" s="178" t="n">
        <v>4</v>
      </c>
      <c r="E269" s="178"/>
      <c r="F269" s="178"/>
      <c r="G269" s="180"/>
      <c r="H269" s="180"/>
      <c r="I269" s="180"/>
      <c r="J269" s="180"/>
      <c r="K269" s="180"/>
      <c r="L269" s="180"/>
      <c r="M269" s="180"/>
      <c r="N269" s="180"/>
      <c r="O269" s="181"/>
      <c r="P269" s="182"/>
      <c r="Q269" s="185"/>
      <c r="BM269" s="1"/>
    </row>
    <row r="270" customFormat="false" ht="35.25" hidden="false" customHeight="true" outlineLevel="0" collapsed="false">
      <c r="A270" s="204"/>
      <c r="B270" s="205"/>
      <c r="C270" s="205"/>
      <c r="D270" s="205"/>
      <c r="E270" s="205"/>
      <c r="F270" s="205"/>
      <c r="G270" s="180"/>
      <c r="H270" s="180"/>
      <c r="I270" s="180"/>
      <c r="J270" s="180"/>
      <c r="K270" s="180"/>
      <c r="L270" s="180"/>
      <c r="M270" s="180"/>
      <c r="N270" s="180"/>
      <c r="O270" s="181"/>
      <c r="P270" s="182"/>
      <c r="Q270" s="185"/>
      <c r="BM270" s="1"/>
    </row>
    <row r="271" customFormat="false" ht="34.5" hidden="false" customHeight="true" outlineLevel="0" collapsed="false">
      <c r="A271" s="204"/>
      <c r="B271" s="205"/>
      <c r="C271" s="206"/>
      <c r="D271" s="206"/>
      <c r="E271" s="206"/>
      <c r="F271" s="206"/>
      <c r="G271" s="180"/>
      <c r="H271" s="180"/>
      <c r="I271" s="180"/>
      <c r="J271" s="180"/>
      <c r="K271" s="180"/>
      <c r="L271" s="180"/>
      <c r="M271" s="180"/>
      <c r="N271" s="180"/>
      <c r="O271" s="181"/>
      <c r="P271" s="181"/>
      <c r="Q271" s="185"/>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row>
    <row r="272" customFormat="false" ht="39.75" hidden="false" customHeight="true" outlineLevel="0" collapsed="false">
      <c r="A272" s="204"/>
      <c r="B272" s="205"/>
      <c r="C272" s="206" t="s">
        <v>389</v>
      </c>
      <c r="D272" s="178" t="n">
        <v>3</v>
      </c>
      <c r="E272" s="178"/>
      <c r="F272" s="178"/>
      <c r="G272" s="180"/>
      <c r="H272" s="180"/>
      <c r="I272" s="180"/>
      <c r="J272" s="180"/>
      <c r="K272" s="180"/>
      <c r="L272" s="180"/>
      <c r="M272" s="180"/>
      <c r="N272" s="180"/>
      <c r="O272" s="181"/>
      <c r="P272" s="182"/>
      <c r="Q272" s="185"/>
      <c r="BM272" s="1"/>
    </row>
    <row r="273" customFormat="false" ht="35.25" hidden="false" customHeight="true" outlineLevel="0" collapsed="false">
      <c r="A273" s="204"/>
      <c r="B273" s="205"/>
      <c r="C273" s="205"/>
      <c r="D273" s="205"/>
      <c r="E273" s="205"/>
      <c r="F273" s="205"/>
      <c r="G273" s="180"/>
      <c r="H273" s="180"/>
      <c r="I273" s="180"/>
      <c r="J273" s="180"/>
      <c r="K273" s="180"/>
      <c r="L273" s="180"/>
      <c r="M273" s="180"/>
      <c r="N273" s="180"/>
      <c r="O273" s="181"/>
      <c r="P273" s="182"/>
      <c r="Q273" s="185"/>
      <c r="BM273" s="1"/>
    </row>
    <row r="274" customFormat="false" ht="34.5" hidden="false" customHeight="true" outlineLevel="0" collapsed="false">
      <c r="A274" s="204"/>
      <c r="B274" s="205"/>
      <c r="C274" s="206"/>
      <c r="D274" s="206"/>
      <c r="E274" s="206"/>
      <c r="F274" s="206"/>
      <c r="G274" s="180"/>
      <c r="H274" s="180"/>
      <c r="I274" s="180"/>
      <c r="J274" s="180"/>
      <c r="K274" s="180"/>
      <c r="L274" s="180"/>
      <c r="M274" s="180"/>
      <c r="N274" s="180"/>
      <c r="O274" s="181"/>
      <c r="P274" s="181"/>
      <c r="Q274" s="185"/>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row>
    <row r="275" customFormat="false" ht="39.75" hidden="false" customHeight="true" outlineLevel="0" collapsed="false">
      <c r="A275" s="204"/>
      <c r="B275" s="205"/>
      <c r="C275" s="206" t="s">
        <v>390</v>
      </c>
      <c r="D275" s="178" t="n">
        <v>4</v>
      </c>
      <c r="E275" s="178"/>
      <c r="F275" s="178"/>
      <c r="G275" s="180"/>
      <c r="H275" s="180"/>
      <c r="I275" s="180"/>
      <c r="J275" s="180"/>
      <c r="K275" s="180"/>
      <c r="L275" s="180"/>
      <c r="M275" s="180"/>
      <c r="N275" s="180"/>
      <c r="O275" s="181"/>
      <c r="P275" s="182"/>
      <c r="Q275" s="185"/>
      <c r="BM275" s="1"/>
    </row>
    <row r="276" customFormat="false" ht="35.25" hidden="false" customHeight="true" outlineLevel="0" collapsed="false">
      <c r="A276" s="204"/>
      <c r="B276" s="205"/>
      <c r="C276" s="205"/>
      <c r="D276" s="205"/>
      <c r="E276" s="205"/>
      <c r="F276" s="205"/>
      <c r="G276" s="180"/>
      <c r="H276" s="180"/>
      <c r="I276" s="180"/>
      <c r="J276" s="180"/>
      <c r="K276" s="180"/>
      <c r="L276" s="180"/>
      <c r="M276" s="180"/>
      <c r="N276" s="180"/>
      <c r="O276" s="181"/>
      <c r="P276" s="182"/>
      <c r="Q276" s="185"/>
      <c r="BM276" s="1"/>
    </row>
    <row r="277" customFormat="false" ht="34.5" hidden="false" customHeight="true" outlineLevel="0" collapsed="false">
      <c r="A277" s="204"/>
      <c r="B277" s="205"/>
      <c r="C277" s="205"/>
      <c r="D277" s="205"/>
      <c r="E277" s="205"/>
      <c r="F277" s="205"/>
      <c r="G277" s="180"/>
      <c r="H277" s="180"/>
      <c r="I277" s="180"/>
      <c r="J277" s="180"/>
      <c r="K277" s="180"/>
      <c r="L277" s="180"/>
      <c r="M277" s="180"/>
      <c r="N277" s="180"/>
      <c r="O277" s="181"/>
      <c r="P277" s="181"/>
      <c r="Q277" s="185"/>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row>
    <row r="278" customFormat="false" ht="39.75" hidden="false" customHeight="true" outlineLevel="0" collapsed="false">
      <c r="A278" s="204"/>
      <c r="B278" s="205" t="s">
        <v>541</v>
      </c>
      <c r="C278" s="206" t="s">
        <v>392</v>
      </c>
      <c r="D278" s="178" t="n">
        <v>2</v>
      </c>
      <c r="E278" s="178"/>
      <c r="F278" s="178"/>
      <c r="G278" s="180"/>
      <c r="H278" s="180"/>
      <c r="I278" s="180"/>
      <c r="J278" s="180"/>
      <c r="K278" s="180"/>
      <c r="L278" s="180"/>
      <c r="M278" s="180"/>
      <c r="N278" s="180"/>
      <c r="O278" s="181"/>
      <c r="P278" s="182"/>
      <c r="Q278" s="185"/>
      <c r="BM278" s="1"/>
    </row>
    <row r="279" customFormat="false" ht="35.25" hidden="false" customHeight="true" outlineLevel="0" collapsed="false">
      <c r="A279" s="204"/>
      <c r="B279" s="205"/>
      <c r="C279" s="205"/>
      <c r="D279" s="205"/>
      <c r="E279" s="205"/>
      <c r="F279" s="205"/>
      <c r="G279" s="180"/>
      <c r="H279" s="180"/>
      <c r="I279" s="180"/>
      <c r="J279" s="180"/>
      <c r="K279" s="180"/>
      <c r="L279" s="180"/>
      <c r="M279" s="180"/>
      <c r="N279" s="180"/>
      <c r="O279" s="181"/>
      <c r="P279" s="182"/>
      <c r="Q279" s="185"/>
      <c r="BM279" s="1"/>
    </row>
    <row r="280" customFormat="false" ht="34.5" hidden="false" customHeight="true" outlineLevel="0" collapsed="false">
      <c r="A280" s="204"/>
      <c r="B280" s="205"/>
      <c r="C280" s="206"/>
      <c r="D280" s="206"/>
      <c r="E280" s="206"/>
      <c r="F280" s="206"/>
      <c r="G280" s="180"/>
      <c r="H280" s="180"/>
      <c r="I280" s="180"/>
      <c r="J280" s="180"/>
      <c r="K280" s="180"/>
      <c r="L280" s="180"/>
      <c r="M280" s="180"/>
      <c r="N280" s="180"/>
      <c r="O280" s="181"/>
      <c r="P280" s="181"/>
      <c r="Q280" s="185"/>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row>
    <row r="281" customFormat="false" ht="39.75" hidden="false" customHeight="true" outlineLevel="0" collapsed="false">
      <c r="A281" s="204"/>
      <c r="B281" s="205"/>
      <c r="C281" s="206" t="s">
        <v>393</v>
      </c>
      <c r="D281" s="178" t="n">
        <v>1</v>
      </c>
      <c r="E281" s="178"/>
      <c r="F281" s="178"/>
      <c r="G281" s="180"/>
      <c r="H281" s="180"/>
      <c r="I281" s="180"/>
      <c r="J281" s="180"/>
      <c r="K281" s="180"/>
      <c r="L281" s="180"/>
      <c r="M281" s="180"/>
      <c r="N281" s="180"/>
      <c r="O281" s="181"/>
      <c r="P281" s="182"/>
      <c r="Q281" s="185"/>
      <c r="BM281" s="1"/>
    </row>
    <row r="282" customFormat="false" ht="35.25" hidden="false" customHeight="true" outlineLevel="0" collapsed="false">
      <c r="A282" s="204"/>
      <c r="B282" s="205"/>
      <c r="C282" s="205"/>
      <c r="D282" s="205"/>
      <c r="E282" s="205"/>
      <c r="F282" s="205"/>
      <c r="G282" s="180"/>
      <c r="H282" s="180"/>
      <c r="I282" s="180"/>
      <c r="J282" s="180"/>
      <c r="K282" s="180"/>
      <c r="L282" s="180"/>
      <c r="M282" s="180"/>
      <c r="N282" s="180"/>
      <c r="O282" s="181"/>
      <c r="P282" s="182"/>
      <c r="Q282" s="185"/>
      <c r="BM282" s="1"/>
    </row>
    <row r="283" customFormat="false" ht="34.5" hidden="false" customHeight="true" outlineLevel="0" collapsed="false">
      <c r="A283" s="204"/>
      <c r="B283" s="205"/>
      <c r="C283" s="206"/>
      <c r="D283" s="206"/>
      <c r="E283" s="206"/>
      <c r="F283" s="206"/>
      <c r="G283" s="180"/>
      <c r="H283" s="180"/>
      <c r="I283" s="180"/>
      <c r="J283" s="180"/>
      <c r="K283" s="180"/>
      <c r="L283" s="180"/>
      <c r="M283" s="180"/>
      <c r="N283" s="180"/>
      <c r="O283" s="181"/>
      <c r="P283" s="181"/>
      <c r="Q283" s="185"/>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row>
    <row r="284" customFormat="false" ht="39.75" hidden="false" customHeight="true" outlineLevel="0" collapsed="false">
      <c r="A284" s="204"/>
      <c r="B284" s="205"/>
      <c r="C284" s="206" t="s">
        <v>394</v>
      </c>
      <c r="D284" s="178" t="n">
        <v>4</v>
      </c>
      <c r="E284" s="178"/>
      <c r="F284" s="178"/>
      <c r="G284" s="180"/>
      <c r="H284" s="180"/>
      <c r="I284" s="180"/>
      <c r="J284" s="180"/>
      <c r="K284" s="180"/>
      <c r="L284" s="180"/>
      <c r="M284" s="180"/>
      <c r="N284" s="180"/>
      <c r="O284" s="181"/>
      <c r="P284" s="182"/>
      <c r="Q284" s="185"/>
      <c r="BM284" s="1"/>
    </row>
    <row r="285" customFormat="false" ht="35.25" hidden="false" customHeight="true" outlineLevel="0" collapsed="false">
      <c r="A285" s="204"/>
      <c r="B285" s="205"/>
      <c r="C285" s="205"/>
      <c r="D285" s="205"/>
      <c r="E285" s="205"/>
      <c r="F285" s="205"/>
      <c r="G285" s="180"/>
      <c r="H285" s="180"/>
      <c r="I285" s="180"/>
      <c r="J285" s="180"/>
      <c r="K285" s="180"/>
      <c r="L285" s="180"/>
      <c r="M285" s="180"/>
      <c r="N285" s="180"/>
      <c r="O285" s="181"/>
      <c r="P285" s="182"/>
      <c r="Q285" s="185"/>
      <c r="BM285" s="1"/>
    </row>
    <row r="286" customFormat="false" ht="34.5" hidden="false" customHeight="true" outlineLevel="0" collapsed="false">
      <c r="A286" s="204"/>
      <c r="B286" s="205"/>
      <c r="C286" s="206"/>
      <c r="D286" s="206"/>
      <c r="E286" s="206"/>
      <c r="F286" s="206"/>
      <c r="G286" s="180"/>
      <c r="H286" s="180"/>
      <c r="I286" s="180"/>
      <c r="J286" s="180"/>
      <c r="K286" s="180"/>
      <c r="L286" s="180"/>
      <c r="M286" s="180"/>
      <c r="N286" s="180"/>
      <c r="O286" s="181"/>
      <c r="P286" s="181"/>
      <c r="Q286" s="185"/>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row>
    <row r="287" customFormat="false" ht="39.75" hidden="false" customHeight="true" outlineLevel="0" collapsed="false">
      <c r="A287" s="204"/>
      <c r="B287" s="205"/>
      <c r="C287" s="206" t="s">
        <v>542</v>
      </c>
      <c r="D287" s="178" t="n">
        <v>4</v>
      </c>
      <c r="E287" s="178"/>
      <c r="F287" s="178"/>
      <c r="G287" s="180"/>
      <c r="H287" s="180"/>
      <c r="I287" s="180"/>
      <c r="J287" s="180"/>
      <c r="K287" s="180"/>
      <c r="L287" s="180"/>
      <c r="M287" s="180"/>
      <c r="N287" s="180"/>
      <c r="O287" s="181"/>
      <c r="P287" s="182"/>
      <c r="Q287" s="185"/>
      <c r="BM287" s="1"/>
    </row>
    <row r="288" customFormat="false" ht="35.25" hidden="false" customHeight="true" outlineLevel="0" collapsed="false">
      <c r="A288" s="204"/>
      <c r="B288" s="205"/>
      <c r="C288" s="205"/>
      <c r="D288" s="205"/>
      <c r="E288" s="205"/>
      <c r="F288" s="205"/>
      <c r="G288" s="180"/>
      <c r="H288" s="180"/>
      <c r="I288" s="180"/>
      <c r="J288" s="180"/>
      <c r="K288" s="180"/>
      <c r="L288" s="180"/>
      <c r="M288" s="180"/>
      <c r="N288" s="180"/>
      <c r="O288" s="181"/>
      <c r="P288" s="182"/>
      <c r="Q288" s="185"/>
      <c r="BM288" s="1"/>
    </row>
    <row r="289" customFormat="false" ht="34.5" hidden="false" customHeight="true" outlineLevel="0" collapsed="false">
      <c r="A289" s="204"/>
      <c r="B289" s="205"/>
      <c r="C289" s="205"/>
      <c r="D289" s="205"/>
      <c r="E289" s="205"/>
      <c r="F289" s="205"/>
      <c r="G289" s="180"/>
      <c r="H289" s="180"/>
      <c r="I289" s="180"/>
      <c r="J289" s="180"/>
      <c r="K289" s="180"/>
      <c r="L289" s="180"/>
      <c r="M289" s="180"/>
      <c r="N289" s="180"/>
      <c r="O289" s="181"/>
      <c r="P289" s="181"/>
      <c r="Q289" s="185"/>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row>
    <row r="290" customFormat="false" ht="39.75" hidden="false" customHeight="true" outlineLevel="0" collapsed="false">
      <c r="A290" s="204"/>
      <c r="B290" s="205" t="s">
        <v>543</v>
      </c>
      <c r="C290" s="206" t="s">
        <v>544</v>
      </c>
      <c r="D290" s="178" t="n">
        <v>1</v>
      </c>
      <c r="E290" s="178"/>
      <c r="F290" s="178"/>
      <c r="G290" s="180"/>
      <c r="H290" s="180"/>
      <c r="I290" s="180"/>
      <c r="J290" s="180"/>
      <c r="K290" s="180"/>
      <c r="L290" s="180"/>
      <c r="M290" s="180"/>
      <c r="N290" s="180"/>
      <c r="O290" s="181"/>
      <c r="P290" s="182"/>
      <c r="Q290" s="185"/>
      <c r="BM290" s="1"/>
    </row>
    <row r="291" customFormat="false" ht="35.25" hidden="false" customHeight="true" outlineLevel="0" collapsed="false">
      <c r="A291" s="204"/>
      <c r="B291" s="205"/>
      <c r="C291" s="205"/>
      <c r="D291" s="205"/>
      <c r="E291" s="205"/>
      <c r="F291" s="205"/>
      <c r="G291" s="180"/>
      <c r="H291" s="180"/>
      <c r="I291" s="180"/>
      <c r="J291" s="180"/>
      <c r="K291" s="180"/>
      <c r="L291" s="180"/>
      <c r="M291" s="180"/>
      <c r="N291" s="180"/>
      <c r="O291" s="181"/>
      <c r="P291" s="182"/>
      <c r="Q291" s="185"/>
      <c r="BM291" s="1"/>
    </row>
    <row r="292" customFormat="false" ht="34.5" hidden="false" customHeight="true" outlineLevel="0" collapsed="false">
      <c r="A292" s="204"/>
      <c r="B292" s="205"/>
      <c r="C292" s="206"/>
      <c r="D292" s="206"/>
      <c r="E292" s="206"/>
      <c r="F292" s="206"/>
      <c r="G292" s="180"/>
      <c r="H292" s="180"/>
      <c r="I292" s="180"/>
      <c r="J292" s="180"/>
      <c r="K292" s="180"/>
      <c r="L292" s="180"/>
      <c r="M292" s="180"/>
      <c r="N292" s="180"/>
      <c r="O292" s="181"/>
      <c r="P292" s="181"/>
      <c r="Q292" s="185"/>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row>
    <row r="293" customFormat="false" ht="39.75" hidden="false" customHeight="true" outlineLevel="0" collapsed="false">
      <c r="A293" s="204"/>
      <c r="B293" s="205"/>
      <c r="C293" s="206" t="s">
        <v>545</v>
      </c>
      <c r="D293" s="178" t="n">
        <v>1</v>
      </c>
      <c r="E293" s="178"/>
      <c r="F293" s="178"/>
      <c r="G293" s="180"/>
      <c r="H293" s="180"/>
      <c r="I293" s="180"/>
      <c r="J293" s="180"/>
      <c r="K293" s="180"/>
      <c r="L293" s="180"/>
      <c r="M293" s="180"/>
      <c r="N293" s="180"/>
      <c r="O293" s="181"/>
      <c r="P293" s="182"/>
      <c r="Q293" s="185"/>
      <c r="BM293" s="1"/>
    </row>
    <row r="294" customFormat="false" ht="35.25" hidden="false" customHeight="true" outlineLevel="0" collapsed="false">
      <c r="A294" s="204"/>
      <c r="B294" s="205"/>
      <c r="C294" s="205"/>
      <c r="D294" s="205"/>
      <c r="E294" s="205"/>
      <c r="F294" s="205"/>
      <c r="G294" s="180"/>
      <c r="H294" s="180"/>
      <c r="I294" s="180"/>
      <c r="J294" s="180"/>
      <c r="K294" s="180"/>
      <c r="L294" s="180"/>
      <c r="M294" s="180"/>
      <c r="N294" s="180"/>
      <c r="O294" s="181"/>
      <c r="P294" s="182"/>
      <c r="Q294" s="185"/>
      <c r="BM294" s="1"/>
    </row>
    <row r="295" customFormat="false" ht="34.5" hidden="false" customHeight="true" outlineLevel="0" collapsed="false">
      <c r="A295" s="204"/>
      <c r="B295" s="205"/>
      <c r="C295" s="206"/>
      <c r="D295" s="206"/>
      <c r="E295" s="206"/>
      <c r="F295" s="206"/>
      <c r="G295" s="180"/>
      <c r="H295" s="180"/>
      <c r="I295" s="180"/>
      <c r="J295" s="180"/>
      <c r="K295" s="180"/>
      <c r="L295" s="180"/>
      <c r="M295" s="180"/>
      <c r="N295" s="180"/>
      <c r="O295" s="181"/>
      <c r="P295" s="181"/>
      <c r="Q295" s="185"/>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row>
    <row r="296" customFormat="false" ht="39.75" hidden="false" customHeight="true" outlineLevel="0" collapsed="false">
      <c r="A296" s="204"/>
      <c r="B296" s="205"/>
      <c r="C296" s="206" t="s">
        <v>546</v>
      </c>
      <c r="D296" s="178" t="n">
        <v>4</v>
      </c>
      <c r="E296" s="178"/>
      <c r="F296" s="178"/>
      <c r="G296" s="180"/>
      <c r="H296" s="180"/>
      <c r="I296" s="180"/>
      <c r="J296" s="180"/>
      <c r="K296" s="180"/>
      <c r="L296" s="180"/>
      <c r="M296" s="180"/>
      <c r="N296" s="180"/>
      <c r="O296" s="181"/>
      <c r="P296" s="182"/>
      <c r="Q296" s="185"/>
      <c r="BM296" s="1"/>
    </row>
    <row r="297" customFormat="false" ht="35.25" hidden="false" customHeight="true" outlineLevel="0" collapsed="false">
      <c r="A297" s="204"/>
      <c r="B297" s="205"/>
      <c r="C297" s="205"/>
      <c r="D297" s="205"/>
      <c r="E297" s="205"/>
      <c r="F297" s="205"/>
      <c r="G297" s="180"/>
      <c r="H297" s="180"/>
      <c r="I297" s="180"/>
      <c r="J297" s="180"/>
      <c r="K297" s="180"/>
      <c r="L297" s="180"/>
      <c r="M297" s="180"/>
      <c r="N297" s="180"/>
      <c r="O297" s="181"/>
      <c r="P297" s="182"/>
      <c r="Q297" s="185"/>
      <c r="BM297" s="1"/>
    </row>
    <row r="298" customFormat="false" ht="34.5" hidden="false" customHeight="true" outlineLevel="0" collapsed="false">
      <c r="A298" s="204"/>
      <c r="B298" s="205"/>
      <c r="C298" s="205"/>
      <c r="D298" s="205"/>
      <c r="E298" s="205"/>
      <c r="F298" s="205"/>
      <c r="G298" s="180"/>
      <c r="H298" s="180"/>
      <c r="I298" s="180"/>
      <c r="J298" s="180"/>
      <c r="K298" s="180"/>
      <c r="L298" s="180"/>
      <c r="M298" s="180"/>
      <c r="N298" s="180"/>
      <c r="O298" s="181"/>
      <c r="P298" s="181"/>
      <c r="Q298" s="185"/>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row>
    <row r="299" customFormat="false" ht="39.75" hidden="false" customHeight="true" outlineLevel="0" collapsed="false">
      <c r="A299" s="204"/>
      <c r="B299" s="205" t="s">
        <v>547</v>
      </c>
      <c r="C299" s="206" t="s">
        <v>402</v>
      </c>
      <c r="D299" s="178" t="n">
        <v>4</v>
      </c>
      <c r="E299" s="178"/>
      <c r="F299" s="178"/>
      <c r="G299" s="180"/>
      <c r="H299" s="180"/>
      <c r="I299" s="180"/>
      <c r="J299" s="180"/>
      <c r="K299" s="180"/>
      <c r="L299" s="180"/>
      <c r="M299" s="180"/>
      <c r="N299" s="180"/>
      <c r="O299" s="181"/>
      <c r="P299" s="182"/>
      <c r="Q299" s="185"/>
      <c r="BM299" s="1"/>
    </row>
    <row r="300" customFormat="false" ht="35.25" hidden="false" customHeight="true" outlineLevel="0" collapsed="false">
      <c r="A300" s="204"/>
      <c r="B300" s="205"/>
      <c r="C300" s="205"/>
      <c r="D300" s="205"/>
      <c r="E300" s="205"/>
      <c r="F300" s="205"/>
      <c r="G300" s="180"/>
      <c r="H300" s="180"/>
      <c r="I300" s="180"/>
      <c r="J300" s="180"/>
      <c r="K300" s="180"/>
      <c r="L300" s="180"/>
      <c r="M300" s="180"/>
      <c r="N300" s="180"/>
      <c r="O300" s="181"/>
      <c r="P300" s="182"/>
      <c r="Q300" s="185"/>
      <c r="BM300" s="1"/>
    </row>
    <row r="301" customFormat="false" ht="34.5" hidden="false" customHeight="true" outlineLevel="0" collapsed="false">
      <c r="A301" s="204"/>
      <c r="B301" s="205"/>
      <c r="C301" s="206"/>
      <c r="D301" s="206"/>
      <c r="E301" s="206"/>
      <c r="F301" s="206"/>
      <c r="G301" s="180"/>
      <c r="H301" s="180"/>
      <c r="I301" s="180"/>
      <c r="J301" s="180"/>
      <c r="K301" s="180"/>
      <c r="L301" s="180"/>
      <c r="M301" s="180"/>
      <c r="N301" s="180"/>
      <c r="O301" s="181"/>
      <c r="P301" s="181"/>
      <c r="Q301" s="185"/>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row>
    <row r="302" customFormat="false" ht="39.75" hidden="false" customHeight="true" outlineLevel="0" collapsed="false">
      <c r="A302" s="204"/>
      <c r="B302" s="205"/>
      <c r="C302" s="206" t="s">
        <v>403</v>
      </c>
      <c r="D302" s="178" t="n">
        <v>4</v>
      </c>
      <c r="E302" s="178"/>
      <c r="F302" s="178"/>
      <c r="G302" s="180"/>
      <c r="H302" s="180"/>
      <c r="I302" s="180"/>
      <c r="J302" s="180"/>
      <c r="K302" s="180"/>
      <c r="L302" s="180"/>
      <c r="M302" s="180"/>
      <c r="N302" s="180"/>
      <c r="O302" s="181"/>
      <c r="P302" s="182"/>
      <c r="Q302" s="185"/>
      <c r="BM302" s="1"/>
    </row>
    <row r="303" customFormat="false" ht="35.25" hidden="false" customHeight="true" outlineLevel="0" collapsed="false">
      <c r="A303" s="204"/>
      <c r="B303" s="205"/>
      <c r="C303" s="205"/>
      <c r="D303" s="205"/>
      <c r="E303" s="205"/>
      <c r="F303" s="205"/>
      <c r="G303" s="180"/>
      <c r="H303" s="180"/>
      <c r="I303" s="180"/>
      <c r="J303" s="180"/>
      <c r="K303" s="180"/>
      <c r="L303" s="180"/>
      <c r="M303" s="180"/>
      <c r="N303" s="180"/>
      <c r="O303" s="181"/>
      <c r="P303" s="182"/>
      <c r="Q303" s="185"/>
      <c r="BM303" s="1"/>
    </row>
    <row r="304" customFormat="false" ht="34.5" hidden="false" customHeight="true" outlineLevel="0" collapsed="false">
      <c r="A304" s="204"/>
      <c r="B304" s="205"/>
      <c r="C304" s="205"/>
      <c r="D304" s="205"/>
      <c r="E304" s="205"/>
      <c r="F304" s="205"/>
      <c r="G304" s="180"/>
      <c r="H304" s="180"/>
      <c r="I304" s="180"/>
      <c r="J304" s="180"/>
      <c r="K304" s="180"/>
      <c r="L304" s="180"/>
      <c r="M304" s="180"/>
      <c r="N304" s="180"/>
      <c r="O304" s="181"/>
      <c r="P304" s="181"/>
      <c r="Q304" s="185"/>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row>
    <row r="305" customFormat="false" ht="64.5" hidden="false" customHeight="true" outlineLevel="0" collapsed="false">
      <c r="A305" s="207" t="s">
        <v>34</v>
      </c>
      <c r="B305" s="208" t="s">
        <v>548</v>
      </c>
      <c r="C305" s="209" t="s">
        <v>405</v>
      </c>
      <c r="D305" s="178" t="n">
        <v>2</v>
      </c>
      <c r="E305" s="178"/>
      <c r="F305" s="178"/>
      <c r="G305" s="180"/>
      <c r="H305" s="180"/>
      <c r="I305" s="180"/>
      <c r="J305" s="180"/>
      <c r="K305" s="180"/>
      <c r="L305" s="180"/>
      <c r="M305" s="180"/>
      <c r="N305" s="180"/>
      <c r="O305" s="181"/>
      <c r="P305" s="182"/>
      <c r="Q305" s="185"/>
      <c r="BM305" s="1"/>
    </row>
    <row r="306" customFormat="false" ht="64.5" hidden="false" customHeight="true" outlineLevel="0" collapsed="false">
      <c r="A306" s="207"/>
      <c r="B306" s="208"/>
      <c r="C306" s="208"/>
      <c r="D306" s="208"/>
      <c r="E306" s="208"/>
      <c r="F306" s="208"/>
      <c r="G306" s="180"/>
      <c r="H306" s="180"/>
      <c r="I306" s="180"/>
      <c r="J306" s="180"/>
      <c r="K306" s="180"/>
      <c r="L306" s="180"/>
      <c r="M306" s="180"/>
      <c r="N306" s="180"/>
      <c r="O306" s="181"/>
      <c r="P306" s="182"/>
      <c r="Q306" s="185"/>
      <c r="BM306" s="1"/>
    </row>
    <row r="307" customFormat="false" ht="64.5" hidden="false" customHeight="true" outlineLevel="0" collapsed="false">
      <c r="A307" s="207"/>
      <c r="B307" s="208"/>
      <c r="C307" s="209"/>
      <c r="D307" s="209"/>
      <c r="E307" s="209"/>
      <c r="F307" s="209"/>
      <c r="G307" s="180"/>
      <c r="H307" s="180"/>
      <c r="I307" s="180"/>
      <c r="J307" s="180"/>
      <c r="K307" s="180"/>
      <c r="L307" s="180"/>
      <c r="M307" s="180"/>
      <c r="N307" s="180"/>
      <c r="O307" s="181"/>
      <c r="P307" s="181"/>
      <c r="Q307" s="185"/>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row>
    <row r="308" customFormat="false" ht="30.75" hidden="false" customHeight="true" outlineLevel="0" collapsed="false">
      <c r="A308" s="207"/>
      <c r="B308" s="210" t="s">
        <v>549</v>
      </c>
      <c r="C308" s="209" t="s">
        <v>407</v>
      </c>
      <c r="D308" s="178" t="n">
        <v>4</v>
      </c>
      <c r="E308" s="178"/>
      <c r="F308" s="178"/>
      <c r="G308" s="180"/>
      <c r="H308" s="180"/>
      <c r="I308" s="180"/>
      <c r="J308" s="180"/>
      <c r="K308" s="180"/>
      <c r="L308" s="180"/>
      <c r="M308" s="180"/>
      <c r="N308" s="180"/>
      <c r="O308" s="181"/>
      <c r="P308" s="182"/>
      <c r="Q308" s="185"/>
      <c r="BM308" s="1"/>
    </row>
    <row r="309" customFormat="false" ht="30.75" hidden="false" customHeight="true" outlineLevel="0" collapsed="false">
      <c r="A309" s="207"/>
      <c r="B309" s="210"/>
      <c r="C309" s="210"/>
      <c r="D309" s="210"/>
      <c r="E309" s="210"/>
      <c r="F309" s="210"/>
      <c r="G309" s="180"/>
      <c r="H309" s="180"/>
      <c r="I309" s="180"/>
      <c r="J309" s="180"/>
      <c r="K309" s="180"/>
      <c r="L309" s="180"/>
      <c r="M309" s="180"/>
      <c r="N309" s="180"/>
      <c r="O309" s="181"/>
      <c r="P309" s="182"/>
      <c r="Q309" s="185"/>
      <c r="BM309" s="1"/>
    </row>
    <row r="310" customFormat="false" ht="30.75" hidden="false" customHeight="true" outlineLevel="0" collapsed="false">
      <c r="A310" s="207"/>
      <c r="B310" s="210"/>
      <c r="C310" s="209"/>
      <c r="D310" s="209"/>
      <c r="E310" s="209"/>
      <c r="F310" s="209"/>
      <c r="G310" s="180"/>
      <c r="H310" s="180"/>
      <c r="I310" s="180"/>
      <c r="J310" s="180"/>
      <c r="K310" s="180"/>
      <c r="L310" s="180"/>
      <c r="M310" s="180"/>
      <c r="N310" s="180"/>
      <c r="O310" s="181"/>
      <c r="P310" s="181"/>
      <c r="Q310" s="185"/>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row>
    <row r="311" customFormat="false" ht="30.75" hidden="false" customHeight="true" outlineLevel="0" collapsed="false">
      <c r="A311" s="207"/>
      <c r="B311" s="210"/>
      <c r="C311" s="209" t="s">
        <v>408</v>
      </c>
      <c r="D311" s="178" t="n">
        <v>4</v>
      </c>
      <c r="E311" s="178"/>
      <c r="F311" s="178"/>
      <c r="G311" s="180"/>
      <c r="H311" s="180"/>
      <c r="I311" s="180"/>
      <c r="J311" s="180"/>
      <c r="K311" s="180"/>
      <c r="L311" s="180"/>
      <c r="M311" s="180"/>
      <c r="N311" s="180"/>
      <c r="O311" s="181"/>
      <c r="P311" s="182"/>
      <c r="Q311" s="185"/>
      <c r="BM311" s="1"/>
    </row>
    <row r="312" customFormat="false" ht="30.75" hidden="false" customHeight="true" outlineLevel="0" collapsed="false">
      <c r="A312" s="207"/>
      <c r="B312" s="210"/>
      <c r="C312" s="210"/>
      <c r="D312" s="210"/>
      <c r="E312" s="210"/>
      <c r="F312" s="210"/>
      <c r="G312" s="180"/>
      <c r="H312" s="180"/>
      <c r="I312" s="180"/>
      <c r="J312" s="180"/>
      <c r="K312" s="180"/>
      <c r="L312" s="180"/>
      <c r="M312" s="180"/>
      <c r="N312" s="180"/>
      <c r="O312" s="181"/>
      <c r="P312" s="182"/>
      <c r="Q312" s="185"/>
      <c r="BM312" s="1"/>
    </row>
    <row r="313" customFormat="false" ht="30.75" hidden="false" customHeight="true" outlineLevel="0" collapsed="false">
      <c r="A313" s="207"/>
      <c r="B313" s="210"/>
      <c r="C313" s="210"/>
      <c r="D313" s="210"/>
      <c r="E313" s="210"/>
      <c r="F313" s="210"/>
      <c r="G313" s="180"/>
      <c r="H313" s="180"/>
      <c r="I313" s="180"/>
      <c r="J313" s="180"/>
      <c r="K313" s="180"/>
      <c r="L313" s="180"/>
      <c r="M313" s="180"/>
      <c r="N313" s="180"/>
      <c r="O313" s="181"/>
      <c r="P313" s="181"/>
      <c r="Q313" s="185"/>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row>
    <row r="314" customFormat="false" ht="30.75" hidden="false" customHeight="true" outlineLevel="0" collapsed="false">
      <c r="A314" s="207"/>
      <c r="B314" s="210" t="s">
        <v>550</v>
      </c>
      <c r="C314" s="209" t="s">
        <v>551</v>
      </c>
      <c r="D314" s="178" t="n">
        <v>2</v>
      </c>
      <c r="E314" s="178"/>
      <c r="F314" s="178"/>
      <c r="G314" s="180"/>
      <c r="H314" s="180"/>
      <c r="I314" s="180"/>
      <c r="J314" s="180"/>
      <c r="K314" s="180"/>
      <c r="L314" s="180"/>
      <c r="M314" s="180"/>
      <c r="N314" s="180"/>
      <c r="O314" s="181"/>
      <c r="P314" s="182"/>
      <c r="Q314" s="185"/>
      <c r="BM314" s="1"/>
    </row>
    <row r="315" customFormat="false" ht="30.75" hidden="false" customHeight="true" outlineLevel="0" collapsed="false">
      <c r="A315" s="207"/>
      <c r="B315" s="210"/>
      <c r="C315" s="210"/>
      <c r="D315" s="210"/>
      <c r="E315" s="210"/>
      <c r="F315" s="210"/>
      <c r="G315" s="180"/>
      <c r="H315" s="180"/>
      <c r="I315" s="180"/>
      <c r="J315" s="180"/>
      <c r="K315" s="180"/>
      <c r="L315" s="180"/>
      <c r="M315" s="180"/>
      <c r="N315" s="180"/>
      <c r="O315" s="181"/>
      <c r="P315" s="182"/>
      <c r="Q315" s="185"/>
      <c r="BM315" s="1"/>
    </row>
    <row r="316" customFormat="false" ht="30.75" hidden="false" customHeight="true" outlineLevel="0" collapsed="false">
      <c r="A316" s="207"/>
      <c r="B316" s="210"/>
      <c r="C316" s="209"/>
      <c r="D316" s="209"/>
      <c r="E316" s="209"/>
      <c r="F316" s="209"/>
      <c r="G316" s="180"/>
      <c r="H316" s="180"/>
      <c r="I316" s="180"/>
      <c r="J316" s="180"/>
      <c r="K316" s="180"/>
      <c r="L316" s="180"/>
      <c r="M316" s="180"/>
      <c r="N316" s="180"/>
      <c r="O316" s="181"/>
      <c r="P316" s="181"/>
      <c r="Q316" s="185"/>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row>
    <row r="317" customFormat="false" ht="30.75" hidden="false" customHeight="true" outlineLevel="0" collapsed="false">
      <c r="A317" s="207"/>
      <c r="B317" s="210"/>
      <c r="C317" s="209" t="s">
        <v>411</v>
      </c>
      <c r="D317" s="178" t="n">
        <v>4</v>
      </c>
      <c r="E317" s="178"/>
      <c r="F317" s="178"/>
      <c r="G317" s="180"/>
      <c r="H317" s="180"/>
      <c r="I317" s="180"/>
      <c r="J317" s="180"/>
      <c r="K317" s="180"/>
      <c r="L317" s="180"/>
      <c r="M317" s="180"/>
      <c r="N317" s="180"/>
      <c r="O317" s="181"/>
      <c r="P317" s="182"/>
      <c r="Q317" s="185"/>
      <c r="BM317" s="1"/>
    </row>
    <row r="318" customFormat="false" ht="30.75" hidden="false" customHeight="true" outlineLevel="0" collapsed="false">
      <c r="A318" s="207"/>
      <c r="B318" s="210"/>
      <c r="C318" s="210"/>
      <c r="D318" s="210"/>
      <c r="E318" s="210"/>
      <c r="F318" s="210"/>
      <c r="G318" s="180"/>
      <c r="H318" s="180"/>
      <c r="I318" s="180"/>
      <c r="J318" s="180"/>
      <c r="K318" s="180"/>
      <c r="L318" s="180"/>
      <c r="M318" s="180"/>
      <c r="N318" s="180"/>
      <c r="O318" s="181"/>
      <c r="P318" s="182"/>
      <c r="Q318" s="185"/>
      <c r="BM318" s="1"/>
    </row>
    <row r="319" customFormat="false" ht="30.75" hidden="false" customHeight="true" outlineLevel="0" collapsed="false">
      <c r="A319" s="207"/>
      <c r="B319" s="210"/>
      <c r="C319" s="209"/>
      <c r="D319" s="209"/>
      <c r="E319" s="209"/>
      <c r="F319" s="209"/>
      <c r="G319" s="180"/>
      <c r="H319" s="180"/>
      <c r="I319" s="180"/>
      <c r="J319" s="180"/>
      <c r="K319" s="180"/>
      <c r="L319" s="180"/>
      <c r="M319" s="180"/>
      <c r="N319" s="180"/>
      <c r="O319" s="181"/>
      <c r="P319" s="181"/>
      <c r="Q319" s="185"/>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row>
    <row r="320" customFormat="false" ht="30.75" hidden="false" customHeight="true" outlineLevel="0" collapsed="false">
      <c r="A320" s="207"/>
      <c r="B320" s="210"/>
      <c r="C320" s="209" t="s">
        <v>552</v>
      </c>
      <c r="D320" s="178" t="n">
        <v>4</v>
      </c>
      <c r="E320" s="178"/>
      <c r="F320" s="178"/>
      <c r="G320" s="180"/>
      <c r="H320" s="180"/>
      <c r="I320" s="180"/>
      <c r="J320" s="180"/>
      <c r="K320" s="180"/>
      <c r="L320" s="180"/>
      <c r="M320" s="180"/>
      <c r="N320" s="180"/>
      <c r="O320" s="181"/>
      <c r="P320" s="182"/>
      <c r="Q320" s="185"/>
      <c r="BM320" s="1"/>
    </row>
    <row r="321" customFormat="false" ht="30.75" hidden="false" customHeight="true" outlineLevel="0" collapsed="false">
      <c r="A321" s="207"/>
      <c r="B321" s="210"/>
      <c r="C321" s="210"/>
      <c r="D321" s="210"/>
      <c r="E321" s="210"/>
      <c r="F321" s="210"/>
      <c r="G321" s="180"/>
      <c r="H321" s="180"/>
      <c r="I321" s="180"/>
      <c r="J321" s="180"/>
      <c r="K321" s="180"/>
      <c r="L321" s="180"/>
      <c r="M321" s="180"/>
      <c r="N321" s="180"/>
      <c r="O321" s="181"/>
      <c r="P321" s="182"/>
      <c r="Q321" s="185"/>
      <c r="BM321" s="1"/>
    </row>
    <row r="322" customFormat="false" ht="30.75" hidden="false" customHeight="true" outlineLevel="0" collapsed="false">
      <c r="A322" s="207"/>
      <c r="B322" s="210"/>
      <c r="C322" s="210"/>
      <c r="D322" s="210"/>
      <c r="E322" s="210"/>
      <c r="F322" s="210"/>
      <c r="G322" s="180"/>
      <c r="H322" s="180"/>
      <c r="I322" s="180"/>
      <c r="J322" s="180"/>
      <c r="K322" s="180"/>
      <c r="L322" s="180"/>
      <c r="M322" s="180"/>
      <c r="N322" s="180"/>
      <c r="O322" s="181"/>
      <c r="P322" s="181"/>
      <c r="Q322" s="185"/>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BM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BM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BM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BM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BM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BM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BM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BM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BM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BM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BM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BM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BM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BM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BM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BM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BM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BM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BM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BM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BM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BM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BM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BM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BM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BM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BM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BM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BM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BM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BM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BM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BM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BM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BM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BM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BM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BM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BM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BM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BM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BM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BM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BM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BM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BM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BM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BM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BM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BM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BM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BM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BM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BM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BM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BM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BM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BM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BM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BM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BM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BM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BM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BM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BM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BM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BM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BM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BM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BM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BM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BM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BM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BM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BM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BM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BM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BM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BM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BM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BM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BM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BM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BM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BM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BM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BM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BM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BM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BM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BM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BM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BM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BM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BM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BM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BM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BM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BM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BM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BM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BM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BM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BM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BM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BM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BM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BM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BM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BM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BM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BM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BM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BM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BM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BM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BM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BM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BM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BM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BM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BM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BM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BM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BM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BM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BM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BM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BM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BM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BM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BM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BM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BM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BM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BM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BM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BM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BM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BM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BM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BM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BM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BM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BM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BM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BM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BM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BM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BM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BM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BM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BM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BM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BM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BM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BM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BM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BM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BM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BM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BM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BM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BM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BM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BM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BM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BM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BM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BM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BM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BM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BM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BM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BM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BM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BM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BM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BM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BM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BM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BM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BM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BM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BM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BM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BM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BM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BM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BM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BM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BM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BM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BM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BM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BM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BM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BM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BM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BM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BM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BM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BM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BM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BM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BM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BM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BM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BM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BM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BM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BM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BM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BM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BM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BM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BM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BM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BM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BM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BM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BM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BM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BM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BM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BM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BM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BM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BM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BM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BM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BM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BM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BM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BM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BM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BM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BM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BM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BM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BM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BM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BM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BM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BM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BM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BM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BM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BM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BM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BM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BM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BM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BM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BM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BM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BM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BM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BM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BM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BM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BM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BM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BM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BM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BM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BM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BM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BM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BM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BM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BM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BM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BM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BM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BM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BM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BM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BM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BM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BM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BM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BM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BM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BM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BM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BM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BM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BM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BM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BM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BM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BM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BM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BM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BM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BM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BM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BM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BM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BM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BM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BM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BM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BM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BM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BM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BM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BM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BM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BM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BM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BM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BM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BM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BM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BM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BM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BM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BM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BM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BM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BM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BM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BM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BM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BM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BM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BM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BM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BM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BM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BM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BM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BM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BM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BM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BM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BM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BM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BM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BM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BM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BM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BM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BM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BM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BM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BM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BM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BM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BM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BM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BM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BM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BM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BM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BM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BM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BM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BM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BM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BM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BM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BM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BM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BM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BM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BM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BM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BM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BM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BM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BM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BM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BM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BM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BM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BM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BM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BM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BM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BM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BM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BM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BM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BM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BM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BM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BM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BM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BM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BM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BM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BM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BM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BM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BM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BM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BM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BM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BM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BM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BM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BM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BM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BM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BM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BM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BM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BM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BM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BM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BM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BM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BM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BM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BM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BM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BM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BM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BM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BM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BM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BM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BM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BM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BM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BM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BM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BM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BM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BM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BM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BM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BM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BM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BM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BM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BM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BM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BM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BM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BM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BM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BM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BM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BM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BM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BM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BM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BM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BM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BM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BM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BM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BM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BM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BM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BM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BM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BM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BM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BM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BM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BM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BM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BM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BM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BM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BM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BM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BM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BM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BM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BM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BM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BM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BM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BM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BM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BM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BM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BM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BM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BM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BM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BM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BM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BM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BM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BM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BM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BM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BM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BM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BM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BM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BM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BM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BM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BM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BM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BM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BM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BM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BM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BM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BM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BM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BM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BM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BM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BM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BM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BM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BM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BM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BM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BM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BM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BM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BM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BM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BM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BM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BM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BM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BM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BM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BM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BM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BM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BM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BM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BM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BM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BM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BM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BM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BM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BM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BM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BM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BM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BM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BM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BM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BM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BM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BM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BM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BM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BM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BM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BM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BM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BM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BM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BM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BM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BM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BM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BM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BM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BM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BM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BM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BM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BM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BM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BM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BM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BM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BM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BM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BM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BM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BM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BM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BM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BM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BM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BM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BM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BM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BM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BM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BM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BM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BM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BM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BM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BM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BM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BM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BM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BM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BM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BM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BM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BM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BM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BM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BM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BM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BM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BM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BM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BM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BM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BM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BM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BM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BM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BM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BM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BM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BM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BM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BM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BM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BM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BM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BM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BM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BM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BM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BM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BM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BM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BM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BM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BM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BM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BM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BM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BM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BM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BM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BM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BM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BM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BM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BM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BM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BM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BM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BM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BM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BM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BM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BM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BM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BM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BM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BM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BM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BM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BM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BM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BM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BM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BM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BM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BM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BM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BM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BM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BM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BM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BM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BM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BM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BM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BM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BM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BM1000" s="1"/>
    </row>
  </sheetData>
  <mergeCells count="456">
    <mergeCell ref="A1:P1"/>
    <mergeCell ref="A2:F5"/>
    <mergeCell ref="G2:K6"/>
    <mergeCell ref="L2:L6"/>
    <mergeCell ref="M2:M6"/>
    <mergeCell ref="N2:N6"/>
    <mergeCell ref="O2:BL6"/>
    <mergeCell ref="E6:F6"/>
    <mergeCell ref="A8:A94"/>
    <mergeCell ref="B8:B25"/>
    <mergeCell ref="C8:C10"/>
    <mergeCell ref="D8:D10"/>
    <mergeCell ref="E8:E10"/>
    <mergeCell ref="F8:F10"/>
    <mergeCell ref="C11:C13"/>
    <mergeCell ref="D11:D13"/>
    <mergeCell ref="E11:E13"/>
    <mergeCell ref="F11:F13"/>
    <mergeCell ref="C14:C16"/>
    <mergeCell ref="D14:D16"/>
    <mergeCell ref="E14:E16"/>
    <mergeCell ref="F14:F16"/>
    <mergeCell ref="C17:C19"/>
    <mergeCell ref="D17:D19"/>
    <mergeCell ref="E17:E19"/>
    <mergeCell ref="F17:F19"/>
    <mergeCell ref="C20:C22"/>
    <mergeCell ref="D20:D22"/>
    <mergeCell ref="E20:E22"/>
    <mergeCell ref="F20:F22"/>
    <mergeCell ref="C23:C25"/>
    <mergeCell ref="D23:D25"/>
    <mergeCell ref="E23:E25"/>
    <mergeCell ref="F23:F25"/>
    <mergeCell ref="B26:B40"/>
    <mergeCell ref="C26:C28"/>
    <mergeCell ref="D26:D28"/>
    <mergeCell ref="E26:E28"/>
    <mergeCell ref="F26:F28"/>
    <mergeCell ref="C29:C31"/>
    <mergeCell ref="D29:D31"/>
    <mergeCell ref="E29:E31"/>
    <mergeCell ref="F29:F31"/>
    <mergeCell ref="C32:C34"/>
    <mergeCell ref="D32:D34"/>
    <mergeCell ref="E32:E34"/>
    <mergeCell ref="F32:F34"/>
    <mergeCell ref="C35:C37"/>
    <mergeCell ref="D35:D37"/>
    <mergeCell ref="E35:E37"/>
    <mergeCell ref="F35:F37"/>
    <mergeCell ref="C38:C40"/>
    <mergeCell ref="D38:D40"/>
    <mergeCell ref="E38:E40"/>
    <mergeCell ref="F38:F40"/>
    <mergeCell ref="B41:B52"/>
    <mergeCell ref="C41:C43"/>
    <mergeCell ref="D41:D43"/>
    <mergeCell ref="E41:E43"/>
    <mergeCell ref="F41:F43"/>
    <mergeCell ref="C44:C46"/>
    <mergeCell ref="D44:D46"/>
    <mergeCell ref="E44:E46"/>
    <mergeCell ref="F44:F46"/>
    <mergeCell ref="C47:C49"/>
    <mergeCell ref="D47:D49"/>
    <mergeCell ref="E47:E49"/>
    <mergeCell ref="F47:F49"/>
    <mergeCell ref="C50:C52"/>
    <mergeCell ref="D50:D52"/>
    <mergeCell ref="E50:E52"/>
    <mergeCell ref="F50:F52"/>
    <mergeCell ref="B53:B70"/>
    <mergeCell ref="C53:C55"/>
    <mergeCell ref="D53:D55"/>
    <mergeCell ref="E53:E55"/>
    <mergeCell ref="F53:F55"/>
    <mergeCell ref="C56:C58"/>
    <mergeCell ref="D56:D58"/>
    <mergeCell ref="E56:E58"/>
    <mergeCell ref="F56:F58"/>
    <mergeCell ref="C59:C61"/>
    <mergeCell ref="D59:D61"/>
    <mergeCell ref="E59:E61"/>
    <mergeCell ref="F59:F61"/>
    <mergeCell ref="C62:C64"/>
    <mergeCell ref="D62:D64"/>
    <mergeCell ref="E62:E64"/>
    <mergeCell ref="F62:F64"/>
    <mergeCell ref="C65:C67"/>
    <mergeCell ref="D65:D67"/>
    <mergeCell ref="E65:E67"/>
    <mergeCell ref="F65:F67"/>
    <mergeCell ref="C68:C70"/>
    <mergeCell ref="D68:D70"/>
    <mergeCell ref="E68:E70"/>
    <mergeCell ref="F68:F70"/>
    <mergeCell ref="B71:B79"/>
    <mergeCell ref="C71:C73"/>
    <mergeCell ref="D71:D73"/>
    <mergeCell ref="E71:E73"/>
    <mergeCell ref="F71:F73"/>
    <mergeCell ref="C74:C76"/>
    <mergeCell ref="D74:D76"/>
    <mergeCell ref="E74:E76"/>
    <mergeCell ref="F74:F76"/>
    <mergeCell ref="C77:C79"/>
    <mergeCell ref="D77:D79"/>
    <mergeCell ref="E77:E79"/>
    <mergeCell ref="F77:F79"/>
    <mergeCell ref="B80:B94"/>
    <mergeCell ref="C80:C82"/>
    <mergeCell ref="D80:D82"/>
    <mergeCell ref="E80:E82"/>
    <mergeCell ref="F80:F82"/>
    <mergeCell ref="C83:C85"/>
    <mergeCell ref="D83:D85"/>
    <mergeCell ref="E83:E85"/>
    <mergeCell ref="F83:F85"/>
    <mergeCell ref="C86:C88"/>
    <mergeCell ref="D86:D88"/>
    <mergeCell ref="E86:E88"/>
    <mergeCell ref="F86:F88"/>
    <mergeCell ref="C89:C91"/>
    <mergeCell ref="D89:D91"/>
    <mergeCell ref="E89:E91"/>
    <mergeCell ref="F89:F91"/>
    <mergeCell ref="C92:C94"/>
    <mergeCell ref="D92:D94"/>
    <mergeCell ref="E92:E94"/>
    <mergeCell ref="F92:F94"/>
    <mergeCell ref="A95:A205"/>
    <mergeCell ref="B95:B115"/>
    <mergeCell ref="C95:C97"/>
    <mergeCell ref="D95:D97"/>
    <mergeCell ref="E95:E97"/>
    <mergeCell ref="F95:F97"/>
    <mergeCell ref="C98:C100"/>
    <mergeCell ref="D98:D100"/>
    <mergeCell ref="E98:E100"/>
    <mergeCell ref="F98:F100"/>
    <mergeCell ref="C101:C103"/>
    <mergeCell ref="D101:D103"/>
    <mergeCell ref="E101:E103"/>
    <mergeCell ref="F101:F103"/>
    <mergeCell ref="C104:C106"/>
    <mergeCell ref="D104:D106"/>
    <mergeCell ref="E104:E106"/>
    <mergeCell ref="F104:F106"/>
    <mergeCell ref="C107:C109"/>
    <mergeCell ref="D107:D109"/>
    <mergeCell ref="E107:E109"/>
    <mergeCell ref="F107:F109"/>
    <mergeCell ref="C110:C112"/>
    <mergeCell ref="D110:D112"/>
    <mergeCell ref="E110:E112"/>
    <mergeCell ref="F110:F112"/>
    <mergeCell ref="C113:C115"/>
    <mergeCell ref="D113:D115"/>
    <mergeCell ref="E113:E115"/>
    <mergeCell ref="F113:F115"/>
    <mergeCell ref="B116:B130"/>
    <mergeCell ref="C116:C118"/>
    <mergeCell ref="D116:D118"/>
    <mergeCell ref="E116:E118"/>
    <mergeCell ref="F116:F118"/>
    <mergeCell ref="C119:C121"/>
    <mergeCell ref="D119:D121"/>
    <mergeCell ref="E119:E121"/>
    <mergeCell ref="F119:F121"/>
    <mergeCell ref="C122:C124"/>
    <mergeCell ref="D122:D124"/>
    <mergeCell ref="E122:E124"/>
    <mergeCell ref="F122:F124"/>
    <mergeCell ref="C125:C127"/>
    <mergeCell ref="D125:D127"/>
    <mergeCell ref="E125:E127"/>
    <mergeCell ref="F125:F127"/>
    <mergeCell ref="C128:C130"/>
    <mergeCell ref="D128:D130"/>
    <mergeCell ref="E128:E130"/>
    <mergeCell ref="F128:F130"/>
    <mergeCell ref="B131:B151"/>
    <mergeCell ref="C131:C133"/>
    <mergeCell ref="D131:D133"/>
    <mergeCell ref="E131:E133"/>
    <mergeCell ref="F131:F133"/>
    <mergeCell ref="C134:C136"/>
    <mergeCell ref="D134:D136"/>
    <mergeCell ref="E134:E136"/>
    <mergeCell ref="F134:F136"/>
    <mergeCell ref="C137:C139"/>
    <mergeCell ref="D137:D139"/>
    <mergeCell ref="E137:E139"/>
    <mergeCell ref="F137:F139"/>
    <mergeCell ref="C140:C142"/>
    <mergeCell ref="D140:D142"/>
    <mergeCell ref="E140:E142"/>
    <mergeCell ref="F140:F142"/>
    <mergeCell ref="C143:C145"/>
    <mergeCell ref="D143:D145"/>
    <mergeCell ref="E143:E145"/>
    <mergeCell ref="F143:F145"/>
    <mergeCell ref="C146:C148"/>
    <mergeCell ref="D146:D148"/>
    <mergeCell ref="E146:E148"/>
    <mergeCell ref="F146:F148"/>
    <mergeCell ref="C149:C151"/>
    <mergeCell ref="D149:D151"/>
    <mergeCell ref="E149:E151"/>
    <mergeCell ref="F149:F151"/>
    <mergeCell ref="B152:B187"/>
    <mergeCell ref="C152:C154"/>
    <mergeCell ref="D152:D154"/>
    <mergeCell ref="E152:E154"/>
    <mergeCell ref="F152:F154"/>
    <mergeCell ref="C155:C157"/>
    <mergeCell ref="D155:D157"/>
    <mergeCell ref="E155:E157"/>
    <mergeCell ref="F155:F157"/>
    <mergeCell ref="C158:C160"/>
    <mergeCell ref="D158:D160"/>
    <mergeCell ref="E158:E160"/>
    <mergeCell ref="F158:F160"/>
    <mergeCell ref="C161:C163"/>
    <mergeCell ref="D161:D163"/>
    <mergeCell ref="E161:E163"/>
    <mergeCell ref="F161:F163"/>
    <mergeCell ref="C164:C166"/>
    <mergeCell ref="D164:D166"/>
    <mergeCell ref="E164:E166"/>
    <mergeCell ref="F164:F166"/>
    <mergeCell ref="C167:C169"/>
    <mergeCell ref="D167:D169"/>
    <mergeCell ref="E167:E169"/>
    <mergeCell ref="F167:F169"/>
    <mergeCell ref="C170:C172"/>
    <mergeCell ref="D170:D172"/>
    <mergeCell ref="E170:E172"/>
    <mergeCell ref="F170:F172"/>
    <mergeCell ref="C173:C175"/>
    <mergeCell ref="D173:D175"/>
    <mergeCell ref="E173:E175"/>
    <mergeCell ref="F173:F175"/>
    <mergeCell ref="C176:C178"/>
    <mergeCell ref="D176:D178"/>
    <mergeCell ref="E176:E178"/>
    <mergeCell ref="F176:F178"/>
    <mergeCell ref="C179:C181"/>
    <mergeCell ref="D179:D181"/>
    <mergeCell ref="E179:E181"/>
    <mergeCell ref="F179:F181"/>
    <mergeCell ref="C182:C184"/>
    <mergeCell ref="D182:D184"/>
    <mergeCell ref="E182:E184"/>
    <mergeCell ref="F182:F184"/>
    <mergeCell ref="C185:C187"/>
    <mergeCell ref="D185:D187"/>
    <mergeCell ref="E185:E187"/>
    <mergeCell ref="F185:F187"/>
    <mergeCell ref="B188:B193"/>
    <mergeCell ref="C188:C190"/>
    <mergeCell ref="D188:D190"/>
    <mergeCell ref="E188:E190"/>
    <mergeCell ref="F188:F190"/>
    <mergeCell ref="C191:C193"/>
    <mergeCell ref="D191:D193"/>
    <mergeCell ref="E191:E193"/>
    <mergeCell ref="F191:F193"/>
    <mergeCell ref="B194:B205"/>
    <mergeCell ref="C194:C196"/>
    <mergeCell ref="D194:D196"/>
    <mergeCell ref="E194:E196"/>
    <mergeCell ref="F194:F196"/>
    <mergeCell ref="C197:C199"/>
    <mergeCell ref="D197:D199"/>
    <mergeCell ref="E197:E199"/>
    <mergeCell ref="F197:F199"/>
    <mergeCell ref="C200:C202"/>
    <mergeCell ref="D200:D202"/>
    <mergeCell ref="E200:E202"/>
    <mergeCell ref="F200:F202"/>
    <mergeCell ref="C203:C205"/>
    <mergeCell ref="D203:D205"/>
    <mergeCell ref="E203:E205"/>
    <mergeCell ref="F203:F205"/>
    <mergeCell ref="A206:A259"/>
    <mergeCell ref="B206:B220"/>
    <mergeCell ref="C206:C208"/>
    <mergeCell ref="D206:D208"/>
    <mergeCell ref="E206:E208"/>
    <mergeCell ref="F206:F208"/>
    <mergeCell ref="C209:C211"/>
    <mergeCell ref="D209:D211"/>
    <mergeCell ref="E209:E211"/>
    <mergeCell ref="F209:F211"/>
    <mergeCell ref="C212:C214"/>
    <mergeCell ref="D212:D214"/>
    <mergeCell ref="E212:E214"/>
    <mergeCell ref="F212:F214"/>
    <mergeCell ref="C215:C217"/>
    <mergeCell ref="D215:D217"/>
    <mergeCell ref="E215:E217"/>
    <mergeCell ref="F215:F217"/>
    <mergeCell ref="C218:C220"/>
    <mergeCell ref="D218:D220"/>
    <mergeCell ref="E218:E220"/>
    <mergeCell ref="F218:F220"/>
    <mergeCell ref="B221:B244"/>
    <mergeCell ref="C221:C223"/>
    <mergeCell ref="D221:D223"/>
    <mergeCell ref="E221:E223"/>
    <mergeCell ref="F221:F223"/>
    <mergeCell ref="C224:C226"/>
    <mergeCell ref="D224:D226"/>
    <mergeCell ref="E224:E226"/>
    <mergeCell ref="F224:F226"/>
    <mergeCell ref="C227:C229"/>
    <mergeCell ref="D227:D229"/>
    <mergeCell ref="E227:E229"/>
    <mergeCell ref="F227:F229"/>
    <mergeCell ref="C230:C232"/>
    <mergeCell ref="D230:D232"/>
    <mergeCell ref="E230:E232"/>
    <mergeCell ref="F230:F232"/>
    <mergeCell ref="C233:C235"/>
    <mergeCell ref="D233:D235"/>
    <mergeCell ref="E233:E235"/>
    <mergeCell ref="F233:F235"/>
    <mergeCell ref="C236:C238"/>
    <mergeCell ref="D236:D238"/>
    <mergeCell ref="E236:E238"/>
    <mergeCell ref="F236:F238"/>
    <mergeCell ref="C239:C241"/>
    <mergeCell ref="D239:D241"/>
    <mergeCell ref="E239:E241"/>
    <mergeCell ref="F239:F241"/>
    <mergeCell ref="C242:C244"/>
    <mergeCell ref="D242:D244"/>
    <mergeCell ref="E242:E244"/>
    <mergeCell ref="F242:F244"/>
    <mergeCell ref="B245:B259"/>
    <mergeCell ref="C245:C247"/>
    <mergeCell ref="D245:D247"/>
    <mergeCell ref="E245:E247"/>
    <mergeCell ref="F245:F247"/>
    <mergeCell ref="C248:C250"/>
    <mergeCell ref="D248:D250"/>
    <mergeCell ref="E248:E250"/>
    <mergeCell ref="F248:F250"/>
    <mergeCell ref="C251:C253"/>
    <mergeCell ref="D251:D253"/>
    <mergeCell ref="E251:E253"/>
    <mergeCell ref="F251:F253"/>
    <mergeCell ref="C254:C256"/>
    <mergeCell ref="D254:D256"/>
    <mergeCell ref="E254:E256"/>
    <mergeCell ref="F254:F256"/>
    <mergeCell ref="C257:C259"/>
    <mergeCell ref="D257:D259"/>
    <mergeCell ref="E257:E259"/>
    <mergeCell ref="F257:F259"/>
    <mergeCell ref="A260:A304"/>
    <mergeCell ref="B260:B262"/>
    <mergeCell ref="C260:C262"/>
    <mergeCell ref="D260:D262"/>
    <mergeCell ref="E260:E262"/>
    <mergeCell ref="F260:F262"/>
    <mergeCell ref="B263:B277"/>
    <mergeCell ref="C263:C265"/>
    <mergeCell ref="D263:D265"/>
    <mergeCell ref="E263:E265"/>
    <mergeCell ref="F263:F265"/>
    <mergeCell ref="C266:C268"/>
    <mergeCell ref="D266:D268"/>
    <mergeCell ref="E266:E268"/>
    <mergeCell ref="F266:F268"/>
    <mergeCell ref="C269:C271"/>
    <mergeCell ref="D269:D271"/>
    <mergeCell ref="E269:E271"/>
    <mergeCell ref="F269:F271"/>
    <mergeCell ref="C272:C274"/>
    <mergeCell ref="D272:D274"/>
    <mergeCell ref="E272:E274"/>
    <mergeCell ref="F272:F274"/>
    <mergeCell ref="C275:C277"/>
    <mergeCell ref="D275:D277"/>
    <mergeCell ref="E275:E277"/>
    <mergeCell ref="F275:F277"/>
    <mergeCell ref="B278:B289"/>
    <mergeCell ref="C278:C280"/>
    <mergeCell ref="D278:D280"/>
    <mergeCell ref="E278:E280"/>
    <mergeCell ref="F278:F280"/>
    <mergeCell ref="C281:C283"/>
    <mergeCell ref="D281:D283"/>
    <mergeCell ref="E281:E283"/>
    <mergeCell ref="F281:F283"/>
    <mergeCell ref="C284:C286"/>
    <mergeCell ref="D284:D286"/>
    <mergeCell ref="E284:E286"/>
    <mergeCell ref="F284:F286"/>
    <mergeCell ref="C287:C289"/>
    <mergeCell ref="D287:D289"/>
    <mergeCell ref="E287:E289"/>
    <mergeCell ref="F287:F289"/>
    <mergeCell ref="B290:B298"/>
    <mergeCell ref="C290:C292"/>
    <mergeCell ref="D290:D292"/>
    <mergeCell ref="E290:E292"/>
    <mergeCell ref="F290:F292"/>
    <mergeCell ref="C293:C295"/>
    <mergeCell ref="D293:D295"/>
    <mergeCell ref="E293:E295"/>
    <mergeCell ref="F293:F295"/>
    <mergeCell ref="C296:C298"/>
    <mergeCell ref="D296:D298"/>
    <mergeCell ref="E296:E298"/>
    <mergeCell ref="F296:F298"/>
    <mergeCell ref="B299:B304"/>
    <mergeCell ref="C299:C301"/>
    <mergeCell ref="D299:D301"/>
    <mergeCell ref="E299:E301"/>
    <mergeCell ref="F299:F301"/>
    <mergeCell ref="C302:C304"/>
    <mergeCell ref="D302:D304"/>
    <mergeCell ref="E302:E304"/>
    <mergeCell ref="F302:F304"/>
    <mergeCell ref="A305:A322"/>
    <mergeCell ref="B305:B307"/>
    <mergeCell ref="C305:C307"/>
    <mergeCell ref="D305:D307"/>
    <mergeCell ref="E305:E307"/>
    <mergeCell ref="F305:F307"/>
    <mergeCell ref="B308:B313"/>
    <mergeCell ref="C308:C310"/>
    <mergeCell ref="D308:D310"/>
    <mergeCell ref="E308:E310"/>
    <mergeCell ref="F308:F310"/>
    <mergeCell ref="C311:C313"/>
    <mergeCell ref="D311:D313"/>
    <mergeCell ref="E311:E313"/>
    <mergeCell ref="F311:F313"/>
    <mergeCell ref="B314:B322"/>
    <mergeCell ref="C314:C316"/>
    <mergeCell ref="D314:D316"/>
    <mergeCell ref="E314:E316"/>
    <mergeCell ref="F314:F316"/>
    <mergeCell ref="C317:C319"/>
    <mergeCell ref="D317:D319"/>
    <mergeCell ref="E317:E319"/>
    <mergeCell ref="F317:F319"/>
    <mergeCell ref="C320:C322"/>
    <mergeCell ref="D320:D322"/>
    <mergeCell ref="E320:E322"/>
    <mergeCell ref="F320:F322"/>
  </mergeCells>
  <printOptions headings="false" gridLines="false" gridLinesSet="true" horizontalCentered="false" verticalCentered="false"/>
  <pageMargins left="1.575" right="0.7875" top="0.984027777777778" bottom="0.984027777777778" header="0.511811023622047" footer="0.511811023622047"/>
  <pageSetup paperSize="5"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2.6328125" defaultRowHeight="15" zeroHeight="false" outlineLevelRow="0" outlineLevelCol="0"/>
  <cols>
    <col collapsed="false" customWidth="true" hidden="false" outlineLevel="0" max="4" min="1" style="0" width="5.75"/>
    <col collapsed="false" customWidth="true" hidden="true" outlineLevel="0" max="5" min="5" style="0" width="12.25"/>
    <col collapsed="false" customWidth="true" hidden="true" outlineLevel="0" max="6" min="6" style="0" width="11.38"/>
    <col collapsed="false" customWidth="true" hidden="false" outlineLevel="0" max="7" min="7" style="0" width="102.75"/>
    <col collapsed="false" customWidth="true" hidden="false" outlineLevel="0" max="8" min="8" style="0" width="11.75"/>
    <col collapsed="false" customWidth="true" hidden="false" outlineLevel="0" max="11" min="9" style="0" width="10.75"/>
    <col collapsed="false" customWidth="true" hidden="false" outlineLevel="0" max="15" min="12" style="0" width="5.75"/>
    <col collapsed="false" customWidth="true" hidden="false" outlineLevel="0" max="16" min="16" style="0" width="10.75"/>
    <col collapsed="false" customWidth="true" hidden="false" outlineLevel="0" max="17" min="17" style="0" width="11.38"/>
    <col collapsed="false" customWidth="true" hidden="false" outlineLevel="0" max="18" min="18" style="0" width="122.63"/>
    <col collapsed="false" customWidth="true" hidden="false" outlineLevel="0" max="20" min="19" style="0" width="11.38"/>
    <col collapsed="false" customWidth="true" hidden="false" outlineLevel="0" max="23" min="21" style="0" width="50.75"/>
    <col collapsed="false" customWidth="true" hidden="false" outlineLevel="0" max="24" min="24" style="0" width="11.38"/>
    <col collapsed="false" customWidth="true" hidden="false" outlineLevel="0" max="25" min="25" style="0" width="13.63"/>
    <col collapsed="false" customWidth="true" hidden="false" outlineLevel="0" max="26" min="26" style="0" width="11.38"/>
    <col collapsed="false" customWidth="true" hidden="false" outlineLevel="0" max="27" min="27" style="0" width="2.75"/>
    <col collapsed="false" customWidth="true" hidden="false" outlineLevel="0" max="30" min="28" style="0" width="11.38"/>
    <col collapsed="false" customWidth="true" hidden="false" outlineLevel="0" max="31" min="31" style="0" width="3.25"/>
    <col collapsed="false" customWidth="true" hidden="false" outlineLevel="0" max="32" min="32" style="0" width="14.25"/>
    <col collapsed="false" customWidth="true" hidden="false" outlineLevel="0" max="34" min="33" style="0" width="11.38"/>
    <col collapsed="false" customWidth="true" hidden="false" outlineLevel="0" max="35" min="35" style="0" width="3.25"/>
    <col collapsed="false" customWidth="true" hidden="false" outlineLevel="0" max="36" min="36" style="0" width="15.25"/>
    <col collapsed="false" customWidth="true" hidden="false" outlineLevel="0" max="37" min="37" style="0" width="11.38"/>
  </cols>
  <sheetData>
    <row r="1" customFormat="false" ht="12.75" hidden="false" customHeight="true" outlineLevel="0" collapsed="false">
      <c r="A1" s="211" t="s">
        <v>553</v>
      </c>
      <c r="B1" s="211"/>
      <c r="C1" s="211"/>
      <c r="D1" s="212"/>
      <c r="E1" s="213"/>
      <c r="R1" s="214" t="s">
        <v>554</v>
      </c>
    </row>
    <row r="2" customFormat="false" ht="12.75" hidden="false" customHeight="true" outlineLevel="0" collapsed="false">
      <c r="A2" s="215"/>
      <c r="B2" s="216"/>
      <c r="C2" s="216"/>
      <c r="D2" s="216"/>
      <c r="H2" s="217" t="s">
        <v>555</v>
      </c>
      <c r="I2" s="217"/>
      <c r="J2" s="217"/>
      <c r="K2" s="217"/>
      <c r="L2" s="217" t="s">
        <v>556</v>
      </c>
      <c r="M2" s="217"/>
      <c r="N2" s="217"/>
      <c r="O2" s="217"/>
    </row>
    <row r="3" customFormat="false" ht="81.75" hidden="false" customHeight="true" outlineLevel="0" collapsed="false">
      <c r="A3" s="218" t="s">
        <v>277</v>
      </c>
      <c r="B3" s="218" t="s">
        <v>8</v>
      </c>
      <c r="C3" s="218" t="s">
        <v>557</v>
      </c>
      <c r="D3" s="218" t="s">
        <v>558</v>
      </c>
      <c r="E3" s="219" t="s">
        <v>559</v>
      </c>
      <c r="F3" s="220"/>
      <c r="G3" s="221" t="s">
        <v>560</v>
      </c>
      <c r="H3" s="218" t="s">
        <v>561</v>
      </c>
      <c r="I3" s="218" t="s">
        <v>562</v>
      </c>
      <c r="J3" s="218" t="s">
        <v>563</v>
      </c>
      <c r="K3" s="218" t="s">
        <v>564</v>
      </c>
      <c r="L3" s="218" t="s">
        <v>561</v>
      </c>
      <c r="M3" s="218" t="s">
        <v>562</v>
      </c>
      <c r="N3" s="218" t="s">
        <v>563</v>
      </c>
      <c r="O3" s="218" t="s">
        <v>564</v>
      </c>
      <c r="P3" s="218" t="s">
        <v>565</v>
      </c>
      <c r="Q3" s="218" t="s">
        <v>566</v>
      </c>
      <c r="R3" s="221" t="s">
        <v>567</v>
      </c>
    </row>
    <row r="4" customFormat="false" ht="28.5" hidden="false" customHeight="true" outlineLevel="0" collapsed="false">
      <c r="A4" s="222" t="s">
        <v>419</v>
      </c>
      <c r="B4" s="223" t="s">
        <v>420</v>
      </c>
      <c r="C4" s="223" t="n">
        <v>1</v>
      </c>
      <c r="D4" s="224" t="n">
        <v>1</v>
      </c>
      <c r="E4" s="225" t="s">
        <v>568</v>
      </c>
      <c r="F4" s="226" t="s">
        <v>569</v>
      </c>
      <c r="G4" s="227" t="s">
        <v>570</v>
      </c>
      <c r="H4" s="228" t="s">
        <v>571</v>
      </c>
      <c r="I4" s="228" t="s">
        <v>572</v>
      </c>
      <c r="J4" s="228" t="s">
        <v>573</v>
      </c>
      <c r="K4" s="228" t="s">
        <v>574</v>
      </c>
      <c r="L4" s="229" t="n">
        <f aca="false">VLOOKUP($H4,$Y$5:$Z$10,2,FALSE())</f>
        <v>0.3</v>
      </c>
      <c r="M4" s="229" t="n">
        <f aca="false">VLOOKUP($I4,$AB$5:$AD$9,IF($K4="No aplicable",3,2),FALSE())</f>
        <v>0.15</v>
      </c>
      <c r="N4" s="229" t="n">
        <f aca="false">VLOOKUP($J4,$AF$5:$AH$9,IF($K4="No aplicable",3,2),FALSE())</f>
        <v>0.1</v>
      </c>
      <c r="O4" s="229" t="n">
        <f aca="false">IF($K4="No aplicable","--",VLOOKUP($K4,$AJ$5:$AK$8,2,FALSE()))</f>
        <v>0.05</v>
      </c>
      <c r="P4" s="230" t="n">
        <f aca="false">SUM(L4:O4)</f>
        <v>0.6</v>
      </c>
      <c r="Q4" s="231" t="n">
        <f aca="false">AVERAGE(P4:P5)</f>
        <v>0.625</v>
      </c>
      <c r="R4" s="232" t="s">
        <v>575</v>
      </c>
      <c r="T4" s="213" t="s">
        <v>281</v>
      </c>
      <c r="U4" s="233" t="s">
        <v>576</v>
      </c>
      <c r="V4" s="233" t="s">
        <v>577</v>
      </c>
      <c r="W4" s="233" t="s">
        <v>578</v>
      </c>
      <c r="Y4" s="234" t="s">
        <v>561</v>
      </c>
      <c r="Z4" s="235" t="s">
        <v>579</v>
      </c>
      <c r="AA4" s="233"/>
      <c r="AB4" s="235" t="s">
        <v>562</v>
      </c>
      <c r="AC4" s="235" t="s">
        <v>579</v>
      </c>
      <c r="AD4" s="235" t="s">
        <v>580</v>
      </c>
      <c r="AE4" s="213"/>
      <c r="AF4" s="234" t="s">
        <v>563</v>
      </c>
      <c r="AG4" s="234" t="s">
        <v>579</v>
      </c>
      <c r="AH4" s="234" t="s">
        <v>580</v>
      </c>
      <c r="AJ4" s="235" t="s">
        <v>564</v>
      </c>
      <c r="AK4" s="235" t="s">
        <v>579</v>
      </c>
    </row>
    <row r="5" customFormat="false" ht="27" hidden="false" customHeight="true" outlineLevel="0" collapsed="false">
      <c r="A5" s="236" t="s">
        <v>419</v>
      </c>
      <c r="B5" s="237" t="s">
        <v>420</v>
      </c>
      <c r="C5" s="237" t="n">
        <v>1</v>
      </c>
      <c r="D5" s="238" t="n">
        <v>2</v>
      </c>
      <c r="E5" s="239" t="s">
        <v>581</v>
      </c>
      <c r="F5" s="240" t="s">
        <v>582</v>
      </c>
      <c r="G5" s="241" t="s">
        <v>583</v>
      </c>
      <c r="H5" s="242" t="s">
        <v>571</v>
      </c>
      <c r="I5" s="242" t="s">
        <v>572</v>
      </c>
      <c r="J5" s="242" t="s">
        <v>573</v>
      </c>
      <c r="K5" s="242" t="s">
        <v>584</v>
      </c>
      <c r="L5" s="243" t="n">
        <f aca="false">VLOOKUP($H5,$Y$5:$Z$10,2,FALSE())</f>
        <v>0.3</v>
      </c>
      <c r="M5" s="244" t="n">
        <f aca="false">VLOOKUP($I5,$AB$5:$AD$9,IF($K5="No aplicable",3,2),FALSE())</f>
        <v>0.2</v>
      </c>
      <c r="N5" s="244" t="n">
        <f aca="false">VLOOKUP($J5,$AF$5:$AH$9,IF($K5="No aplicable",3,2),FALSE())</f>
        <v>0.15</v>
      </c>
      <c r="O5" s="244" t="str">
        <f aca="false">IF($K5="No aplicable","--",VLOOKUP($K5,$AJ$5:$AK$8,2,FALSE()))</f>
        <v>--</v>
      </c>
      <c r="P5" s="245" t="n">
        <f aca="false">SUM(L5:O5)</f>
        <v>0.65</v>
      </c>
      <c r="Q5" s="231"/>
      <c r="R5" s="246"/>
      <c r="T5" s="247" t="s">
        <v>574</v>
      </c>
      <c r="U5" s="248" t="s">
        <v>585</v>
      </c>
      <c r="V5" s="248" t="s">
        <v>586</v>
      </c>
      <c r="W5" s="248" t="s">
        <v>587</v>
      </c>
      <c r="Y5" s="249" t="s">
        <v>588</v>
      </c>
      <c r="Z5" s="250" t="n">
        <v>0</v>
      </c>
      <c r="AA5" s="233"/>
      <c r="AB5" s="251" t="s">
        <v>589</v>
      </c>
      <c r="AC5" s="250" t="n">
        <v>0</v>
      </c>
      <c r="AD5" s="250" t="n">
        <v>0</v>
      </c>
      <c r="AE5" s="213"/>
      <c r="AF5" s="249" t="s">
        <v>589</v>
      </c>
      <c r="AG5" s="252" t="n">
        <v>0</v>
      </c>
      <c r="AH5" s="252" t="n">
        <v>0</v>
      </c>
      <c r="AJ5" s="251" t="s">
        <v>589</v>
      </c>
      <c r="AK5" s="250" t="n">
        <v>0</v>
      </c>
    </row>
    <row r="6" customFormat="false" ht="30" hidden="false" customHeight="true" outlineLevel="0" collapsed="false">
      <c r="A6" s="222" t="s">
        <v>419</v>
      </c>
      <c r="B6" s="223" t="s">
        <v>420</v>
      </c>
      <c r="C6" s="223" t="n">
        <v>2</v>
      </c>
      <c r="D6" s="224" t="n">
        <v>1</v>
      </c>
      <c r="E6" s="225" t="s">
        <v>568</v>
      </c>
      <c r="F6" s="226" t="s">
        <v>569</v>
      </c>
      <c r="G6" s="227" t="s">
        <v>590</v>
      </c>
      <c r="H6" s="228" t="s">
        <v>571</v>
      </c>
      <c r="I6" s="228" t="s">
        <v>572</v>
      </c>
      <c r="J6" s="228" t="s">
        <v>573</v>
      </c>
      <c r="K6" s="228" t="s">
        <v>574</v>
      </c>
      <c r="L6" s="229" t="n">
        <f aca="false">VLOOKUP($H6,$Y$5:$Z$10,2,FALSE())</f>
        <v>0.3</v>
      </c>
      <c r="M6" s="229" t="n">
        <f aca="false">VLOOKUP($I6,$AB$5:$AD$9,IF($K6="No aplicable",3,2),FALSE())</f>
        <v>0.15</v>
      </c>
      <c r="N6" s="229" t="n">
        <f aca="false">VLOOKUP($J6,$AF$5:$AH$9,IF($K6="No aplicable",3,2),FALSE())</f>
        <v>0.1</v>
      </c>
      <c r="O6" s="229" t="n">
        <f aca="false">IF($K6="No aplicable","--",VLOOKUP($K6,$AJ$5:$AK$8,2,FALSE()))</f>
        <v>0.05</v>
      </c>
      <c r="P6" s="230" t="n">
        <f aca="false">SUM(L6:O6)</f>
        <v>0.6</v>
      </c>
      <c r="Q6" s="253" t="n">
        <f aca="false">AVERAGE(P6:P8)</f>
        <v>0.633333333333333</v>
      </c>
      <c r="R6" s="232" t="s">
        <v>575</v>
      </c>
      <c r="T6" s="247" t="s">
        <v>591</v>
      </c>
      <c r="U6" s="214" t="s">
        <v>592</v>
      </c>
      <c r="V6" s="214" t="s">
        <v>593</v>
      </c>
      <c r="W6" s="214" t="s">
        <v>594</v>
      </c>
      <c r="Y6" s="249" t="s">
        <v>595</v>
      </c>
      <c r="Z6" s="250" t="n">
        <v>0.1</v>
      </c>
      <c r="AA6" s="233"/>
      <c r="AB6" s="251" t="s">
        <v>596</v>
      </c>
      <c r="AC6" s="250" t="n">
        <v>0.05</v>
      </c>
      <c r="AD6" s="250" t="n">
        <v>0.075</v>
      </c>
      <c r="AE6" s="213"/>
      <c r="AF6" s="249" t="s">
        <v>596</v>
      </c>
      <c r="AG6" s="252" t="n">
        <v>0.05</v>
      </c>
      <c r="AH6" s="252" t="n">
        <v>0.075</v>
      </c>
      <c r="AJ6" s="251" t="s">
        <v>574</v>
      </c>
      <c r="AK6" s="250" t="n">
        <v>0.05</v>
      </c>
    </row>
    <row r="7" customFormat="false" ht="30.75" hidden="false" customHeight="true" outlineLevel="0" collapsed="false">
      <c r="A7" s="254" t="s">
        <v>419</v>
      </c>
      <c r="B7" s="255" t="s">
        <v>420</v>
      </c>
      <c r="C7" s="255" t="n">
        <v>2</v>
      </c>
      <c r="D7" s="256" t="n">
        <v>2</v>
      </c>
      <c r="E7" s="257" t="s">
        <v>581</v>
      </c>
      <c r="F7" s="258" t="s">
        <v>582</v>
      </c>
      <c r="G7" s="259" t="s">
        <v>597</v>
      </c>
      <c r="H7" s="260" t="s">
        <v>571</v>
      </c>
      <c r="I7" s="260" t="s">
        <v>572</v>
      </c>
      <c r="J7" s="260" t="s">
        <v>573</v>
      </c>
      <c r="K7" s="260" t="s">
        <v>584</v>
      </c>
      <c r="L7" s="244" t="n">
        <f aca="false">VLOOKUP($H7,$Y$5:$Z$10,2,FALSE())</f>
        <v>0.3</v>
      </c>
      <c r="M7" s="244" t="n">
        <f aca="false">VLOOKUP($I7,$AB$5:$AD$9,IF($K7="No aplicable",3,2),FALSE())</f>
        <v>0.2</v>
      </c>
      <c r="N7" s="244" t="n">
        <f aca="false">VLOOKUP($J7,$AF$5:$AH$9,IF($K7="No aplicable",3,2),FALSE())</f>
        <v>0.15</v>
      </c>
      <c r="O7" s="244" t="str">
        <f aca="false">IF($K7="No aplicable","--",VLOOKUP($K7,$AJ$5:$AK$8,2,FALSE()))</f>
        <v>--</v>
      </c>
      <c r="P7" s="261" t="n">
        <f aca="false">SUM(L7:O7)</f>
        <v>0.65</v>
      </c>
      <c r="Q7" s="253"/>
      <c r="R7" s="262"/>
      <c r="T7" s="247" t="s">
        <v>598</v>
      </c>
      <c r="U7" s="214" t="s">
        <v>599</v>
      </c>
      <c r="V7" s="214" t="s">
        <v>600</v>
      </c>
      <c r="W7" s="214" t="s">
        <v>601</v>
      </c>
      <c r="Y7" s="249" t="s">
        <v>598</v>
      </c>
      <c r="Z7" s="250" t="n">
        <v>0.2</v>
      </c>
      <c r="AA7" s="233"/>
      <c r="AB7" s="251" t="s">
        <v>602</v>
      </c>
      <c r="AC7" s="250" t="n">
        <v>0.1</v>
      </c>
      <c r="AD7" s="250" t="n">
        <v>0.15</v>
      </c>
      <c r="AE7" s="213"/>
      <c r="AF7" s="249" t="s">
        <v>573</v>
      </c>
      <c r="AG7" s="252" t="n">
        <v>0.1</v>
      </c>
      <c r="AH7" s="252" t="n">
        <v>0.15</v>
      </c>
      <c r="AJ7" s="251" t="s">
        <v>603</v>
      </c>
      <c r="AK7" s="250" t="n">
        <v>0.1</v>
      </c>
    </row>
    <row r="8" customFormat="false" ht="33" hidden="false" customHeight="true" outlineLevel="0" collapsed="false">
      <c r="A8" s="236" t="s">
        <v>419</v>
      </c>
      <c r="B8" s="237" t="s">
        <v>420</v>
      </c>
      <c r="C8" s="237" t="n">
        <v>2</v>
      </c>
      <c r="D8" s="238" t="n">
        <v>3</v>
      </c>
      <c r="E8" s="239" t="s">
        <v>604</v>
      </c>
      <c r="F8" s="240" t="s">
        <v>605</v>
      </c>
      <c r="G8" s="241" t="s">
        <v>606</v>
      </c>
      <c r="H8" s="242" t="s">
        <v>571</v>
      </c>
      <c r="I8" s="242" t="s">
        <v>572</v>
      </c>
      <c r="J8" s="242" t="s">
        <v>573</v>
      </c>
      <c r="K8" s="242" t="s">
        <v>584</v>
      </c>
      <c r="L8" s="243" t="n">
        <f aca="false">VLOOKUP($H8,$Y$5:$Z$10,2,FALSE())</f>
        <v>0.3</v>
      </c>
      <c r="M8" s="243" t="n">
        <f aca="false">VLOOKUP($I8,$AB$5:$AD$9,IF($K8="No aplicable",3,2),FALSE())</f>
        <v>0.2</v>
      </c>
      <c r="N8" s="243" t="n">
        <f aca="false">VLOOKUP($J8,$AF$5:$AH$9,IF($K8="No aplicable",3,2),FALSE())</f>
        <v>0.15</v>
      </c>
      <c r="O8" s="243" t="str">
        <f aca="false">IF($K8="No aplicable","--",VLOOKUP($K8,$AJ$5:$AK$8,2,FALSE()))</f>
        <v>--</v>
      </c>
      <c r="P8" s="245" t="n">
        <f aca="false">SUM(L8:O8)</f>
        <v>0.65</v>
      </c>
      <c r="Q8" s="253"/>
      <c r="R8" s="246"/>
      <c r="T8" s="247" t="s">
        <v>607</v>
      </c>
      <c r="U8" s="214" t="s">
        <v>608</v>
      </c>
      <c r="V8" s="214" t="s">
        <v>609</v>
      </c>
      <c r="W8" s="214" t="s">
        <v>610</v>
      </c>
      <c r="Y8" s="249" t="s">
        <v>571</v>
      </c>
      <c r="Z8" s="250" t="n">
        <v>0.3</v>
      </c>
      <c r="AA8" s="233"/>
      <c r="AB8" s="251" t="s">
        <v>572</v>
      </c>
      <c r="AC8" s="250" t="n">
        <v>0.15</v>
      </c>
      <c r="AD8" s="250" t="n">
        <v>0.2</v>
      </c>
      <c r="AE8" s="213"/>
      <c r="AF8" s="249" t="s">
        <v>611</v>
      </c>
      <c r="AG8" s="252" t="n">
        <v>0.15</v>
      </c>
      <c r="AH8" s="252" t="n">
        <v>0.2</v>
      </c>
      <c r="AJ8" s="251" t="s">
        <v>584</v>
      </c>
      <c r="AK8" s="250" t="n">
        <v>0.1</v>
      </c>
    </row>
    <row r="9" customFormat="false" ht="43.5" hidden="false" customHeight="true" outlineLevel="0" collapsed="false">
      <c r="A9" s="263" t="s">
        <v>419</v>
      </c>
      <c r="B9" s="264" t="s">
        <v>420</v>
      </c>
      <c r="C9" s="264" t="n">
        <v>3</v>
      </c>
      <c r="D9" s="265" t="n">
        <v>1</v>
      </c>
      <c r="E9" s="266" t="s">
        <v>612</v>
      </c>
      <c r="F9" s="267" t="s">
        <v>613</v>
      </c>
      <c r="G9" s="268" t="s">
        <v>614</v>
      </c>
      <c r="H9" s="269" t="s">
        <v>571</v>
      </c>
      <c r="I9" s="269" t="s">
        <v>572</v>
      </c>
      <c r="J9" s="269" t="s">
        <v>573</v>
      </c>
      <c r="K9" s="269" t="s">
        <v>584</v>
      </c>
      <c r="L9" s="270" t="n">
        <f aca="false">VLOOKUP($H9,$Y$5:$Z$10,2,FALSE())</f>
        <v>0.3</v>
      </c>
      <c r="M9" s="270" t="n">
        <f aca="false">VLOOKUP($I9,$AB$5:$AD$9,IF($K9="No aplicable",3,2),FALSE())</f>
        <v>0.2</v>
      </c>
      <c r="N9" s="270" t="n">
        <f aca="false">VLOOKUP($J9,$AF$5:$AH$9,IF($K9="No aplicable",3,2),FALSE())</f>
        <v>0.15</v>
      </c>
      <c r="O9" s="270" t="str">
        <f aca="false">IF($K9="No aplicable","--",VLOOKUP($K9,$AJ$5:$AK$8,2,FALSE()))</f>
        <v>--</v>
      </c>
      <c r="P9" s="271" t="n">
        <f aca="false">SUM(L9:O9)</f>
        <v>0.65</v>
      </c>
      <c r="Q9" s="253" t="n">
        <f aca="false">P9</f>
        <v>0.65</v>
      </c>
      <c r="R9" s="272" t="s">
        <v>615</v>
      </c>
      <c r="Y9" s="249" t="s">
        <v>616</v>
      </c>
      <c r="Z9" s="250" t="n">
        <v>0.4</v>
      </c>
      <c r="AA9" s="233"/>
      <c r="AB9" s="251" t="s">
        <v>617</v>
      </c>
      <c r="AC9" s="250" t="n">
        <v>0.2</v>
      </c>
      <c r="AD9" s="250" t="n">
        <v>0.25</v>
      </c>
      <c r="AE9" s="213"/>
      <c r="AF9" s="249" t="s">
        <v>618</v>
      </c>
      <c r="AG9" s="252" t="n">
        <v>0.2</v>
      </c>
      <c r="AH9" s="252" t="n">
        <v>0.25</v>
      </c>
      <c r="AJ9" s="213"/>
      <c r="AK9" s="213"/>
    </row>
    <row r="10" customFormat="false" ht="30" hidden="false" customHeight="true" outlineLevel="0" collapsed="false">
      <c r="A10" s="222" t="s">
        <v>419</v>
      </c>
      <c r="B10" s="223" t="s">
        <v>420</v>
      </c>
      <c r="C10" s="223" t="n">
        <v>4</v>
      </c>
      <c r="D10" s="224" t="n">
        <v>1</v>
      </c>
      <c r="E10" s="225" t="s">
        <v>619</v>
      </c>
      <c r="F10" s="226" t="s">
        <v>620</v>
      </c>
      <c r="G10" s="227" t="s">
        <v>621</v>
      </c>
      <c r="H10" s="228" t="s">
        <v>571</v>
      </c>
      <c r="I10" s="228" t="s">
        <v>572</v>
      </c>
      <c r="J10" s="228" t="s">
        <v>573</v>
      </c>
      <c r="K10" s="228" t="s">
        <v>574</v>
      </c>
      <c r="L10" s="229" t="n">
        <f aca="false">VLOOKUP($H10,$Y$5:$Z$10,2,FALSE())</f>
        <v>0.3</v>
      </c>
      <c r="M10" s="229" t="n">
        <f aca="false">VLOOKUP($I10,$AB$5:$AD$9,IF($K10="No aplicable",3,2),FALSE())</f>
        <v>0.15</v>
      </c>
      <c r="N10" s="229" t="n">
        <f aca="false">VLOOKUP($J10,$AF$5:$AH$9,IF($K10="No aplicable",3,2),FALSE())</f>
        <v>0.1</v>
      </c>
      <c r="O10" s="229" t="n">
        <f aca="false">IF($K10="No aplicable","--",VLOOKUP($K10,$AJ$5:$AK$8,2,FALSE()))</f>
        <v>0.05</v>
      </c>
      <c r="P10" s="230" t="n">
        <f aca="false">SUM(L10:O10)</f>
        <v>0.6</v>
      </c>
      <c r="Q10" s="231" t="n">
        <f aca="false">AVERAGE(P10:P11)</f>
        <v>0.625</v>
      </c>
      <c r="R10" s="273"/>
      <c r="Y10" s="249" t="s">
        <v>622</v>
      </c>
      <c r="Z10" s="250" t="n">
        <v>0.5</v>
      </c>
      <c r="AA10" s="233"/>
      <c r="AB10" s="213"/>
      <c r="AC10" s="213"/>
      <c r="AD10" s="213"/>
      <c r="AE10" s="213"/>
      <c r="AF10" s="233"/>
      <c r="AG10" s="233"/>
      <c r="AH10" s="233"/>
      <c r="AJ10" s="213"/>
      <c r="AK10" s="213"/>
    </row>
    <row r="11" customFormat="false" ht="30" hidden="false" customHeight="true" outlineLevel="0" collapsed="false">
      <c r="A11" s="236" t="s">
        <v>419</v>
      </c>
      <c r="B11" s="237" t="s">
        <v>420</v>
      </c>
      <c r="C11" s="237" t="n">
        <v>4</v>
      </c>
      <c r="D11" s="238" t="n">
        <v>2</v>
      </c>
      <c r="E11" s="239" t="s">
        <v>619</v>
      </c>
      <c r="F11" s="240" t="s">
        <v>620</v>
      </c>
      <c r="G11" s="241" t="s">
        <v>623</v>
      </c>
      <c r="H11" s="242" t="s">
        <v>571</v>
      </c>
      <c r="I11" s="242" t="s">
        <v>572</v>
      </c>
      <c r="J11" s="242" t="s">
        <v>573</v>
      </c>
      <c r="K11" s="242" t="s">
        <v>584</v>
      </c>
      <c r="L11" s="243" t="n">
        <f aca="false">VLOOKUP($H11,$Y$5:$Z$10,2,FALSE())</f>
        <v>0.3</v>
      </c>
      <c r="M11" s="243" t="n">
        <f aca="false">VLOOKUP($I11,$AB$5:$AD$9,IF($K11="No aplicable",3,2),FALSE())</f>
        <v>0.2</v>
      </c>
      <c r="N11" s="243" t="n">
        <f aca="false">VLOOKUP($J11,$AF$5:$AH$9,IF($K11="No aplicable",3,2),FALSE())</f>
        <v>0.15</v>
      </c>
      <c r="O11" s="243" t="str">
        <f aca="false">IF($K11="No aplicable","--",VLOOKUP($K11,$AJ$5:$AK$8,2,FALSE()))</f>
        <v>--</v>
      </c>
      <c r="P11" s="245" t="n">
        <f aca="false">SUM(L11:O11)</f>
        <v>0.65</v>
      </c>
      <c r="Q11" s="231"/>
      <c r="R11" s="246"/>
    </row>
    <row r="12" customFormat="false" ht="44.25" hidden="false" customHeight="true" outlineLevel="0" collapsed="false">
      <c r="A12" s="222" t="s">
        <v>419</v>
      </c>
      <c r="B12" s="223" t="s">
        <v>420</v>
      </c>
      <c r="C12" s="223" t="n">
        <v>5</v>
      </c>
      <c r="D12" s="224" t="n">
        <v>1</v>
      </c>
      <c r="E12" s="225" t="s">
        <v>624</v>
      </c>
      <c r="F12" s="226" t="s">
        <v>625</v>
      </c>
      <c r="G12" s="227" t="s">
        <v>626</v>
      </c>
      <c r="H12" s="228" t="s">
        <v>571</v>
      </c>
      <c r="I12" s="228" t="s">
        <v>572</v>
      </c>
      <c r="J12" s="228" t="s">
        <v>573</v>
      </c>
      <c r="K12" s="228" t="s">
        <v>584</v>
      </c>
      <c r="L12" s="229" t="n">
        <f aca="false">VLOOKUP($H12,$Y$5:$Z$10,2,FALSE())</f>
        <v>0.3</v>
      </c>
      <c r="M12" s="229" t="n">
        <f aca="false">VLOOKUP($I12,$AB$5:$AD$9,IF($K12="No aplicable",3,2),FALSE())</f>
        <v>0.2</v>
      </c>
      <c r="N12" s="229" t="n">
        <f aca="false">VLOOKUP($J12,$AF$5:$AH$9,IF($K12="No aplicable",3,2),FALSE())</f>
        <v>0.15</v>
      </c>
      <c r="O12" s="229" t="str">
        <f aca="false">IF($K12="No aplicable","--",VLOOKUP($K12,$AJ$5:$AK$8,2,FALSE()))</f>
        <v>--</v>
      </c>
      <c r="P12" s="230" t="n">
        <f aca="false">SUM(L12:O12)</f>
        <v>0.65</v>
      </c>
      <c r="Q12" s="253" t="n">
        <f aca="false">AVERAGE(P12:P14)</f>
        <v>0.65</v>
      </c>
      <c r="R12" s="232" t="s">
        <v>627</v>
      </c>
    </row>
    <row r="13" customFormat="false" ht="30" hidden="false" customHeight="true" outlineLevel="0" collapsed="false">
      <c r="A13" s="254" t="s">
        <v>419</v>
      </c>
      <c r="B13" s="255" t="s">
        <v>420</v>
      </c>
      <c r="C13" s="255" t="n">
        <v>5</v>
      </c>
      <c r="D13" s="256" t="n">
        <v>2</v>
      </c>
      <c r="E13" s="257" t="s">
        <v>628</v>
      </c>
      <c r="F13" s="258" t="s">
        <v>629</v>
      </c>
      <c r="G13" s="259" t="s">
        <v>630</v>
      </c>
      <c r="H13" s="260" t="s">
        <v>571</v>
      </c>
      <c r="I13" s="260" t="s">
        <v>572</v>
      </c>
      <c r="J13" s="260" t="s">
        <v>573</v>
      </c>
      <c r="K13" s="260" t="s">
        <v>584</v>
      </c>
      <c r="L13" s="244" t="n">
        <f aca="false">VLOOKUP($H13,$Y$5:$Z$10,2,FALSE())</f>
        <v>0.3</v>
      </c>
      <c r="M13" s="244" t="n">
        <f aca="false">VLOOKUP($I13,$AB$5:$AD$9,IF($K13="No aplicable",3,2),FALSE())</f>
        <v>0.2</v>
      </c>
      <c r="N13" s="244" t="n">
        <f aca="false">VLOOKUP($J13,$AF$5:$AH$9,IF($K13="No aplicable",3,2),FALSE())</f>
        <v>0.15</v>
      </c>
      <c r="O13" s="244" t="str">
        <f aca="false">IF($K13="No aplicable","--",VLOOKUP($K13,$AJ$5:$AK$8,2,FALSE()))</f>
        <v>--</v>
      </c>
      <c r="P13" s="261" t="n">
        <f aca="false">SUM(L13:O13)</f>
        <v>0.65</v>
      </c>
      <c r="Q13" s="253"/>
      <c r="R13" s="262"/>
    </row>
    <row r="14" customFormat="false" ht="30" hidden="false" customHeight="true" outlineLevel="0" collapsed="false">
      <c r="A14" s="236" t="s">
        <v>419</v>
      </c>
      <c r="B14" s="237" t="s">
        <v>420</v>
      </c>
      <c r="C14" s="237" t="n">
        <v>5</v>
      </c>
      <c r="D14" s="238" t="n">
        <v>3</v>
      </c>
      <c r="E14" s="239" t="s">
        <v>581</v>
      </c>
      <c r="F14" s="240" t="s">
        <v>582</v>
      </c>
      <c r="G14" s="241" t="s">
        <v>631</v>
      </c>
      <c r="H14" s="242" t="s">
        <v>571</v>
      </c>
      <c r="I14" s="242" t="s">
        <v>572</v>
      </c>
      <c r="J14" s="242" t="s">
        <v>573</v>
      </c>
      <c r="K14" s="242" t="s">
        <v>584</v>
      </c>
      <c r="L14" s="243" t="n">
        <f aca="false">VLOOKUP($H14,$Y$5:$Z$10,2,FALSE())</f>
        <v>0.3</v>
      </c>
      <c r="M14" s="243" t="n">
        <f aca="false">VLOOKUP($I14,$AB$5:$AD$9,IF($K14="No aplicable",3,2),FALSE())</f>
        <v>0.2</v>
      </c>
      <c r="N14" s="243" t="n">
        <f aca="false">VLOOKUP($J14,$AF$5:$AH$9,IF($K14="No aplicable",3,2),FALSE())</f>
        <v>0.15</v>
      </c>
      <c r="O14" s="243" t="str">
        <f aca="false">IF($K14="No aplicable","--",VLOOKUP($K14,$AJ$5:$AK$8,2,FALSE()))</f>
        <v>--</v>
      </c>
      <c r="P14" s="245" t="n">
        <f aca="false">SUM(L14:O14)</f>
        <v>0.65</v>
      </c>
      <c r="Q14" s="253"/>
      <c r="R14" s="274" t="s">
        <v>632</v>
      </c>
    </row>
    <row r="15" customFormat="false" ht="30" hidden="false" customHeight="true" outlineLevel="0" collapsed="false">
      <c r="A15" s="222" t="s">
        <v>419</v>
      </c>
      <c r="B15" s="223" t="s">
        <v>420</v>
      </c>
      <c r="C15" s="223" t="n">
        <v>6</v>
      </c>
      <c r="D15" s="224" t="n">
        <v>1</v>
      </c>
      <c r="E15" s="225" t="s">
        <v>633</v>
      </c>
      <c r="F15" s="226" t="s">
        <v>634</v>
      </c>
      <c r="G15" s="227" t="s">
        <v>635</v>
      </c>
      <c r="H15" s="228" t="s">
        <v>571</v>
      </c>
      <c r="I15" s="228" t="s">
        <v>572</v>
      </c>
      <c r="J15" s="228" t="s">
        <v>573</v>
      </c>
      <c r="K15" s="228" t="s">
        <v>584</v>
      </c>
      <c r="L15" s="229" t="n">
        <f aca="false">VLOOKUP($H15,$Y$5:$Z$10,2,FALSE())</f>
        <v>0.3</v>
      </c>
      <c r="M15" s="229" t="n">
        <f aca="false">VLOOKUP($I15,$AB$5:$AD$9,IF($K15="No aplicable",3,2),FALSE())</f>
        <v>0.2</v>
      </c>
      <c r="N15" s="229" t="n">
        <f aca="false">VLOOKUP($J15,$AF$5:$AH$9,IF($K15="No aplicable",3,2),FALSE())</f>
        <v>0.15</v>
      </c>
      <c r="O15" s="229" t="str">
        <f aca="false">IF($K15="No aplicable","--",VLOOKUP($K15,$AJ$5:$AK$8,2,FALSE()))</f>
        <v>--</v>
      </c>
      <c r="P15" s="230" t="n">
        <f aca="false">SUM(L15:O15)</f>
        <v>0.65</v>
      </c>
      <c r="Q15" s="253" t="n">
        <f aca="false">AVERAGE(P15:P16)</f>
        <v>0.65</v>
      </c>
      <c r="R15" s="273"/>
    </row>
    <row r="16" customFormat="false" ht="30" hidden="false" customHeight="true" outlineLevel="0" collapsed="false">
      <c r="A16" s="236" t="s">
        <v>419</v>
      </c>
      <c r="B16" s="237" t="s">
        <v>420</v>
      </c>
      <c r="C16" s="237" t="n">
        <v>6</v>
      </c>
      <c r="D16" s="238" t="n">
        <v>2</v>
      </c>
      <c r="E16" s="239" t="s">
        <v>636</v>
      </c>
      <c r="F16" s="240" t="s">
        <v>637</v>
      </c>
      <c r="G16" s="241" t="s">
        <v>638</v>
      </c>
      <c r="H16" s="242" t="s">
        <v>571</v>
      </c>
      <c r="I16" s="242" t="s">
        <v>572</v>
      </c>
      <c r="J16" s="242" t="s">
        <v>573</v>
      </c>
      <c r="K16" s="242" t="s">
        <v>584</v>
      </c>
      <c r="L16" s="243" t="n">
        <f aca="false">VLOOKUP($H16,$Y$5:$Z$10,2,FALSE())</f>
        <v>0.3</v>
      </c>
      <c r="M16" s="243" t="n">
        <f aca="false">VLOOKUP($I16,$AB$5:$AD$9,IF($K16="No aplicable",3,2),FALSE())</f>
        <v>0.2</v>
      </c>
      <c r="N16" s="243" t="n">
        <f aca="false">VLOOKUP($J16,$AF$5:$AH$9,IF($K16="No aplicable",3,2),FALSE())</f>
        <v>0.15</v>
      </c>
      <c r="O16" s="243" t="str">
        <f aca="false">IF($K16="No aplicable","--",VLOOKUP($K16,$AJ$5:$AK$8,2,FALSE()))</f>
        <v>--</v>
      </c>
      <c r="P16" s="245" t="n">
        <f aca="false">SUM(L16:O16)</f>
        <v>0.65</v>
      </c>
      <c r="Q16" s="253"/>
      <c r="R16" s="246"/>
    </row>
    <row r="17" customFormat="false" ht="30" hidden="false" customHeight="true" outlineLevel="0" collapsed="false">
      <c r="A17" s="275" t="s">
        <v>419</v>
      </c>
      <c r="B17" s="276" t="s">
        <v>421</v>
      </c>
      <c r="C17" s="276" t="n">
        <v>1</v>
      </c>
      <c r="D17" s="276" t="n">
        <v>1</v>
      </c>
      <c r="E17" s="277" t="s">
        <v>639</v>
      </c>
      <c r="F17" s="226" t="s">
        <v>640</v>
      </c>
      <c r="G17" s="278" t="s">
        <v>641</v>
      </c>
      <c r="H17" s="228" t="s">
        <v>571</v>
      </c>
      <c r="I17" s="228" t="s">
        <v>572</v>
      </c>
      <c r="J17" s="228" t="s">
        <v>573</v>
      </c>
      <c r="K17" s="228" t="s">
        <v>584</v>
      </c>
      <c r="L17" s="229" t="n">
        <f aca="false">VLOOKUP($H17,$Y$5:$Z$10,2,FALSE())</f>
        <v>0.3</v>
      </c>
      <c r="M17" s="229" t="n">
        <f aca="false">VLOOKUP($I17,$AB$5:$AD$9,IF($K17="No aplicable",3,2),FALSE())</f>
        <v>0.2</v>
      </c>
      <c r="N17" s="229" t="n">
        <f aca="false">VLOOKUP($J17,$AF$5:$AH$9,IF($K17="No aplicable",3,2),FALSE())</f>
        <v>0.15</v>
      </c>
      <c r="O17" s="229" t="str">
        <f aca="false">IF($K17="No aplicable","--",VLOOKUP($K17,$AJ$5:$AK$8,2,FALSE()))</f>
        <v>--</v>
      </c>
      <c r="P17" s="230" t="n">
        <f aca="false">SUM(L17:O17)</f>
        <v>0.65</v>
      </c>
      <c r="Q17" s="231" t="n">
        <f aca="false">AVERAGE(P17:P21)</f>
        <v>0.65</v>
      </c>
      <c r="R17" s="279"/>
    </row>
    <row r="18" customFormat="false" ht="30" hidden="false" customHeight="true" outlineLevel="0" collapsed="false">
      <c r="A18" s="254" t="s">
        <v>419</v>
      </c>
      <c r="B18" s="255" t="s">
        <v>421</v>
      </c>
      <c r="C18" s="255" t="n">
        <v>1</v>
      </c>
      <c r="D18" s="255" t="n">
        <v>2</v>
      </c>
      <c r="E18" s="280" t="s">
        <v>642</v>
      </c>
      <c r="F18" s="258" t="s">
        <v>643</v>
      </c>
      <c r="G18" s="37" t="s">
        <v>644</v>
      </c>
      <c r="H18" s="260" t="s">
        <v>571</v>
      </c>
      <c r="I18" s="260" t="s">
        <v>572</v>
      </c>
      <c r="J18" s="260" t="s">
        <v>573</v>
      </c>
      <c r="K18" s="260" t="s">
        <v>584</v>
      </c>
      <c r="L18" s="244" t="n">
        <f aca="false">VLOOKUP($H18,$Y$5:$Z$10,2,FALSE())</f>
        <v>0.3</v>
      </c>
      <c r="M18" s="244" t="n">
        <f aca="false">VLOOKUP($I18,$AB$5:$AD$9,IF($K18="No aplicable",3,2),FALSE())</f>
        <v>0.2</v>
      </c>
      <c r="N18" s="244" t="n">
        <f aca="false">VLOOKUP($J18,$AF$5:$AH$9,IF($K18="No aplicable",3,2),FALSE())</f>
        <v>0.15</v>
      </c>
      <c r="O18" s="244" t="str">
        <f aca="false">IF($K18="No aplicable","--",VLOOKUP($K18,$AJ$5:$AK$8,2,FALSE()))</f>
        <v>--</v>
      </c>
      <c r="P18" s="261" t="n">
        <f aca="false">SUM(L18:O18)</f>
        <v>0.65</v>
      </c>
      <c r="Q18" s="231"/>
      <c r="R18" s="190"/>
    </row>
    <row r="19" customFormat="false" ht="30" hidden="false" customHeight="true" outlineLevel="0" collapsed="false">
      <c r="A19" s="254" t="s">
        <v>419</v>
      </c>
      <c r="B19" s="255" t="s">
        <v>421</v>
      </c>
      <c r="C19" s="255" t="n">
        <v>1</v>
      </c>
      <c r="D19" s="255" t="n">
        <v>3</v>
      </c>
      <c r="E19" s="280" t="s">
        <v>645</v>
      </c>
      <c r="F19" s="258" t="s">
        <v>646</v>
      </c>
      <c r="G19" s="37" t="s">
        <v>647</v>
      </c>
      <c r="H19" s="260" t="s">
        <v>571</v>
      </c>
      <c r="I19" s="260" t="s">
        <v>572</v>
      </c>
      <c r="J19" s="260" t="s">
        <v>573</v>
      </c>
      <c r="K19" s="260" t="s">
        <v>584</v>
      </c>
      <c r="L19" s="244" t="n">
        <f aca="false">VLOOKUP($H19,$Y$5:$Z$10,2,FALSE())</f>
        <v>0.3</v>
      </c>
      <c r="M19" s="244" t="n">
        <f aca="false">VLOOKUP($I19,$AB$5:$AD$9,IF($K19="No aplicable",3,2),FALSE())</f>
        <v>0.2</v>
      </c>
      <c r="N19" s="244" t="n">
        <f aca="false">VLOOKUP($J19,$AF$5:$AH$9,IF($K19="No aplicable",3,2),FALSE())</f>
        <v>0.15</v>
      </c>
      <c r="O19" s="244" t="str">
        <f aca="false">IF($K19="No aplicable","--",VLOOKUP($K19,$AJ$5:$AK$8,2,FALSE()))</f>
        <v>--</v>
      </c>
      <c r="P19" s="261" t="n">
        <f aca="false">SUM(L19:O19)</f>
        <v>0.65</v>
      </c>
      <c r="Q19" s="231"/>
      <c r="R19" s="190"/>
    </row>
    <row r="20" customFormat="false" ht="30" hidden="false" customHeight="true" outlineLevel="0" collapsed="false">
      <c r="A20" s="254" t="s">
        <v>419</v>
      </c>
      <c r="B20" s="255" t="s">
        <v>421</v>
      </c>
      <c r="C20" s="255" t="n">
        <v>1</v>
      </c>
      <c r="D20" s="255" t="n">
        <v>4</v>
      </c>
      <c r="E20" s="280" t="s">
        <v>648</v>
      </c>
      <c r="F20" s="258" t="s">
        <v>649</v>
      </c>
      <c r="G20" s="37" t="s">
        <v>650</v>
      </c>
      <c r="H20" s="260" t="s">
        <v>571</v>
      </c>
      <c r="I20" s="260" t="s">
        <v>572</v>
      </c>
      <c r="J20" s="260" t="s">
        <v>573</v>
      </c>
      <c r="K20" s="260" t="s">
        <v>584</v>
      </c>
      <c r="L20" s="244" t="n">
        <f aca="false">VLOOKUP($H20,$Y$5:$Z$10,2,FALSE())</f>
        <v>0.3</v>
      </c>
      <c r="M20" s="244" t="n">
        <f aca="false">VLOOKUP($I20,$AB$5:$AD$9,IF($K20="No aplicable",3,2),FALSE())</f>
        <v>0.2</v>
      </c>
      <c r="N20" s="244" t="n">
        <f aca="false">VLOOKUP($J20,$AF$5:$AH$9,IF($K20="No aplicable",3,2),FALSE())</f>
        <v>0.15</v>
      </c>
      <c r="O20" s="244" t="str">
        <f aca="false">IF($K20="No aplicable","--",VLOOKUP($K20,$AJ$5:$AK$8,2,FALSE()))</f>
        <v>--</v>
      </c>
      <c r="P20" s="261" t="n">
        <f aca="false">SUM(L20:O20)</f>
        <v>0.65</v>
      </c>
      <c r="Q20" s="231"/>
      <c r="R20" s="190"/>
    </row>
    <row r="21" customFormat="false" ht="30" hidden="false" customHeight="true" outlineLevel="0" collapsed="false">
      <c r="A21" s="236" t="s">
        <v>419</v>
      </c>
      <c r="B21" s="237" t="s">
        <v>421</v>
      </c>
      <c r="C21" s="237" t="n">
        <v>1</v>
      </c>
      <c r="D21" s="237" t="n">
        <v>5</v>
      </c>
      <c r="E21" s="281" t="s">
        <v>651</v>
      </c>
      <c r="F21" s="240" t="s">
        <v>652</v>
      </c>
      <c r="G21" s="282" t="s">
        <v>653</v>
      </c>
      <c r="H21" s="242" t="s">
        <v>571</v>
      </c>
      <c r="I21" s="242" t="s">
        <v>572</v>
      </c>
      <c r="J21" s="242" t="s">
        <v>573</v>
      </c>
      <c r="K21" s="242" t="s">
        <v>584</v>
      </c>
      <c r="L21" s="243" t="n">
        <f aca="false">VLOOKUP($H21,$Y$5:$Z$10,2,FALSE())</f>
        <v>0.3</v>
      </c>
      <c r="M21" s="243" t="n">
        <f aca="false">VLOOKUP($I21,$AB$5:$AD$9,IF($K21="No aplicable",3,2),FALSE())</f>
        <v>0.2</v>
      </c>
      <c r="N21" s="243" t="n">
        <f aca="false">VLOOKUP($J21,$AF$5:$AH$9,IF($K21="No aplicable",3,2),FALSE())</f>
        <v>0.15</v>
      </c>
      <c r="O21" s="243" t="str">
        <f aca="false">IF($K21="No aplicable","--",VLOOKUP($K21,$AJ$5:$AK$8,2,FALSE()))</f>
        <v>--</v>
      </c>
      <c r="P21" s="245" t="n">
        <f aca="false">SUM(L21:O21)</f>
        <v>0.65</v>
      </c>
      <c r="Q21" s="231"/>
      <c r="R21" s="190"/>
    </row>
    <row r="22" customFormat="false" ht="30" hidden="false" customHeight="true" outlineLevel="0" collapsed="false">
      <c r="A22" s="222" t="s">
        <v>419</v>
      </c>
      <c r="B22" s="223" t="s">
        <v>421</v>
      </c>
      <c r="C22" s="223" t="n">
        <v>2</v>
      </c>
      <c r="D22" s="223" t="n">
        <v>1</v>
      </c>
      <c r="E22" s="277" t="s">
        <v>654</v>
      </c>
      <c r="F22" s="226" t="s">
        <v>655</v>
      </c>
      <c r="G22" s="283" t="s">
        <v>656</v>
      </c>
      <c r="H22" s="228" t="s">
        <v>571</v>
      </c>
      <c r="I22" s="228" t="s">
        <v>572</v>
      </c>
      <c r="J22" s="228" t="s">
        <v>573</v>
      </c>
      <c r="K22" s="228" t="s">
        <v>584</v>
      </c>
      <c r="L22" s="229" t="n">
        <f aca="false">VLOOKUP($H22,$Y$5:$Z$10,2,FALSE())</f>
        <v>0.3</v>
      </c>
      <c r="M22" s="229" t="n">
        <f aca="false">VLOOKUP($I22,$AB$5:$AD$9,IF($K22="No aplicable",3,2),FALSE())</f>
        <v>0.2</v>
      </c>
      <c r="N22" s="229" t="n">
        <f aca="false">VLOOKUP($J22,$AF$5:$AH$9,IF($K22="No aplicable",3,2),FALSE())</f>
        <v>0.15</v>
      </c>
      <c r="O22" s="229" t="str">
        <f aca="false">IF($K22="No aplicable","--",VLOOKUP($K22,$AJ$5:$AK$8,2,FALSE()))</f>
        <v>--</v>
      </c>
      <c r="P22" s="230" t="n">
        <f aca="false">SUM(L22:O22)</f>
        <v>0.65</v>
      </c>
      <c r="Q22" s="253" t="n">
        <f aca="false">AVERAGE(P22:P23)</f>
        <v>0.65</v>
      </c>
      <c r="R22" s="190"/>
    </row>
    <row r="23" customFormat="false" ht="30" hidden="false" customHeight="true" outlineLevel="0" collapsed="false">
      <c r="A23" s="236" t="s">
        <v>419</v>
      </c>
      <c r="B23" s="237" t="s">
        <v>421</v>
      </c>
      <c r="C23" s="237" t="n">
        <v>2</v>
      </c>
      <c r="D23" s="237" t="n">
        <v>2</v>
      </c>
      <c r="E23" s="281" t="s">
        <v>657</v>
      </c>
      <c r="F23" s="240" t="s">
        <v>658</v>
      </c>
      <c r="G23" s="282" t="s">
        <v>659</v>
      </c>
      <c r="H23" s="242" t="s">
        <v>571</v>
      </c>
      <c r="I23" s="242" t="s">
        <v>572</v>
      </c>
      <c r="J23" s="242" t="s">
        <v>573</v>
      </c>
      <c r="K23" s="242" t="s">
        <v>584</v>
      </c>
      <c r="L23" s="243" t="n">
        <f aca="false">VLOOKUP($H23,$Y$5:$Z$10,2,FALSE())</f>
        <v>0.3</v>
      </c>
      <c r="M23" s="243" t="n">
        <f aca="false">VLOOKUP($I23,$AB$5:$AD$9,IF($K23="No aplicable",3,2),FALSE())</f>
        <v>0.2</v>
      </c>
      <c r="N23" s="243" t="n">
        <f aca="false">VLOOKUP($J23,$AF$5:$AH$9,IF($K23="No aplicable",3,2),FALSE())</f>
        <v>0.15</v>
      </c>
      <c r="O23" s="243" t="str">
        <f aca="false">IF($K23="No aplicable","--",VLOOKUP($K23,$AJ$5:$AK$8,2,FALSE()))</f>
        <v>--</v>
      </c>
      <c r="P23" s="245" t="n">
        <f aca="false">SUM(L23:O23)</f>
        <v>0.65</v>
      </c>
      <c r="Q23" s="253"/>
      <c r="R23" s="190"/>
    </row>
    <row r="24" customFormat="false" ht="30" hidden="false" customHeight="true" outlineLevel="0" collapsed="false">
      <c r="A24" s="222" t="s">
        <v>419</v>
      </c>
      <c r="B24" s="223" t="s">
        <v>421</v>
      </c>
      <c r="C24" s="223" t="n">
        <v>3</v>
      </c>
      <c r="D24" s="223" t="n">
        <v>1</v>
      </c>
      <c r="E24" s="277" t="s">
        <v>660</v>
      </c>
      <c r="F24" s="226" t="s">
        <v>661</v>
      </c>
      <c r="G24" s="283" t="s">
        <v>662</v>
      </c>
      <c r="H24" s="228" t="s">
        <v>571</v>
      </c>
      <c r="I24" s="228" t="s">
        <v>572</v>
      </c>
      <c r="J24" s="228" t="s">
        <v>573</v>
      </c>
      <c r="K24" s="228" t="s">
        <v>584</v>
      </c>
      <c r="L24" s="229" t="n">
        <f aca="false">VLOOKUP($H24,$Y$5:$Z$10,2,FALSE())</f>
        <v>0.3</v>
      </c>
      <c r="M24" s="229" t="n">
        <f aca="false">VLOOKUP($I24,$AB$5:$AD$9,IF($K24="No aplicable",3,2),FALSE())</f>
        <v>0.2</v>
      </c>
      <c r="N24" s="229" t="n">
        <f aca="false">VLOOKUP($J24,$AF$5:$AH$9,IF($K24="No aplicable",3,2),FALSE())</f>
        <v>0.15</v>
      </c>
      <c r="O24" s="229" t="str">
        <f aca="false">IF($K24="No aplicable","--",VLOOKUP($K24,$AJ$5:$AK$8,2,FALSE()))</f>
        <v>--</v>
      </c>
      <c r="P24" s="230" t="n">
        <f aca="false">SUM(L24:O24)</f>
        <v>0.65</v>
      </c>
      <c r="Q24" s="253" t="n">
        <f aca="false">AVERAGE(P24:P26)</f>
        <v>0.65</v>
      </c>
      <c r="R24" s="190"/>
    </row>
    <row r="25" customFormat="false" ht="30" hidden="false" customHeight="true" outlineLevel="0" collapsed="false">
      <c r="A25" s="254" t="s">
        <v>419</v>
      </c>
      <c r="B25" s="255" t="s">
        <v>421</v>
      </c>
      <c r="C25" s="255" t="n">
        <v>3</v>
      </c>
      <c r="D25" s="255" t="n">
        <v>2</v>
      </c>
      <c r="E25" s="280" t="s">
        <v>654</v>
      </c>
      <c r="F25" s="258" t="s">
        <v>655</v>
      </c>
      <c r="G25" s="37" t="s">
        <v>663</v>
      </c>
      <c r="H25" s="260" t="s">
        <v>571</v>
      </c>
      <c r="I25" s="260" t="s">
        <v>572</v>
      </c>
      <c r="J25" s="260" t="s">
        <v>573</v>
      </c>
      <c r="K25" s="260" t="s">
        <v>584</v>
      </c>
      <c r="L25" s="244" t="n">
        <f aca="false">VLOOKUP($H25,$Y$5:$Z$10,2,FALSE())</f>
        <v>0.3</v>
      </c>
      <c r="M25" s="244" t="n">
        <f aca="false">VLOOKUP($I25,$AB$5:$AD$9,IF($K25="No aplicable",3,2),FALSE())</f>
        <v>0.2</v>
      </c>
      <c r="N25" s="244" t="n">
        <f aca="false">VLOOKUP($J25,$AF$5:$AH$9,IF($K25="No aplicable",3,2),FALSE())</f>
        <v>0.15</v>
      </c>
      <c r="O25" s="244" t="str">
        <f aca="false">IF($K25="No aplicable","--",VLOOKUP($K25,$AJ$5:$AK$8,2,FALSE()))</f>
        <v>--</v>
      </c>
      <c r="P25" s="261" t="n">
        <f aca="false">SUM(L25:O25)</f>
        <v>0.65</v>
      </c>
      <c r="Q25" s="253"/>
      <c r="R25" s="190"/>
    </row>
    <row r="26" customFormat="false" ht="30" hidden="false" customHeight="true" outlineLevel="0" collapsed="false">
      <c r="A26" s="236" t="s">
        <v>419</v>
      </c>
      <c r="B26" s="237" t="s">
        <v>421</v>
      </c>
      <c r="C26" s="237" t="n">
        <v>3</v>
      </c>
      <c r="D26" s="237" t="n">
        <v>3</v>
      </c>
      <c r="E26" s="281" t="s">
        <v>657</v>
      </c>
      <c r="F26" s="240" t="s">
        <v>658</v>
      </c>
      <c r="G26" s="282" t="s">
        <v>664</v>
      </c>
      <c r="H26" s="242" t="s">
        <v>571</v>
      </c>
      <c r="I26" s="242" t="s">
        <v>572</v>
      </c>
      <c r="J26" s="242" t="s">
        <v>573</v>
      </c>
      <c r="K26" s="242" t="s">
        <v>584</v>
      </c>
      <c r="L26" s="243" t="n">
        <f aca="false">VLOOKUP($H26,$Y$5:$Z$10,2,FALSE())</f>
        <v>0.3</v>
      </c>
      <c r="M26" s="243" t="n">
        <f aca="false">VLOOKUP($I26,$AB$5:$AD$9,IF($K26="No aplicable",3,2),FALSE())</f>
        <v>0.2</v>
      </c>
      <c r="N26" s="243" t="n">
        <f aca="false">VLOOKUP($J26,$AF$5:$AH$9,IF($K26="No aplicable",3,2),FALSE())</f>
        <v>0.15</v>
      </c>
      <c r="O26" s="243" t="str">
        <f aca="false">IF($K26="No aplicable","--",VLOOKUP($K26,$AJ$5:$AK$8,2,FALSE()))</f>
        <v>--</v>
      </c>
      <c r="P26" s="245" t="n">
        <f aca="false">SUM(L26:O26)</f>
        <v>0.65</v>
      </c>
      <c r="Q26" s="253"/>
      <c r="R26" s="190"/>
    </row>
    <row r="27" customFormat="false" ht="30" hidden="false" customHeight="true" outlineLevel="0" collapsed="false">
      <c r="A27" s="263" t="s">
        <v>419</v>
      </c>
      <c r="B27" s="264" t="s">
        <v>421</v>
      </c>
      <c r="C27" s="264" t="n">
        <v>4</v>
      </c>
      <c r="D27" s="264" t="n">
        <v>1</v>
      </c>
      <c r="E27" s="284"/>
      <c r="F27" s="285"/>
      <c r="G27" s="286" t="s">
        <v>665</v>
      </c>
      <c r="H27" s="242" t="s">
        <v>571</v>
      </c>
      <c r="I27" s="242" t="s">
        <v>572</v>
      </c>
      <c r="J27" s="242" t="s">
        <v>573</v>
      </c>
      <c r="K27" s="242" t="s">
        <v>584</v>
      </c>
      <c r="L27" s="243" t="n">
        <f aca="false">VLOOKUP($H27,$Y$5:$Z$10,2,FALSE())</f>
        <v>0.3</v>
      </c>
      <c r="M27" s="243" t="n">
        <f aca="false">VLOOKUP($I27,$AB$5:$AD$9,IF($K27="No aplicable",3,2),FALSE())</f>
        <v>0.2</v>
      </c>
      <c r="N27" s="243" t="n">
        <f aca="false">VLOOKUP($J27,$AF$5:$AH$9,IF($K27="No aplicable",3,2),FALSE())</f>
        <v>0.15</v>
      </c>
      <c r="O27" s="243" t="str">
        <f aca="false">IF($K27="No aplicable","--",VLOOKUP($K27,$AJ$5:$AK$8,2,FALSE()))</f>
        <v>--</v>
      </c>
      <c r="P27" s="245" t="n">
        <f aca="false">SUM(L27:O27)</f>
        <v>0.65</v>
      </c>
      <c r="Q27" s="253" t="n">
        <f aca="false">P27</f>
        <v>0.65</v>
      </c>
      <c r="R27" s="190"/>
    </row>
    <row r="28" customFormat="false" ht="30" hidden="false" customHeight="true" outlineLevel="0" collapsed="false">
      <c r="A28" s="263" t="s">
        <v>419</v>
      </c>
      <c r="B28" s="264" t="s">
        <v>421</v>
      </c>
      <c r="C28" s="264" t="n">
        <v>5</v>
      </c>
      <c r="D28" s="264" t="n">
        <v>1</v>
      </c>
      <c r="E28" s="284" t="s">
        <v>666</v>
      </c>
      <c r="F28" s="267" t="s">
        <v>667</v>
      </c>
      <c r="G28" s="286" t="s">
        <v>668</v>
      </c>
      <c r="H28" s="242" t="s">
        <v>571</v>
      </c>
      <c r="I28" s="242" t="s">
        <v>572</v>
      </c>
      <c r="J28" s="242" t="s">
        <v>573</v>
      </c>
      <c r="K28" s="242" t="s">
        <v>584</v>
      </c>
      <c r="L28" s="243" t="n">
        <f aca="false">VLOOKUP($H28,$Y$5:$Z$10,2,FALSE())</f>
        <v>0.3</v>
      </c>
      <c r="M28" s="243" t="n">
        <f aca="false">VLOOKUP($I28,$AB$5:$AD$9,IF($K28="No aplicable",3,2),FALSE())</f>
        <v>0.2</v>
      </c>
      <c r="N28" s="243" t="n">
        <f aca="false">VLOOKUP($J28,$AF$5:$AH$9,IF($K28="No aplicable",3,2),FALSE())</f>
        <v>0.15</v>
      </c>
      <c r="O28" s="243" t="str">
        <f aca="false">IF($K28="No aplicable","--",VLOOKUP($K28,$AJ$5:$AK$8,2,FALSE()))</f>
        <v>--</v>
      </c>
      <c r="P28" s="245" t="n">
        <f aca="false">SUM(L28:O28)</f>
        <v>0.65</v>
      </c>
      <c r="Q28" s="253" t="n">
        <f aca="false">P28</f>
        <v>0.65</v>
      </c>
      <c r="R28" s="190"/>
    </row>
    <row r="29" customFormat="false" ht="30" hidden="false" customHeight="true" outlineLevel="0" collapsed="false">
      <c r="A29" s="222" t="s">
        <v>419</v>
      </c>
      <c r="B29" s="223" t="s">
        <v>422</v>
      </c>
      <c r="C29" s="223" t="n">
        <v>1</v>
      </c>
      <c r="D29" s="223" t="n">
        <v>1</v>
      </c>
      <c r="E29" s="277" t="s">
        <v>669</v>
      </c>
      <c r="F29" s="226" t="s">
        <v>670</v>
      </c>
      <c r="G29" s="283" t="s">
        <v>671</v>
      </c>
      <c r="H29" s="260" t="s">
        <v>571</v>
      </c>
      <c r="I29" s="260" t="s">
        <v>572</v>
      </c>
      <c r="J29" s="260" t="s">
        <v>573</v>
      </c>
      <c r="K29" s="228" t="s">
        <v>584</v>
      </c>
      <c r="L29" s="229" t="n">
        <f aca="false">VLOOKUP($H29,$Y$5:$Z$10,2,FALSE())</f>
        <v>0.3</v>
      </c>
      <c r="M29" s="229" t="n">
        <f aca="false">VLOOKUP($I29,$AB$5:$AD$9,IF($K29="No aplicable",3,2),FALSE())</f>
        <v>0.2</v>
      </c>
      <c r="N29" s="229" t="n">
        <f aca="false">VLOOKUP($J29,$AF$5:$AH$9,IF($K29="No aplicable",3,2),FALSE())</f>
        <v>0.15</v>
      </c>
      <c r="O29" s="229" t="str">
        <f aca="false">IF($K29="No aplicable","--",VLOOKUP($K29,$AJ$5:$AK$8,2,FALSE()))</f>
        <v>--</v>
      </c>
      <c r="P29" s="230" t="n">
        <f aca="false">SUM(L29:O29)</f>
        <v>0.65</v>
      </c>
      <c r="Q29" s="253" t="n">
        <f aca="false">AVERAGE(P29:P31)</f>
        <v>0.65</v>
      </c>
      <c r="R29" s="190"/>
    </row>
    <row r="30" customFormat="false" ht="30" hidden="false" customHeight="true" outlineLevel="0" collapsed="false">
      <c r="A30" s="254" t="s">
        <v>419</v>
      </c>
      <c r="B30" s="255" t="s">
        <v>422</v>
      </c>
      <c r="C30" s="255" t="n">
        <v>1</v>
      </c>
      <c r="D30" s="255" t="n">
        <v>2</v>
      </c>
      <c r="E30" s="280" t="s">
        <v>672</v>
      </c>
      <c r="F30" s="287" t="s">
        <v>673</v>
      </c>
      <c r="G30" s="37" t="s">
        <v>674</v>
      </c>
      <c r="H30" s="260" t="s">
        <v>571</v>
      </c>
      <c r="I30" s="260" t="s">
        <v>572</v>
      </c>
      <c r="J30" s="260" t="s">
        <v>573</v>
      </c>
      <c r="K30" s="260" t="s">
        <v>584</v>
      </c>
      <c r="L30" s="244" t="n">
        <f aca="false">VLOOKUP($H30,$Y$5:$Z$10,2,FALSE())</f>
        <v>0.3</v>
      </c>
      <c r="M30" s="244" t="n">
        <f aca="false">VLOOKUP($I30,$AB$5:$AD$9,IF($K30="No aplicable",3,2),FALSE())</f>
        <v>0.2</v>
      </c>
      <c r="N30" s="244" t="n">
        <f aca="false">VLOOKUP($J30,$AF$5:$AH$9,IF($K30="No aplicable",3,2),FALSE())</f>
        <v>0.15</v>
      </c>
      <c r="O30" s="244" t="str">
        <f aca="false">IF($K30="No aplicable","--",VLOOKUP($K30,$AJ$5:$AK$8,2,FALSE()))</f>
        <v>--</v>
      </c>
      <c r="P30" s="261" t="n">
        <f aca="false">SUM(L30:O30)</f>
        <v>0.65</v>
      </c>
      <c r="Q30" s="253"/>
      <c r="R30" s="190"/>
    </row>
    <row r="31" customFormat="false" ht="30" hidden="false" customHeight="true" outlineLevel="0" collapsed="false">
      <c r="A31" s="236" t="s">
        <v>419</v>
      </c>
      <c r="B31" s="237" t="s">
        <v>422</v>
      </c>
      <c r="C31" s="237" t="n">
        <v>1</v>
      </c>
      <c r="D31" s="237" t="n">
        <v>3</v>
      </c>
      <c r="E31" s="281" t="s">
        <v>675</v>
      </c>
      <c r="F31" s="240" t="s">
        <v>676</v>
      </c>
      <c r="G31" s="288" t="s">
        <v>677</v>
      </c>
      <c r="H31" s="242" t="s">
        <v>571</v>
      </c>
      <c r="I31" s="242" t="s">
        <v>572</v>
      </c>
      <c r="J31" s="242" t="s">
        <v>573</v>
      </c>
      <c r="K31" s="242" t="s">
        <v>584</v>
      </c>
      <c r="L31" s="243" t="n">
        <f aca="false">VLOOKUP($H31,$Y$5:$Z$10,2,FALSE())</f>
        <v>0.3</v>
      </c>
      <c r="M31" s="243" t="n">
        <f aca="false">VLOOKUP($I31,$AB$5:$AD$9,IF($K31="No aplicable",3,2),FALSE())</f>
        <v>0.2</v>
      </c>
      <c r="N31" s="243" t="n">
        <f aca="false">VLOOKUP($J31,$AF$5:$AH$9,IF($K31="No aplicable",3,2),FALSE())</f>
        <v>0.15</v>
      </c>
      <c r="O31" s="243" t="str">
        <f aca="false">IF($K31="No aplicable","--",VLOOKUP($K31,$AJ$5:$AK$8,2,FALSE()))</f>
        <v>--</v>
      </c>
      <c r="P31" s="245" t="n">
        <f aca="false">SUM(L31:O31)</f>
        <v>0.65</v>
      </c>
      <c r="Q31" s="253"/>
      <c r="R31" s="190"/>
    </row>
    <row r="32" customFormat="false" ht="30" hidden="false" customHeight="true" outlineLevel="0" collapsed="false">
      <c r="A32" s="263" t="s">
        <v>419</v>
      </c>
      <c r="B32" s="264" t="s">
        <v>422</v>
      </c>
      <c r="C32" s="264" t="n">
        <v>2</v>
      </c>
      <c r="D32" s="264" t="n">
        <v>1</v>
      </c>
      <c r="E32" s="284" t="s">
        <v>678</v>
      </c>
      <c r="F32" s="289" t="s">
        <v>679</v>
      </c>
      <c r="G32" s="286" t="s">
        <v>680</v>
      </c>
      <c r="H32" s="242" t="s">
        <v>571</v>
      </c>
      <c r="I32" s="242" t="s">
        <v>572</v>
      </c>
      <c r="J32" s="242" t="s">
        <v>573</v>
      </c>
      <c r="K32" s="242" t="s">
        <v>584</v>
      </c>
      <c r="L32" s="243" t="n">
        <f aca="false">VLOOKUP($H32,$Y$5:$Z$10,2,FALSE())</f>
        <v>0.3</v>
      </c>
      <c r="M32" s="243" t="n">
        <f aca="false">VLOOKUP($I32,$AB$5:$AD$9,IF($K32="No aplicable",3,2),FALSE())</f>
        <v>0.2</v>
      </c>
      <c r="N32" s="243" t="n">
        <f aca="false">VLOOKUP($J32,$AF$5:$AH$9,IF($K32="No aplicable",3,2),FALSE())</f>
        <v>0.15</v>
      </c>
      <c r="O32" s="243" t="str">
        <f aca="false">IF($K32="No aplicable","--",VLOOKUP($K32,$AJ$5:$AK$8,2,FALSE()))</f>
        <v>--</v>
      </c>
      <c r="P32" s="245" t="n">
        <f aca="false">SUM(L32:O32)</f>
        <v>0.65</v>
      </c>
      <c r="Q32" s="253" t="n">
        <f aca="false">P32</f>
        <v>0.65</v>
      </c>
      <c r="R32" s="190"/>
    </row>
    <row r="33" customFormat="false" ht="30" hidden="false" customHeight="true" outlineLevel="0" collapsed="false">
      <c r="A33" s="222" t="s">
        <v>419</v>
      </c>
      <c r="B33" s="223" t="s">
        <v>422</v>
      </c>
      <c r="C33" s="223" t="n">
        <v>3</v>
      </c>
      <c r="D33" s="223" t="n">
        <v>1</v>
      </c>
      <c r="E33" s="277" t="s">
        <v>681</v>
      </c>
      <c r="F33" s="226" t="s">
        <v>682</v>
      </c>
      <c r="G33" s="283" t="s">
        <v>683</v>
      </c>
      <c r="H33" s="228" t="s">
        <v>571</v>
      </c>
      <c r="I33" s="228" t="s">
        <v>572</v>
      </c>
      <c r="J33" s="228" t="s">
        <v>573</v>
      </c>
      <c r="K33" s="228" t="s">
        <v>584</v>
      </c>
      <c r="L33" s="229" t="n">
        <f aca="false">VLOOKUP($H33,$Y$5:$Z$10,2,FALSE())</f>
        <v>0.3</v>
      </c>
      <c r="M33" s="229" t="n">
        <f aca="false">VLOOKUP($I33,$AB$5:$AD$9,IF($K33="No aplicable",3,2),FALSE())</f>
        <v>0.2</v>
      </c>
      <c r="N33" s="229" t="n">
        <f aca="false">VLOOKUP($J33,$AF$5:$AH$9,IF($K33="No aplicable",3,2),FALSE())</f>
        <v>0.15</v>
      </c>
      <c r="O33" s="229" t="str">
        <f aca="false">IF($K33="No aplicable","--",VLOOKUP($K33,$AJ$5:$AK$8,2,FALSE()))</f>
        <v>--</v>
      </c>
      <c r="P33" s="230" t="n">
        <f aca="false">SUM(L33:O33)</f>
        <v>0.65</v>
      </c>
      <c r="Q33" s="253" t="n">
        <f aca="false">AVERAGE(P33:P34)</f>
        <v>0.65</v>
      </c>
      <c r="R33" s="190"/>
    </row>
    <row r="34" customFormat="false" ht="30" hidden="false" customHeight="true" outlineLevel="0" collapsed="false">
      <c r="A34" s="236" t="s">
        <v>419</v>
      </c>
      <c r="B34" s="237" t="s">
        <v>422</v>
      </c>
      <c r="C34" s="237" t="n">
        <v>3</v>
      </c>
      <c r="D34" s="237" t="n">
        <v>2</v>
      </c>
      <c r="E34" s="281" t="s">
        <v>684</v>
      </c>
      <c r="F34" s="240" t="s">
        <v>685</v>
      </c>
      <c r="G34" s="282" t="s">
        <v>686</v>
      </c>
      <c r="H34" s="242" t="s">
        <v>571</v>
      </c>
      <c r="I34" s="242" t="s">
        <v>572</v>
      </c>
      <c r="J34" s="242" t="s">
        <v>573</v>
      </c>
      <c r="K34" s="242" t="s">
        <v>584</v>
      </c>
      <c r="L34" s="243" t="n">
        <f aca="false">VLOOKUP($H34,$Y$5:$Z$10,2,FALSE())</f>
        <v>0.3</v>
      </c>
      <c r="M34" s="243" t="n">
        <f aca="false">VLOOKUP($I34,$AB$5:$AD$9,IF($K34="No aplicable",3,2),FALSE())</f>
        <v>0.2</v>
      </c>
      <c r="N34" s="243" t="n">
        <f aca="false">VLOOKUP($J34,$AF$5:$AH$9,IF($K34="No aplicable",3,2),FALSE())</f>
        <v>0.15</v>
      </c>
      <c r="O34" s="243" t="str">
        <f aca="false">IF($K34="No aplicable","--",VLOOKUP($K34,$AJ$5:$AK$8,2,FALSE()))</f>
        <v>--</v>
      </c>
      <c r="P34" s="245" t="n">
        <f aca="false">SUM(L34:O34)</f>
        <v>0.65</v>
      </c>
      <c r="Q34" s="253"/>
      <c r="R34" s="190"/>
    </row>
    <row r="35" customFormat="false" ht="30" hidden="false" customHeight="true" outlineLevel="0" collapsed="false">
      <c r="A35" s="263" t="s">
        <v>419</v>
      </c>
      <c r="B35" s="264" t="s">
        <v>422</v>
      </c>
      <c r="C35" s="264" t="n">
        <v>4</v>
      </c>
      <c r="D35" s="264" t="n">
        <v>1</v>
      </c>
      <c r="E35" s="284" t="s">
        <v>666</v>
      </c>
      <c r="F35" s="267" t="s">
        <v>667</v>
      </c>
      <c r="G35" s="286" t="s">
        <v>687</v>
      </c>
      <c r="H35" s="242" t="s">
        <v>571</v>
      </c>
      <c r="I35" s="242" t="s">
        <v>572</v>
      </c>
      <c r="J35" s="242" t="s">
        <v>573</v>
      </c>
      <c r="K35" s="242" t="s">
        <v>584</v>
      </c>
      <c r="L35" s="243" t="n">
        <f aca="false">VLOOKUP($H35,$Y$5:$Z$10,2,FALSE())</f>
        <v>0.3</v>
      </c>
      <c r="M35" s="243" t="n">
        <f aca="false">VLOOKUP($I35,$AB$5:$AD$9,IF($K35="No aplicable",3,2),FALSE())</f>
        <v>0.2</v>
      </c>
      <c r="N35" s="243" t="n">
        <f aca="false">VLOOKUP($J35,$AF$5:$AH$9,IF($K35="No aplicable",3,2),FALSE())</f>
        <v>0.15</v>
      </c>
      <c r="O35" s="243" t="str">
        <f aca="false">IF($K35="No aplicable","--",VLOOKUP($K35,$AJ$5:$AK$8,2,FALSE()))</f>
        <v>--</v>
      </c>
      <c r="P35" s="245" t="n">
        <f aca="false">SUM(L35:O35)</f>
        <v>0.65</v>
      </c>
      <c r="Q35" s="253" t="n">
        <f aca="false">P35</f>
        <v>0.65</v>
      </c>
      <c r="R35" s="190"/>
    </row>
    <row r="36" customFormat="false" ht="30" hidden="false" customHeight="true" outlineLevel="0" collapsed="false">
      <c r="A36" s="222" t="s">
        <v>419</v>
      </c>
      <c r="B36" s="223" t="s">
        <v>423</v>
      </c>
      <c r="C36" s="223" t="n">
        <v>1</v>
      </c>
      <c r="D36" s="223" t="n">
        <v>1</v>
      </c>
      <c r="E36" s="277" t="s">
        <v>688</v>
      </c>
      <c r="F36" s="290" t="s">
        <v>689</v>
      </c>
      <c r="G36" s="283" t="s">
        <v>690</v>
      </c>
      <c r="H36" s="228" t="s">
        <v>571</v>
      </c>
      <c r="I36" s="228" t="s">
        <v>572</v>
      </c>
      <c r="J36" s="228" t="s">
        <v>573</v>
      </c>
      <c r="K36" s="228" t="s">
        <v>603</v>
      </c>
      <c r="L36" s="229" t="n">
        <f aca="false">VLOOKUP($H36,$Y$5:$Z$10,2,FALSE())</f>
        <v>0.3</v>
      </c>
      <c r="M36" s="229" t="n">
        <f aca="false">VLOOKUP($I36,$AB$5:$AD$9,IF($K36="No aplicable",3,2),FALSE())</f>
        <v>0.15</v>
      </c>
      <c r="N36" s="229" t="n">
        <f aca="false">VLOOKUP($J36,$AF$5:$AH$9,IF($K36="No aplicable",3,2),FALSE())</f>
        <v>0.1</v>
      </c>
      <c r="O36" s="229" t="n">
        <f aca="false">IF($K36="No aplicable","--",VLOOKUP($K36,$AJ$5:$AK$8,2,FALSE()))</f>
        <v>0.1</v>
      </c>
      <c r="P36" s="230" t="n">
        <f aca="false">SUM(L36:O36)</f>
        <v>0.65</v>
      </c>
      <c r="Q36" s="253" t="n">
        <f aca="false">AVERAGE(P36:P39)</f>
        <v>0.6375</v>
      </c>
      <c r="R36" s="190"/>
    </row>
    <row r="37" customFormat="false" ht="30" hidden="false" customHeight="true" outlineLevel="0" collapsed="false">
      <c r="A37" s="254" t="s">
        <v>419</v>
      </c>
      <c r="B37" s="255" t="s">
        <v>423</v>
      </c>
      <c r="C37" s="255" t="n">
        <v>1</v>
      </c>
      <c r="D37" s="255" t="n">
        <v>2</v>
      </c>
      <c r="E37" s="280" t="s">
        <v>691</v>
      </c>
      <c r="F37" s="291" t="s">
        <v>692</v>
      </c>
      <c r="G37" s="37" t="s">
        <v>693</v>
      </c>
      <c r="H37" s="260" t="s">
        <v>571</v>
      </c>
      <c r="I37" s="260" t="s">
        <v>572</v>
      </c>
      <c r="J37" s="260" t="s">
        <v>573</v>
      </c>
      <c r="K37" s="260" t="s">
        <v>574</v>
      </c>
      <c r="L37" s="244" t="n">
        <f aca="false">VLOOKUP($H37,$Y$5:$Z$10,2,FALSE())</f>
        <v>0.3</v>
      </c>
      <c r="M37" s="244" t="n">
        <f aca="false">VLOOKUP($I37,$AB$5:$AD$9,IF($K37="No aplicable",3,2),FALSE())</f>
        <v>0.15</v>
      </c>
      <c r="N37" s="244" t="n">
        <f aca="false">VLOOKUP($J37,$AF$5:$AH$9,IF($K37="No aplicable",3,2),FALSE())</f>
        <v>0.1</v>
      </c>
      <c r="O37" s="244" t="n">
        <f aca="false">IF($K37="No aplicable","--",VLOOKUP($K37,$AJ$5:$AK$8,2,FALSE()))</f>
        <v>0.05</v>
      </c>
      <c r="P37" s="261" t="n">
        <f aca="false">SUM(L37:O37)</f>
        <v>0.6</v>
      </c>
      <c r="Q37" s="253"/>
      <c r="R37" s="190"/>
    </row>
    <row r="38" customFormat="false" ht="30" hidden="false" customHeight="true" outlineLevel="0" collapsed="false">
      <c r="A38" s="254" t="s">
        <v>419</v>
      </c>
      <c r="B38" s="255" t="s">
        <v>423</v>
      </c>
      <c r="C38" s="255" t="n">
        <v>1</v>
      </c>
      <c r="D38" s="255" t="n">
        <v>3</v>
      </c>
      <c r="E38" s="280" t="s">
        <v>694</v>
      </c>
      <c r="F38" s="291" t="s">
        <v>695</v>
      </c>
      <c r="G38" s="37" t="s">
        <v>696</v>
      </c>
      <c r="H38" s="260" t="s">
        <v>571</v>
      </c>
      <c r="I38" s="260" t="s">
        <v>572</v>
      </c>
      <c r="J38" s="260" t="s">
        <v>573</v>
      </c>
      <c r="K38" s="260" t="s">
        <v>584</v>
      </c>
      <c r="L38" s="244" t="n">
        <f aca="false">VLOOKUP($H38,$Y$5:$Z$10,2,FALSE())</f>
        <v>0.3</v>
      </c>
      <c r="M38" s="244" t="n">
        <f aca="false">VLOOKUP($I38,$AB$5:$AD$9,IF($K38="No aplicable",3,2),FALSE())</f>
        <v>0.2</v>
      </c>
      <c r="N38" s="244" t="n">
        <f aca="false">VLOOKUP($J38,$AF$5:$AH$9,IF($K38="No aplicable",3,2),FALSE())</f>
        <v>0.15</v>
      </c>
      <c r="O38" s="244" t="str">
        <f aca="false">IF($K38="No aplicable","--",VLOOKUP($K38,$AJ$5:$AK$8,2,FALSE()))</f>
        <v>--</v>
      </c>
      <c r="P38" s="261" t="n">
        <f aca="false">SUM(L38:O38)</f>
        <v>0.65</v>
      </c>
      <c r="Q38" s="253"/>
      <c r="R38" s="190"/>
    </row>
    <row r="39" customFormat="false" ht="30" hidden="false" customHeight="true" outlineLevel="0" collapsed="false">
      <c r="A39" s="236" t="s">
        <v>419</v>
      </c>
      <c r="B39" s="237" t="s">
        <v>423</v>
      </c>
      <c r="C39" s="237" t="n">
        <v>1</v>
      </c>
      <c r="D39" s="237" t="n">
        <v>4</v>
      </c>
      <c r="E39" s="281" t="s">
        <v>697</v>
      </c>
      <c r="F39" s="292" t="s">
        <v>698</v>
      </c>
      <c r="G39" s="282" t="s">
        <v>699</v>
      </c>
      <c r="H39" s="242" t="s">
        <v>571</v>
      </c>
      <c r="I39" s="242" t="s">
        <v>572</v>
      </c>
      <c r="J39" s="242" t="s">
        <v>573</v>
      </c>
      <c r="K39" s="242" t="s">
        <v>603</v>
      </c>
      <c r="L39" s="243" t="n">
        <f aca="false">VLOOKUP($H39,$Y$5:$Z$10,2,FALSE())</f>
        <v>0.3</v>
      </c>
      <c r="M39" s="243" t="n">
        <f aca="false">VLOOKUP($I39,$AB$5:$AD$9,IF($K39="No aplicable",3,2),FALSE())</f>
        <v>0.15</v>
      </c>
      <c r="N39" s="243" t="n">
        <f aca="false">VLOOKUP($J39,$AF$5:$AH$9,IF($K39="No aplicable",3,2),FALSE())</f>
        <v>0.1</v>
      </c>
      <c r="O39" s="243" t="n">
        <f aca="false">IF($K39="No aplicable","--",VLOOKUP($K39,$AJ$5:$AK$8,2,FALSE()))</f>
        <v>0.1</v>
      </c>
      <c r="P39" s="245" t="n">
        <f aca="false">SUM(L39:O39)</f>
        <v>0.65</v>
      </c>
      <c r="Q39" s="253"/>
      <c r="R39" s="190"/>
    </row>
    <row r="40" customFormat="false" ht="30" hidden="false" customHeight="true" outlineLevel="0" collapsed="false">
      <c r="A40" s="263" t="s">
        <v>419</v>
      </c>
      <c r="B40" s="264" t="s">
        <v>423</v>
      </c>
      <c r="C40" s="264" t="n">
        <v>2</v>
      </c>
      <c r="D40" s="264" t="n">
        <v>1</v>
      </c>
      <c r="E40" s="284"/>
      <c r="F40" s="285"/>
      <c r="G40" s="286" t="s">
        <v>700</v>
      </c>
      <c r="H40" s="242" t="s">
        <v>571</v>
      </c>
      <c r="I40" s="242" t="s">
        <v>572</v>
      </c>
      <c r="J40" s="242" t="s">
        <v>573</v>
      </c>
      <c r="K40" s="242" t="s">
        <v>584</v>
      </c>
      <c r="L40" s="243" t="n">
        <f aca="false">VLOOKUP($H40,$Y$5:$Z$10,2,FALSE())</f>
        <v>0.3</v>
      </c>
      <c r="M40" s="243" t="n">
        <f aca="false">VLOOKUP($I40,$AB$5:$AD$9,IF($K40="No aplicable",3,2),FALSE())</f>
        <v>0.2</v>
      </c>
      <c r="N40" s="243" t="n">
        <f aca="false">VLOOKUP($J40,$AF$5:$AH$9,IF($K40="No aplicable",3,2),FALSE())</f>
        <v>0.15</v>
      </c>
      <c r="O40" s="243" t="str">
        <f aca="false">IF($K40="No aplicable","--",VLOOKUP($K40,$AJ$5:$AK$8,2,FALSE()))</f>
        <v>--</v>
      </c>
      <c r="P40" s="245" t="n">
        <f aca="false">SUM(L40:O40)</f>
        <v>0.65</v>
      </c>
      <c r="Q40" s="253" t="n">
        <f aca="false">P40</f>
        <v>0.65</v>
      </c>
      <c r="R40" s="190"/>
    </row>
    <row r="41" customFormat="false" ht="30" hidden="false" customHeight="true" outlineLevel="0" collapsed="false">
      <c r="A41" s="222" t="s">
        <v>419</v>
      </c>
      <c r="B41" s="223" t="s">
        <v>423</v>
      </c>
      <c r="C41" s="223" t="n">
        <v>3</v>
      </c>
      <c r="D41" s="223" t="n">
        <v>1</v>
      </c>
      <c r="E41" s="277" t="s">
        <v>688</v>
      </c>
      <c r="F41" s="290" t="s">
        <v>689</v>
      </c>
      <c r="G41" s="283" t="s">
        <v>701</v>
      </c>
      <c r="H41" s="228" t="s">
        <v>571</v>
      </c>
      <c r="I41" s="228" t="s">
        <v>572</v>
      </c>
      <c r="J41" s="228" t="s">
        <v>573</v>
      </c>
      <c r="K41" s="228" t="s">
        <v>574</v>
      </c>
      <c r="L41" s="229" t="n">
        <f aca="false">VLOOKUP($H41,$Y$5:$Z$10,2,FALSE())</f>
        <v>0.3</v>
      </c>
      <c r="M41" s="229" t="n">
        <f aca="false">VLOOKUP($I41,$AB$5:$AD$9,IF($K41="No aplicable",3,2),FALSE())</f>
        <v>0.15</v>
      </c>
      <c r="N41" s="229" t="n">
        <f aca="false">VLOOKUP($J41,$AF$5:$AH$9,IF($K41="No aplicable",3,2),FALSE())</f>
        <v>0.1</v>
      </c>
      <c r="O41" s="229" t="n">
        <f aca="false">IF($K41="No aplicable","--",VLOOKUP($K41,$AJ$5:$AK$8,2,FALSE()))</f>
        <v>0.05</v>
      </c>
      <c r="P41" s="230" t="n">
        <f aca="false">SUM(L41:O41)</f>
        <v>0.6</v>
      </c>
      <c r="Q41" s="253" t="n">
        <f aca="false">AVERAGE(P41:P44)</f>
        <v>0.6375</v>
      </c>
      <c r="R41" s="190"/>
    </row>
    <row r="42" customFormat="false" ht="30" hidden="false" customHeight="true" outlineLevel="0" collapsed="false">
      <c r="A42" s="254" t="s">
        <v>419</v>
      </c>
      <c r="B42" s="255" t="s">
        <v>423</v>
      </c>
      <c r="C42" s="255" t="n">
        <v>3</v>
      </c>
      <c r="D42" s="255" t="n">
        <v>2</v>
      </c>
      <c r="E42" s="280" t="s">
        <v>691</v>
      </c>
      <c r="F42" s="291" t="s">
        <v>692</v>
      </c>
      <c r="G42" s="37" t="s">
        <v>702</v>
      </c>
      <c r="H42" s="260" t="s">
        <v>571</v>
      </c>
      <c r="I42" s="260" t="s">
        <v>572</v>
      </c>
      <c r="J42" s="260" t="s">
        <v>573</v>
      </c>
      <c r="K42" s="260" t="s">
        <v>584</v>
      </c>
      <c r="L42" s="244" t="n">
        <f aca="false">VLOOKUP($H42,$Y$5:$Z$10,2,FALSE())</f>
        <v>0.3</v>
      </c>
      <c r="M42" s="244" t="n">
        <f aca="false">VLOOKUP($I42,$AB$5:$AD$9,IF($K42="No aplicable",3,2),FALSE())</f>
        <v>0.2</v>
      </c>
      <c r="N42" s="244" t="n">
        <f aca="false">VLOOKUP($J42,$AF$5:$AH$9,IF($K42="No aplicable",3,2),FALSE())</f>
        <v>0.15</v>
      </c>
      <c r="O42" s="244" t="str">
        <f aca="false">IF($K42="No aplicable","--",VLOOKUP($K42,$AJ$5:$AK$8,2,FALSE()))</f>
        <v>--</v>
      </c>
      <c r="P42" s="261" t="n">
        <f aca="false">SUM(L42:O42)</f>
        <v>0.65</v>
      </c>
      <c r="Q42" s="253"/>
      <c r="R42" s="190"/>
    </row>
    <row r="43" customFormat="false" ht="30" hidden="false" customHeight="true" outlineLevel="0" collapsed="false">
      <c r="A43" s="254" t="s">
        <v>419</v>
      </c>
      <c r="B43" s="255" t="s">
        <v>423</v>
      </c>
      <c r="C43" s="255" t="n">
        <v>3</v>
      </c>
      <c r="D43" s="255" t="n">
        <v>3</v>
      </c>
      <c r="E43" s="280" t="s">
        <v>694</v>
      </c>
      <c r="F43" s="291" t="s">
        <v>695</v>
      </c>
      <c r="G43" s="37" t="s">
        <v>703</v>
      </c>
      <c r="H43" s="260" t="s">
        <v>571</v>
      </c>
      <c r="I43" s="260" t="s">
        <v>572</v>
      </c>
      <c r="J43" s="260" t="s">
        <v>573</v>
      </c>
      <c r="K43" s="260" t="s">
        <v>584</v>
      </c>
      <c r="L43" s="244" t="n">
        <f aca="false">VLOOKUP($H43,$Y$5:$Z$10,2,FALSE())</f>
        <v>0.3</v>
      </c>
      <c r="M43" s="244" t="n">
        <f aca="false">VLOOKUP($I43,$AB$5:$AD$9,IF($K43="No aplicable",3,2),FALSE())</f>
        <v>0.2</v>
      </c>
      <c r="N43" s="244" t="n">
        <f aca="false">VLOOKUP($J43,$AF$5:$AH$9,IF($K43="No aplicable",3,2),FALSE())</f>
        <v>0.15</v>
      </c>
      <c r="O43" s="244" t="str">
        <f aca="false">IF($K43="No aplicable","--",VLOOKUP($K43,$AJ$5:$AK$8,2,FALSE()))</f>
        <v>--</v>
      </c>
      <c r="P43" s="261" t="n">
        <f aca="false">SUM(L43:O43)</f>
        <v>0.65</v>
      </c>
      <c r="Q43" s="253"/>
      <c r="R43" s="190"/>
    </row>
    <row r="44" customFormat="false" ht="30" hidden="false" customHeight="true" outlineLevel="0" collapsed="false">
      <c r="A44" s="236" t="s">
        <v>419</v>
      </c>
      <c r="B44" s="237" t="s">
        <v>423</v>
      </c>
      <c r="C44" s="237" t="n">
        <v>3</v>
      </c>
      <c r="D44" s="237" t="n">
        <v>4</v>
      </c>
      <c r="E44" s="281" t="s">
        <v>697</v>
      </c>
      <c r="F44" s="292" t="s">
        <v>698</v>
      </c>
      <c r="G44" s="282" t="s">
        <v>704</v>
      </c>
      <c r="H44" s="242" t="s">
        <v>571</v>
      </c>
      <c r="I44" s="242" t="s">
        <v>572</v>
      </c>
      <c r="J44" s="242" t="s">
        <v>573</v>
      </c>
      <c r="K44" s="242" t="s">
        <v>584</v>
      </c>
      <c r="L44" s="243" t="n">
        <f aca="false">VLOOKUP($H44,$Y$5:$Z$10,2,FALSE())</f>
        <v>0.3</v>
      </c>
      <c r="M44" s="243" t="n">
        <f aca="false">VLOOKUP($I44,$AB$5:$AD$9,IF($K44="No aplicable",3,2),FALSE())</f>
        <v>0.2</v>
      </c>
      <c r="N44" s="243" t="n">
        <f aca="false">VLOOKUP($J44,$AF$5:$AH$9,IF($K44="No aplicable",3,2),FALSE())</f>
        <v>0.15</v>
      </c>
      <c r="O44" s="243" t="str">
        <f aca="false">IF($K44="No aplicable","--",VLOOKUP($K44,$AJ$5:$AK$8,2,FALSE()))</f>
        <v>--</v>
      </c>
      <c r="P44" s="245" t="n">
        <f aca="false">SUM(L44:O44)</f>
        <v>0.65</v>
      </c>
      <c r="Q44" s="253"/>
      <c r="R44" s="190"/>
    </row>
    <row r="45" customFormat="false" ht="30" hidden="false" customHeight="true" outlineLevel="0" collapsed="false">
      <c r="A45" s="263" t="s">
        <v>419</v>
      </c>
      <c r="B45" s="264" t="s">
        <v>423</v>
      </c>
      <c r="C45" s="264" t="n">
        <v>4</v>
      </c>
      <c r="D45" s="264" t="n">
        <v>1</v>
      </c>
      <c r="E45" s="284" t="s">
        <v>666</v>
      </c>
      <c r="F45" s="267" t="s">
        <v>667</v>
      </c>
      <c r="G45" s="286" t="s">
        <v>705</v>
      </c>
      <c r="H45" s="242" t="s">
        <v>571</v>
      </c>
      <c r="I45" s="242" t="s">
        <v>572</v>
      </c>
      <c r="J45" s="242" t="s">
        <v>573</v>
      </c>
      <c r="K45" s="242" t="s">
        <v>584</v>
      </c>
      <c r="L45" s="243" t="n">
        <f aca="false">VLOOKUP($H45,$Y$5:$Z$10,2,FALSE())</f>
        <v>0.3</v>
      </c>
      <c r="M45" s="243" t="n">
        <f aca="false">VLOOKUP($I45,$AB$5:$AD$9,IF($K45="No aplicable",3,2),FALSE())</f>
        <v>0.2</v>
      </c>
      <c r="N45" s="243" t="n">
        <f aca="false">VLOOKUP($J45,$AF$5:$AH$9,IF($K45="No aplicable",3,2),FALSE())</f>
        <v>0.15</v>
      </c>
      <c r="O45" s="243" t="str">
        <f aca="false">IF($K45="No aplicable","--",VLOOKUP($K45,$AJ$5:$AK$8,2,FALSE()))</f>
        <v>--</v>
      </c>
      <c r="P45" s="245" t="n">
        <f aca="false">SUM(L45:O45)</f>
        <v>0.65</v>
      </c>
      <c r="Q45" s="253" t="n">
        <f aca="false">P45</f>
        <v>0.65</v>
      </c>
      <c r="R45" s="190"/>
    </row>
    <row r="46" customFormat="false" ht="30" hidden="false" customHeight="true" outlineLevel="0" collapsed="false">
      <c r="A46" s="263" t="s">
        <v>419</v>
      </c>
      <c r="B46" s="264" t="s">
        <v>423</v>
      </c>
      <c r="C46" s="264" t="n">
        <v>5</v>
      </c>
      <c r="D46" s="264" t="n">
        <v>1</v>
      </c>
      <c r="E46" s="284" t="s">
        <v>691</v>
      </c>
      <c r="F46" s="289" t="s">
        <v>692</v>
      </c>
      <c r="G46" s="286" t="s">
        <v>706</v>
      </c>
      <c r="H46" s="242" t="s">
        <v>571</v>
      </c>
      <c r="I46" s="242" t="s">
        <v>572</v>
      </c>
      <c r="J46" s="242" t="s">
        <v>573</v>
      </c>
      <c r="K46" s="242" t="s">
        <v>584</v>
      </c>
      <c r="L46" s="243" t="n">
        <f aca="false">VLOOKUP($H46,$Y$5:$Z$10,2,FALSE())</f>
        <v>0.3</v>
      </c>
      <c r="M46" s="243" t="n">
        <f aca="false">VLOOKUP($I46,$AB$5:$AD$9,IF($K46="No aplicable",3,2),FALSE())</f>
        <v>0.2</v>
      </c>
      <c r="N46" s="243" t="n">
        <f aca="false">VLOOKUP($J46,$AF$5:$AH$9,IF($K46="No aplicable",3,2),FALSE())</f>
        <v>0.15</v>
      </c>
      <c r="O46" s="243" t="str">
        <f aca="false">IF($K46="No aplicable","--",VLOOKUP($K46,$AJ$5:$AK$8,2,FALSE()))</f>
        <v>--</v>
      </c>
      <c r="P46" s="245" t="n">
        <f aca="false">SUM(L46:O46)</f>
        <v>0.65</v>
      </c>
      <c r="Q46" s="253" t="n">
        <f aca="false">P46</f>
        <v>0.65</v>
      </c>
      <c r="R46" s="190"/>
    </row>
    <row r="47" customFormat="false" ht="30" hidden="false" customHeight="true" outlineLevel="0" collapsed="false">
      <c r="A47" s="222" t="s">
        <v>419</v>
      </c>
      <c r="B47" s="223" t="s">
        <v>423</v>
      </c>
      <c r="C47" s="223" t="n">
        <v>6</v>
      </c>
      <c r="D47" s="223" t="n">
        <v>1</v>
      </c>
      <c r="E47" s="277" t="s">
        <v>707</v>
      </c>
      <c r="F47" s="290" t="s">
        <v>708</v>
      </c>
      <c r="G47" s="283" t="s">
        <v>709</v>
      </c>
      <c r="H47" s="228" t="s">
        <v>571</v>
      </c>
      <c r="I47" s="228" t="s">
        <v>572</v>
      </c>
      <c r="J47" s="228" t="s">
        <v>573</v>
      </c>
      <c r="K47" s="228" t="s">
        <v>584</v>
      </c>
      <c r="L47" s="229" t="n">
        <f aca="false">VLOOKUP($H47,$Y$5:$Z$10,2,FALSE())</f>
        <v>0.3</v>
      </c>
      <c r="M47" s="229" t="n">
        <f aca="false">VLOOKUP($I47,$AB$5:$AD$9,IF($K47="No aplicable",3,2),FALSE())</f>
        <v>0.2</v>
      </c>
      <c r="N47" s="229" t="n">
        <f aca="false">VLOOKUP($J47,$AF$5:$AH$9,IF($K47="No aplicable",3,2),FALSE())</f>
        <v>0.15</v>
      </c>
      <c r="O47" s="229" t="str">
        <f aca="false">IF($K47="No aplicable","--",VLOOKUP($K47,$AJ$5:$AK$8,2,FALSE()))</f>
        <v>--</v>
      </c>
      <c r="P47" s="230" t="n">
        <f aca="false">SUM(L47:O47)</f>
        <v>0.65</v>
      </c>
      <c r="Q47" s="253" t="n">
        <f aca="false">AVERAGE(P47:P48)</f>
        <v>0.65</v>
      </c>
      <c r="R47" s="190"/>
    </row>
    <row r="48" customFormat="false" ht="30" hidden="false" customHeight="true" outlineLevel="0" collapsed="false">
      <c r="A48" s="236" t="s">
        <v>419</v>
      </c>
      <c r="B48" s="237" t="s">
        <v>423</v>
      </c>
      <c r="C48" s="237" t="n">
        <v>6</v>
      </c>
      <c r="D48" s="237" t="n">
        <v>2</v>
      </c>
      <c r="E48" s="281" t="s">
        <v>678</v>
      </c>
      <c r="F48" s="292" t="s">
        <v>679</v>
      </c>
      <c r="G48" s="282" t="s">
        <v>710</v>
      </c>
      <c r="H48" s="242" t="s">
        <v>571</v>
      </c>
      <c r="I48" s="242" t="s">
        <v>572</v>
      </c>
      <c r="J48" s="242" t="s">
        <v>573</v>
      </c>
      <c r="K48" s="260" t="s">
        <v>584</v>
      </c>
      <c r="L48" s="244" t="n">
        <f aca="false">VLOOKUP($H48,$Y$5:$Z$10,2,FALSE())</f>
        <v>0.3</v>
      </c>
      <c r="M48" s="244" t="n">
        <f aca="false">VLOOKUP($I48,$AB$5:$AD$9,IF($K48="No aplicable",3,2),FALSE())</f>
        <v>0.2</v>
      </c>
      <c r="N48" s="244" t="n">
        <f aca="false">VLOOKUP($J48,$AF$5:$AH$9,IF($K48="No aplicable",3,2),FALSE())</f>
        <v>0.15</v>
      </c>
      <c r="O48" s="244" t="str">
        <f aca="false">IF($K48="No aplicable","--",VLOOKUP($K48,$AJ$5:$AK$8,2,FALSE()))</f>
        <v>--</v>
      </c>
      <c r="P48" s="261" t="n">
        <f aca="false">SUM(L48:O48)</f>
        <v>0.65</v>
      </c>
      <c r="Q48" s="253"/>
      <c r="R48" s="190"/>
    </row>
    <row r="49" customFormat="false" ht="30" hidden="false" customHeight="true" outlineLevel="0" collapsed="false">
      <c r="A49" s="222" t="s">
        <v>419</v>
      </c>
      <c r="B49" s="223" t="s">
        <v>424</v>
      </c>
      <c r="C49" s="223" t="n">
        <v>1</v>
      </c>
      <c r="D49" s="223" t="n">
        <v>1</v>
      </c>
      <c r="E49" s="277" t="s">
        <v>697</v>
      </c>
      <c r="F49" s="290" t="s">
        <v>698</v>
      </c>
      <c r="G49" s="283" t="s">
        <v>711</v>
      </c>
      <c r="H49" s="228" t="s">
        <v>571</v>
      </c>
      <c r="I49" s="228" t="s">
        <v>572</v>
      </c>
      <c r="J49" s="228" t="s">
        <v>573</v>
      </c>
      <c r="K49" s="228" t="s">
        <v>603</v>
      </c>
      <c r="L49" s="229" t="n">
        <f aca="false">VLOOKUP($H49,$Y$5:$Z$10,2,FALSE())</f>
        <v>0.3</v>
      </c>
      <c r="M49" s="229" t="n">
        <f aca="false">VLOOKUP($I49,$AB$5:$AD$9,IF($K49="No aplicable",3,2),FALSE())</f>
        <v>0.15</v>
      </c>
      <c r="N49" s="229" t="n">
        <f aca="false">VLOOKUP($J49,$AF$5:$AH$9,IF($K49="No aplicable",3,2),FALSE())</f>
        <v>0.1</v>
      </c>
      <c r="O49" s="229" t="n">
        <f aca="false">IF($K49="No aplicable","--",VLOOKUP($K49,$AJ$5:$AK$8,2,FALSE()))</f>
        <v>0.1</v>
      </c>
      <c r="P49" s="230" t="n">
        <f aca="false">SUM(L49:O49)</f>
        <v>0.65</v>
      </c>
      <c r="Q49" s="253" t="n">
        <f aca="false">AVERAGE(P49:P53)</f>
        <v>0.65</v>
      </c>
      <c r="R49" s="190"/>
    </row>
    <row r="50" customFormat="false" ht="30" hidden="false" customHeight="true" outlineLevel="0" collapsed="false">
      <c r="A50" s="254" t="s">
        <v>419</v>
      </c>
      <c r="B50" s="255" t="s">
        <v>424</v>
      </c>
      <c r="C50" s="255" t="n">
        <v>1</v>
      </c>
      <c r="D50" s="255" t="n">
        <v>2</v>
      </c>
      <c r="E50" s="280" t="s">
        <v>707</v>
      </c>
      <c r="F50" s="291" t="s">
        <v>708</v>
      </c>
      <c r="G50" s="37" t="s">
        <v>712</v>
      </c>
      <c r="H50" s="260" t="s">
        <v>571</v>
      </c>
      <c r="I50" s="260" t="s">
        <v>572</v>
      </c>
      <c r="J50" s="260" t="s">
        <v>573</v>
      </c>
      <c r="K50" s="260" t="s">
        <v>584</v>
      </c>
      <c r="L50" s="244" t="n">
        <f aca="false">VLOOKUP($H50,$Y$5:$Z$10,2,FALSE())</f>
        <v>0.3</v>
      </c>
      <c r="M50" s="244" t="n">
        <f aca="false">VLOOKUP($I50,$AB$5:$AD$9,IF($K50="No aplicable",3,2),FALSE())</f>
        <v>0.2</v>
      </c>
      <c r="N50" s="244" t="n">
        <f aca="false">VLOOKUP($J50,$AF$5:$AH$9,IF($K50="No aplicable",3,2),FALSE())</f>
        <v>0.15</v>
      </c>
      <c r="O50" s="244" t="str">
        <f aca="false">IF($K50="No aplicable","--",VLOOKUP($K50,$AJ$5:$AK$8,2,FALSE()))</f>
        <v>--</v>
      </c>
      <c r="P50" s="261" t="n">
        <f aca="false">SUM(L50:O50)</f>
        <v>0.65</v>
      </c>
      <c r="Q50" s="253"/>
      <c r="R50" s="190"/>
    </row>
    <row r="51" customFormat="false" ht="30" hidden="false" customHeight="true" outlineLevel="0" collapsed="false">
      <c r="A51" s="254" t="s">
        <v>419</v>
      </c>
      <c r="B51" s="255" t="s">
        <v>424</v>
      </c>
      <c r="C51" s="255" t="n">
        <v>1</v>
      </c>
      <c r="D51" s="255" t="n">
        <v>3</v>
      </c>
      <c r="E51" s="280" t="s">
        <v>678</v>
      </c>
      <c r="F51" s="291" t="s">
        <v>679</v>
      </c>
      <c r="G51" s="37" t="s">
        <v>713</v>
      </c>
      <c r="H51" s="260" t="s">
        <v>571</v>
      </c>
      <c r="I51" s="260" t="s">
        <v>572</v>
      </c>
      <c r="J51" s="260" t="s">
        <v>573</v>
      </c>
      <c r="K51" s="260" t="s">
        <v>603</v>
      </c>
      <c r="L51" s="244" t="n">
        <f aca="false">VLOOKUP($H51,$Y$5:$Z$10,2,FALSE())</f>
        <v>0.3</v>
      </c>
      <c r="M51" s="244" t="n">
        <f aca="false">VLOOKUP($I51,$AB$5:$AD$9,IF($K51="No aplicable",3,2),FALSE())</f>
        <v>0.15</v>
      </c>
      <c r="N51" s="244" t="n">
        <f aca="false">VLOOKUP($J51,$AF$5:$AH$9,IF($K51="No aplicable",3,2),FALSE())</f>
        <v>0.1</v>
      </c>
      <c r="O51" s="244" t="n">
        <f aca="false">IF($K51="No aplicable","--",VLOOKUP($K51,$AJ$5:$AK$8,2,FALSE()))</f>
        <v>0.1</v>
      </c>
      <c r="P51" s="261" t="n">
        <f aca="false">SUM(L51:O51)</f>
        <v>0.65</v>
      </c>
      <c r="Q51" s="253"/>
      <c r="R51" s="190"/>
    </row>
    <row r="52" customFormat="false" ht="30" hidden="false" customHeight="true" outlineLevel="0" collapsed="false">
      <c r="A52" s="254" t="s">
        <v>419</v>
      </c>
      <c r="B52" s="255" t="s">
        <v>424</v>
      </c>
      <c r="C52" s="255" t="n">
        <v>1</v>
      </c>
      <c r="D52" s="255" t="n">
        <v>4</v>
      </c>
      <c r="E52" s="280" t="s">
        <v>714</v>
      </c>
      <c r="F52" s="258" t="s">
        <v>715</v>
      </c>
      <c r="G52" s="37" t="s">
        <v>716</v>
      </c>
      <c r="H52" s="260" t="s">
        <v>571</v>
      </c>
      <c r="I52" s="260" t="s">
        <v>572</v>
      </c>
      <c r="J52" s="260" t="s">
        <v>573</v>
      </c>
      <c r="K52" s="260" t="s">
        <v>584</v>
      </c>
      <c r="L52" s="244" t="n">
        <f aca="false">VLOOKUP($H52,$Y$5:$Z$10,2,FALSE())</f>
        <v>0.3</v>
      </c>
      <c r="M52" s="244" t="n">
        <f aca="false">VLOOKUP($I52,$AB$5:$AD$9,IF($K52="No aplicable",3,2),FALSE())</f>
        <v>0.2</v>
      </c>
      <c r="N52" s="244" t="n">
        <f aca="false">VLOOKUP($J52,$AF$5:$AH$9,IF($K52="No aplicable",3,2),FALSE())</f>
        <v>0.15</v>
      </c>
      <c r="O52" s="244" t="str">
        <f aca="false">IF($K52="No aplicable","--",VLOOKUP($K52,$AJ$5:$AK$8,2,FALSE()))</f>
        <v>--</v>
      </c>
      <c r="P52" s="261" t="n">
        <f aca="false">SUM(L52:O52)</f>
        <v>0.65</v>
      </c>
      <c r="Q52" s="253"/>
      <c r="R52" s="190"/>
    </row>
    <row r="53" customFormat="false" ht="30" hidden="false" customHeight="true" outlineLevel="0" collapsed="false">
      <c r="A53" s="236" t="s">
        <v>419</v>
      </c>
      <c r="B53" s="237" t="s">
        <v>424</v>
      </c>
      <c r="C53" s="237" t="n">
        <v>1</v>
      </c>
      <c r="D53" s="237" t="n">
        <v>5</v>
      </c>
      <c r="E53" s="281" t="s">
        <v>717</v>
      </c>
      <c r="F53" s="240" t="s">
        <v>718</v>
      </c>
      <c r="G53" s="282" t="s">
        <v>719</v>
      </c>
      <c r="H53" s="242" t="s">
        <v>571</v>
      </c>
      <c r="I53" s="242" t="s">
        <v>572</v>
      </c>
      <c r="J53" s="242" t="s">
        <v>573</v>
      </c>
      <c r="K53" s="242" t="s">
        <v>584</v>
      </c>
      <c r="L53" s="243" t="n">
        <f aca="false">VLOOKUP($H53,$Y$5:$Z$10,2,FALSE())</f>
        <v>0.3</v>
      </c>
      <c r="M53" s="243" t="n">
        <f aca="false">VLOOKUP($I53,$AB$5:$AD$9,IF($K53="No aplicable",3,2),FALSE())</f>
        <v>0.2</v>
      </c>
      <c r="N53" s="243" t="n">
        <f aca="false">VLOOKUP($J53,$AF$5:$AH$9,IF($K53="No aplicable",3,2),FALSE())</f>
        <v>0.15</v>
      </c>
      <c r="O53" s="243" t="str">
        <f aca="false">IF($K53="No aplicable","--",VLOOKUP($K53,$AJ$5:$AK$8,2,FALSE()))</f>
        <v>--</v>
      </c>
      <c r="P53" s="245" t="n">
        <f aca="false">SUM(L53:O53)</f>
        <v>0.65</v>
      </c>
      <c r="Q53" s="253"/>
      <c r="R53" s="190"/>
    </row>
    <row r="54" customFormat="false" ht="30" hidden="false" customHeight="true" outlineLevel="0" collapsed="false">
      <c r="A54" s="263" t="s">
        <v>419</v>
      </c>
      <c r="B54" s="264" t="s">
        <v>424</v>
      </c>
      <c r="C54" s="264" t="n">
        <v>2</v>
      </c>
      <c r="D54" s="264" t="n">
        <v>1</v>
      </c>
      <c r="E54" s="284" t="s">
        <v>720</v>
      </c>
      <c r="F54" s="289" t="s">
        <v>721</v>
      </c>
      <c r="G54" s="286" t="s">
        <v>722</v>
      </c>
      <c r="H54" s="242" t="s">
        <v>571</v>
      </c>
      <c r="I54" s="242" t="s">
        <v>572</v>
      </c>
      <c r="J54" s="242" t="s">
        <v>573</v>
      </c>
      <c r="K54" s="242" t="s">
        <v>584</v>
      </c>
      <c r="L54" s="243" t="n">
        <f aca="false">VLOOKUP($H54,$Y$5:$Z$10,2,FALSE())</f>
        <v>0.3</v>
      </c>
      <c r="M54" s="243" t="n">
        <f aca="false">VLOOKUP($I54,$AB$5:$AD$9,IF($K54="No aplicable",3,2),FALSE())</f>
        <v>0.2</v>
      </c>
      <c r="N54" s="243" t="n">
        <f aca="false">VLOOKUP($J54,$AF$5:$AH$9,IF($K54="No aplicable",3,2),FALSE())</f>
        <v>0.15</v>
      </c>
      <c r="O54" s="243" t="str">
        <f aca="false">IF($K54="No aplicable","--",VLOOKUP($K54,$AJ$5:$AK$8,2,FALSE()))</f>
        <v>--</v>
      </c>
      <c r="P54" s="245" t="n">
        <f aca="false">SUM(L54:O54)</f>
        <v>0.65</v>
      </c>
      <c r="Q54" s="253" t="n">
        <f aca="false">P54</f>
        <v>0.65</v>
      </c>
      <c r="R54" s="190"/>
    </row>
    <row r="55" customFormat="false" ht="30" hidden="false" customHeight="true" outlineLevel="0" collapsed="false">
      <c r="A55" s="263" t="s">
        <v>419</v>
      </c>
      <c r="B55" s="264" t="s">
        <v>424</v>
      </c>
      <c r="C55" s="264" t="n">
        <v>3</v>
      </c>
      <c r="D55" s="264" t="n">
        <v>1</v>
      </c>
      <c r="E55" s="284"/>
      <c r="F55" s="285"/>
      <c r="G55" s="286" t="s">
        <v>723</v>
      </c>
      <c r="H55" s="242" t="s">
        <v>571</v>
      </c>
      <c r="I55" s="242" t="s">
        <v>572</v>
      </c>
      <c r="J55" s="242" t="s">
        <v>573</v>
      </c>
      <c r="K55" s="242" t="s">
        <v>584</v>
      </c>
      <c r="L55" s="243" t="n">
        <f aca="false">VLOOKUP($H55,$Y$5:$Z$10,2,FALSE())</f>
        <v>0.3</v>
      </c>
      <c r="M55" s="243" t="n">
        <f aca="false">VLOOKUP($I55,$AB$5:$AD$9,IF($K55="No aplicable",3,2),FALSE())</f>
        <v>0.2</v>
      </c>
      <c r="N55" s="243" t="n">
        <f aca="false">VLOOKUP($J55,$AF$5:$AH$9,IF($K55="No aplicable",3,2),FALSE())</f>
        <v>0.15</v>
      </c>
      <c r="O55" s="243" t="str">
        <f aca="false">IF($K55="No aplicable","--",VLOOKUP($K55,$AJ$5:$AK$8,2,FALSE()))</f>
        <v>--</v>
      </c>
      <c r="P55" s="245" t="n">
        <f aca="false">SUM(L55:O55)</f>
        <v>0.65</v>
      </c>
      <c r="Q55" s="253" t="n">
        <f aca="false">P55</f>
        <v>0.65</v>
      </c>
      <c r="R55" s="190"/>
    </row>
    <row r="56" customFormat="false" ht="30" hidden="false" customHeight="true" outlineLevel="0" collapsed="false">
      <c r="A56" s="263" t="s">
        <v>419</v>
      </c>
      <c r="B56" s="223" t="s">
        <v>425</v>
      </c>
      <c r="C56" s="223" t="n">
        <v>1</v>
      </c>
      <c r="D56" s="223" t="n">
        <v>1</v>
      </c>
      <c r="E56" s="277"/>
      <c r="F56" s="184"/>
      <c r="G56" s="293" t="s">
        <v>724</v>
      </c>
      <c r="H56" s="242" t="s">
        <v>571</v>
      </c>
      <c r="I56" s="242" t="s">
        <v>572</v>
      </c>
      <c r="J56" s="242" t="s">
        <v>573</v>
      </c>
      <c r="K56" s="242" t="s">
        <v>584</v>
      </c>
      <c r="L56" s="243" t="n">
        <f aca="false">VLOOKUP($H56,$Y$5:$Z$10,2,FALSE())</f>
        <v>0.3</v>
      </c>
      <c r="M56" s="243" t="n">
        <f aca="false">VLOOKUP($I56,$AB$5:$AD$9,IF($K56="No aplicable",3,2),FALSE())</f>
        <v>0.2</v>
      </c>
      <c r="N56" s="243" t="n">
        <f aca="false">VLOOKUP($J56,$AF$5:$AH$9,IF($K56="No aplicable",3,2),FALSE())</f>
        <v>0.15</v>
      </c>
      <c r="O56" s="243" t="str">
        <f aca="false">IF($K56="No aplicable","--",VLOOKUP($K56,$AJ$5:$AK$8,2,FALSE()))</f>
        <v>--</v>
      </c>
      <c r="P56" s="245" t="n">
        <f aca="false">SUM(L56:O56)</f>
        <v>0.65</v>
      </c>
      <c r="Q56" s="253" t="n">
        <f aca="false">P56</f>
        <v>0.65</v>
      </c>
      <c r="R56" s="190"/>
    </row>
    <row r="57" customFormat="false" ht="30" hidden="false" customHeight="true" outlineLevel="0" collapsed="false">
      <c r="A57" s="263" t="s">
        <v>419</v>
      </c>
      <c r="B57" s="223" t="s">
        <v>425</v>
      </c>
      <c r="C57" s="223" t="n">
        <v>2</v>
      </c>
      <c r="D57" s="223" t="n">
        <v>1</v>
      </c>
      <c r="E57" s="277"/>
      <c r="F57" s="184"/>
      <c r="G57" s="293" t="s">
        <v>725</v>
      </c>
      <c r="H57" s="242" t="s">
        <v>571</v>
      </c>
      <c r="I57" s="242" t="s">
        <v>572</v>
      </c>
      <c r="J57" s="242" t="s">
        <v>573</v>
      </c>
      <c r="K57" s="242" t="s">
        <v>584</v>
      </c>
      <c r="L57" s="243" t="n">
        <f aca="false">VLOOKUP($H57,$Y$5:$Z$10,2,FALSE())</f>
        <v>0.3</v>
      </c>
      <c r="M57" s="243" t="n">
        <f aca="false">VLOOKUP($I57,$AB$5:$AD$9,IF($K57="No aplicable",3,2),FALSE())</f>
        <v>0.2</v>
      </c>
      <c r="N57" s="243" t="n">
        <f aca="false">VLOOKUP($J57,$AF$5:$AH$9,IF($K57="No aplicable",3,2),FALSE())</f>
        <v>0.15</v>
      </c>
      <c r="O57" s="243" t="str">
        <f aca="false">IF($K57="No aplicable","--",VLOOKUP($K57,$AJ$5:$AK$8,2,FALSE()))</f>
        <v>--</v>
      </c>
      <c r="P57" s="245" t="n">
        <f aca="false">SUM(L57:O57)</f>
        <v>0.65</v>
      </c>
      <c r="Q57" s="253" t="n">
        <f aca="false">P57</f>
        <v>0.65</v>
      </c>
      <c r="R57" s="190"/>
    </row>
    <row r="58" customFormat="false" ht="30" hidden="false" customHeight="true" outlineLevel="0" collapsed="false">
      <c r="A58" s="263" t="s">
        <v>419</v>
      </c>
      <c r="B58" s="223" t="s">
        <v>425</v>
      </c>
      <c r="C58" s="223" t="n">
        <v>3</v>
      </c>
      <c r="D58" s="223" t="n">
        <v>1</v>
      </c>
      <c r="E58" s="277"/>
      <c r="F58" s="184"/>
      <c r="G58" s="293" t="s">
        <v>726</v>
      </c>
      <c r="H58" s="242" t="s">
        <v>571</v>
      </c>
      <c r="I58" s="242" t="s">
        <v>572</v>
      </c>
      <c r="J58" s="242" t="s">
        <v>573</v>
      </c>
      <c r="K58" s="242" t="s">
        <v>584</v>
      </c>
      <c r="L58" s="243" t="n">
        <f aca="false">VLOOKUP($H58,$Y$5:$Z$10,2,FALSE())</f>
        <v>0.3</v>
      </c>
      <c r="M58" s="243" t="n">
        <f aca="false">VLOOKUP($I58,$AB$5:$AD$9,IF($K58="No aplicable",3,2),FALSE())</f>
        <v>0.2</v>
      </c>
      <c r="N58" s="243" t="n">
        <f aca="false">VLOOKUP($J58,$AF$5:$AH$9,IF($K58="No aplicable",3,2),FALSE())</f>
        <v>0.15</v>
      </c>
      <c r="O58" s="243" t="str">
        <f aca="false">IF($K58="No aplicable","--",VLOOKUP($K58,$AJ$5:$AK$8,2,FALSE()))</f>
        <v>--</v>
      </c>
      <c r="P58" s="245" t="n">
        <f aca="false">SUM(L58:O58)</f>
        <v>0.65</v>
      </c>
      <c r="Q58" s="253" t="n">
        <f aca="false">P58</f>
        <v>0.65</v>
      </c>
      <c r="R58" s="190"/>
    </row>
    <row r="59" customFormat="false" ht="30" hidden="false" customHeight="true" outlineLevel="0" collapsed="false">
      <c r="A59" s="263" t="s">
        <v>419</v>
      </c>
      <c r="B59" s="223" t="s">
        <v>425</v>
      </c>
      <c r="C59" s="223" t="n">
        <v>4</v>
      </c>
      <c r="D59" s="223" t="n">
        <v>1</v>
      </c>
      <c r="E59" s="277"/>
      <c r="F59" s="184"/>
      <c r="G59" s="293" t="s">
        <v>727</v>
      </c>
      <c r="H59" s="242" t="s">
        <v>571</v>
      </c>
      <c r="I59" s="242" t="s">
        <v>572</v>
      </c>
      <c r="J59" s="242" t="s">
        <v>573</v>
      </c>
      <c r="K59" s="242" t="s">
        <v>584</v>
      </c>
      <c r="L59" s="243" t="n">
        <f aca="false">VLOOKUP($H59,$Y$5:$Z$10,2,FALSE())</f>
        <v>0.3</v>
      </c>
      <c r="M59" s="243" t="n">
        <f aca="false">VLOOKUP($I59,$AB$5:$AD$9,IF($K59="No aplicable",3,2),FALSE())</f>
        <v>0.2</v>
      </c>
      <c r="N59" s="243" t="n">
        <f aca="false">VLOOKUP($J59,$AF$5:$AH$9,IF($K59="No aplicable",3,2),FALSE())</f>
        <v>0.15</v>
      </c>
      <c r="O59" s="243" t="str">
        <f aca="false">IF($K59="No aplicable","--",VLOOKUP($K59,$AJ$5:$AK$8,2,FALSE()))</f>
        <v>--</v>
      </c>
      <c r="P59" s="245" t="n">
        <f aca="false">SUM(L59:O59)</f>
        <v>0.65</v>
      </c>
      <c r="Q59" s="253" t="n">
        <f aca="false">P59</f>
        <v>0.65</v>
      </c>
      <c r="R59" s="190"/>
    </row>
    <row r="60" customFormat="false" ht="30" hidden="false" customHeight="true" outlineLevel="0" collapsed="false">
      <c r="A60" s="263" t="s">
        <v>419</v>
      </c>
      <c r="B60" s="223" t="s">
        <v>425</v>
      </c>
      <c r="C60" s="223" t="n">
        <v>5</v>
      </c>
      <c r="D60" s="223" t="n">
        <v>1</v>
      </c>
      <c r="E60" s="277"/>
      <c r="F60" s="184"/>
      <c r="G60" s="293" t="s">
        <v>728</v>
      </c>
      <c r="H60" s="242" t="s">
        <v>571</v>
      </c>
      <c r="I60" s="242" t="s">
        <v>572</v>
      </c>
      <c r="J60" s="242" t="s">
        <v>573</v>
      </c>
      <c r="K60" s="242" t="s">
        <v>584</v>
      </c>
      <c r="L60" s="243" t="n">
        <f aca="false">VLOOKUP($H60,$Y$5:$Z$10,2,FALSE())</f>
        <v>0.3</v>
      </c>
      <c r="M60" s="243" t="n">
        <f aca="false">VLOOKUP($I60,$AB$5:$AD$9,IF($K60="No aplicable",3,2),FALSE())</f>
        <v>0.2</v>
      </c>
      <c r="N60" s="243" t="n">
        <f aca="false">VLOOKUP($J60,$AF$5:$AH$9,IF($K60="No aplicable",3,2),FALSE())</f>
        <v>0.15</v>
      </c>
      <c r="O60" s="243" t="str">
        <f aca="false">IF($K60="No aplicable","--",VLOOKUP($K60,$AJ$5:$AK$8,2,FALSE()))</f>
        <v>--</v>
      </c>
      <c r="P60" s="245" t="n">
        <f aca="false">SUM(L60:O60)</f>
        <v>0.65</v>
      </c>
      <c r="Q60" s="253" t="n">
        <f aca="false">P60</f>
        <v>0.65</v>
      </c>
      <c r="R60" s="190"/>
    </row>
    <row r="61" customFormat="false" ht="30" hidden="false" customHeight="true" outlineLevel="0" collapsed="false">
      <c r="A61" s="294" t="s">
        <v>426</v>
      </c>
      <c r="B61" s="295" t="s">
        <v>427</v>
      </c>
      <c r="C61" s="295" t="n">
        <v>1</v>
      </c>
      <c r="D61" s="295" t="n">
        <v>1</v>
      </c>
      <c r="E61" s="296" t="s">
        <v>729</v>
      </c>
      <c r="F61" s="226" t="s">
        <v>730</v>
      </c>
      <c r="G61" s="283" t="s">
        <v>731</v>
      </c>
      <c r="H61" s="228" t="s">
        <v>571</v>
      </c>
      <c r="I61" s="228" t="s">
        <v>572</v>
      </c>
      <c r="J61" s="228" t="s">
        <v>573</v>
      </c>
      <c r="K61" s="228" t="s">
        <v>584</v>
      </c>
      <c r="L61" s="229" t="n">
        <f aca="false">VLOOKUP($H61,$Y$5:$Z$10,2,FALSE())</f>
        <v>0.3</v>
      </c>
      <c r="M61" s="229" t="n">
        <f aca="false">VLOOKUP($I61,$AB$5:$AD$9,IF($K61="No aplicable",3,2),FALSE())</f>
        <v>0.2</v>
      </c>
      <c r="N61" s="229" t="n">
        <f aca="false">VLOOKUP($J61,$AF$5:$AH$9,IF($K61="No aplicable",3,2),FALSE())</f>
        <v>0.15</v>
      </c>
      <c r="O61" s="229" t="str">
        <f aca="false">IF($K61="No aplicable","--",VLOOKUP($K61,$AJ$5:$AK$8,2,FALSE()))</f>
        <v>--</v>
      </c>
      <c r="P61" s="230" t="n">
        <f aca="false">SUM(L61:O61)</f>
        <v>0.65</v>
      </c>
      <c r="Q61" s="253" t="n">
        <f aca="false">AVERAGE(P61:P62)</f>
        <v>0.65</v>
      </c>
      <c r="R61" s="190"/>
    </row>
    <row r="62" customFormat="false" ht="30" hidden="false" customHeight="true" outlineLevel="0" collapsed="false">
      <c r="A62" s="297" t="s">
        <v>426</v>
      </c>
      <c r="B62" s="298" t="s">
        <v>427</v>
      </c>
      <c r="C62" s="298" t="n">
        <v>1</v>
      </c>
      <c r="D62" s="298" t="n">
        <v>2</v>
      </c>
      <c r="E62" s="299" t="s">
        <v>636</v>
      </c>
      <c r="F62" s="240" t="s">
        <v>637</v>
      </c>
      <c r="G62" s="282" t="s">
        <v>732</v>
      </c>
      <c r="H62" s="242" t="s">
        <v>571</v>
      </c>
      <c r="I62" s="242" t="s">
        <v>572</v>
      </c>
      <c r="J62" s="242" t="s">
        <v>573</v>
      </c>
      <c r="K62" s="260" t="s">
        <v>584</v>
      </c>
      <c r="L62" s="244" t="n">
        <f aca="false">VLOOKUP($H62,$Y$5:$Z$10,2,FALSE())</f>
        <v>0.3</v>
      </c>
      <c r="M62" s="244" t="n">
        <f aca="false">VLOOKUP($I62,$AB$5:$AD$9,IF($K62="No aplicable",3,2),FALSE())</f>
        <v>0.2</v>
      </c>
      <c r="N62" s="244" t="n">
        <f aca="false">VLOOKUP($J62,$AF$5:$AH$9,IF($K62="No aplicable",3,2),FALSE())</f>
        <v>0.15</v>
      </c>
      <c r="O62" s="244" t="str">
        <f aca="false">IF($K62="No aplicable","--",VLOOKUP($K62,$AJ$5:$AK$8,2,FALSE()))</f>
        <v>--</v>
      </c>
      <c r="P62" s="261" t="n">
        <f aca="false">SUM(L62:O62)</f>
        <v>0.65</v>
      </c>
      <c r="Q62" s="253"/>
      <c r="R62" s="190"/>
    </row>
    <row r="63" customFormat="false" ht="30" hidden="false" customHeight="true" outlineLevel="0" collapsed="false">
      <c r="A63" s="294" t="s">
        <v>426</v>
      </c>
      <c r="B63" s="295" t="s">
        <v>427</v>
      </c>
      <c r="C63" s="295" t="n">
        <v>2</v>
      </c>
      <c r="D63" s="295" t="n">
        <v>1</v>
      </c>
      <c r="E63" s="296" t="s">
        <v>733</v>
      </c>
      <c r="F63" s="226" t="s">
        <v>734</v>
      </c>
      <c r="G63" s="283" t="s">
        <v>735</v>
      </c>
      <c r="H63" s="228" t="s">
        <v>571</v>
      </c>
      <c r="I63" s="228" t="s">
        <v>572</v>
      </c>
      <c r="J63" s="228" t="s">
        <v>573</v>
      </c>
      <c r="K63" s="228" t="s">
        <v>603</v>
      </c>
      <c r="L63" s="229" t="n">
        <f aca="false">VLOOKUP($H63,$Y$5:$Z$10,2,FALSE())</f>
        <v>0.3</v>
      </c>
      <c r="M63" s="229" t="n">
        <f aca="false">VLOOKUP($I63,$AB$5:$AD$9,IF($K63="No aplicable",3,2),FALSE())</f>
        <v>0.15</v>
      </c>
      <c r="N63" s="229" t="n">
        <f aca="false">VLOOKUP($J63,$AF$5:$AH$9,IF($K63="No aplicable",3,2),FALSE())</f>
        <v>0.1</v>
      </c>
      <c r="O63" s="229" t="n">
        <f aca="false">IF($K63="No aplicable","--",VLOOKUP($K63,$AJ$5:$AK$8,2,FALSE()))</f>
        <v>0.1</v>
      </c>
      <c r="P63" s="230" t="n">
        <f aca="false">SUM(L63:O63)</f>
        <v>0.65</v>
      </c>
      <c r="Q63" s="253" t="n">
        <f aca="false">AVERAGE(P63:P64)</f>
        <v>0.65</v>
      </c>
      <c r="R63" s="190"/>
    </row>
    <row r="64" customFormat="false" ht="30" hidden="false" customHeight="true" outlineLevel="0" collapsed="false">
      <c r="A64" s="297" t="s">
        <v>426</v>
      </c>
      <c r="B64" s="298" t="s">
        <v>427</v>
      </c>
      <c r="C64" s="298" t="n">
        <v>2</v>
      </c>
      <c r="D64" s="298" t="n">
        <v>2</v>
      </c>
      <c r="E64" s="299" t="s">
        <v>736</v>
      </c>
      <c r="F64" s="240" t="s">
        <v>737</v>
      </c>
      <c r="G64" s="282" t="s">
        <v>738</v>
      </c>
      <c r="H64" s="242" t="s">
        <v>571</v>
      </c>
      <c r="I64" s="242" t="s">
        <v>572</v>
      </c>
      <c r="J64" s="242" t="s">
        <v>573</v>
      </c>
      <c r="K64" s="260" t="s">
        <v>584</v>
      </c>
      <c r="L64" s="244" t="n">
        <f aca="false">VLOOKUP($H64,$Y$5:$Z$10,2,FALSE())</f>
        <v>0.3</v>
      </c>
      <c r="M64" s="244" t="n">
        <f aca="false">VLOOKUP($I64,$AB$5:$AD$9,IF($K64="No aplicable",3,2),FALSE())</f>
        <v>0.2</v>
      </c>
      <c r="N64" s="244" t="n">
        <f aca="false">VLOOKUP($J64,$AF$5:$AH$9,IF($K64="No aplicable",3,2),FALSE())</f>
        <v>0.15</v>
      </c>
      <c r="O64" s="244" t="str">
        <f aca="false">IF($K64="No aplicable","--",VLOOKUP($K64,$AJ$5:$AK$8,2,FALSE()))</f>
        <v>--</v>
      </c>
      <c r="P64" s="261" t="n">
        <f aca="false">SUM(L64:O64)</f>
        <v>0.65</v>
      </c>
      <c r="Q64" s="253"/>
      <c r="R64" s="190"/>
    </row>
    <row r="65" customFormat="false" ht="30" hidden="false" customHeight="true" outlineLevel="0" collapsed="false">
      <c r="A65" s="294" t="s">
        <v>426</v>
      </c>
      <c r="B65" s="295" t="s">
        <v>427</v>
      </c>
      <c r="C65" s="295" t="n">
        <v>3</v>
      </c>
      <c r="D65" s="295" t="n">
        <v>1</v>
      </c>
      <c r="E65" s="296" t="s">
        <v>739</v>
      </c>
      <c r="F65" s="290" t="s">
        <v>740</v>
      </c>
      <c r="G65" s="283" t="s">
        <v>741</v>
      </c>
      <c r="H65" s="228" t="s">
        <v>571</v>
      </c>
      <c r="I65" s="228" t="s">
        <v>572</v>
      </c>
      <c r="J65" s="228" t="s">
        <v>573</v>
      </c>
      <c r="K65" s="228" t="s">
        <v>584</v>
      </c>
      <c r="L65" s="229" t="n">
        <f aca="false">VLOOKUP($H65,$Y$5:$Z$10,2,FALSE())</f>
        <v>0.3</v>
      </c>
      <c r="M65" s="229" t="n">
        <f aca="false">VLOOKUP($I65,$AB$5:$AD$9,IF($K65="No aplicable",3,2),FALSE())</f>
        <v>0.2</v>
      </c>
      <c r="N65" s="229" t="n">
        <f aca="false">VLOOKUP($J65,$AF$5:$AH$9,IF($K65="No aplicable",3,2),FALSE())</f>
        <v>0.15</v>
      </c>
      <c r="O65" s="229" t="str">
        <f aca="false">IF($K65="No aplicable","--",VLOOKUP($K65,$AJ$5:$AK$8,2,FALSE()))</f>
        <v>--</v>
      </c>
      <c r="P65" s="230" t="n">
        <f aca="false">SUM(L65:O65)</f>
        <v>0.65</v>
      </c>
      <c r="Q65" s="300" t="n">
        <f aca="false">AVERAGE(P65:P67)</f>
        <v>0.65</v>
      </c>
      <c r="R65" s="190"/>
    </row>
    <row r="66" customFormat="false" ht="30" hidden="false" customHeight="true" outlineLevel="0" collapsed="false">
      <c r="A66" s="301" t="s">
        <v>426</v>
      </c>
      <c r="B66" s="302" t="s">
        <v>427</v>
      </c>
      <c r="C66" s="302" t="n">
        <v>3</v>
      </c>
      <c r="D66" s="302" t="n">
        <v>2</v>
      </c>
      <c r="E66" s="303" t="s">
        <v>733</v>
      </c>
      <c r="F66" s="258" t="s">
        <v>734</v>
      </c>
      <c r="G66" s="37" t="s">
        <v>742</v>
      </c>
      <c r="H66" s="260" t="s">
        <v>571</v>
      </c>
      <c r="I66" s="260" t="s">
        <v>572</v>
      </c>
      <c r="J66" s="260" t="s">
        <v>573</v>
      </c>
      <c r="K66" s="260" t="s">
        <v>584</v>
      </c>
      <c r="L66" s="244" t="n">
        <f aca="false">VLOOKUP($H66,$Y$5:$Z$10,2,FALSE())</f>
        <v>0.3</v>
      </c>
      <c r="M66" s="244" t="n">
        <f aca="false">VLOOKUP($I66,$AB$5:$AD$9,IF($K66="No aplicable",3,2),FALSE())</f>
        <v>0.2</v>
      </c>
      <c r="N66" s="244" t="n">
        <f aca="false">VLOOKUP($J66,$AF$5:$AH$9,IF($K66="No aplicable",3,2),FALSE())</f>
        <v>0.15</v>
      </c>
      <c r="O66" s="244" t="str">
        <f aca="false">IF($K66="No aplicable","--",VLOOKUP($K66,$AJ$5:$AK$8,2,FALSE()))</f>
        <v>--</v>
      </c>
      <c r="P66" s="261" t="n">
        <f aca="false">SUM(L66:O66)</f>
        <v>0.65</v>
      </c>
      <c r="Q66" s="300"/>
      <c r="R66" s="190"/>
    </row>
    <row r="67" customFormat="false" ht="30" hidden="false" customHeight="true" outlineLevel="0" collapsed="false">
      <c r="A67" s="301" t="s">
        <v>426</v>
      </c>
      <c r="B67" s="302" t="s">
        <v>427</v>
      </c>
      <c r="C67" s="302" t="n">
        <v>3</v>
      </c>
      <c r="D67" s="302" t="n">
        <v>3</v>
      </c>
      <c r="E67" s="303" t="s">
        <v>743</v>
      </c>
      <c r="F67" s="304" t="s">
        <v>744</v>
      </c>
      <c r="G67" s="305" t="s">
        <v>745</v>
      </c>
      <c r="H67" s="242" t="s">
        <v>571</v>
      </c>
      <c r="I67" s="242" t="s">
        <v>572</v>
      </c>
      <c r="J67" s="242" t="s">
        <v>573</v>
      </c>
      <c r="K67" s="306" t="s">
        <v>584</v>
      </c>
      <c r="L67" s="307" t="n">
        <f aca="false">VLOOKUP($H67,$Y$5:$Z$10,2,FALSE())</f>
        <v>0.3</v>
      </c>
      <c r="M67" s="307" t="n">
        <f aca="false">VLOOKUP($I67,$AB$5:$AD$9,IF($K67="No aplicable",3,2),FALSE())</f>
        <v>0.2</v>
      </c>
      <c r="N67" s="307" t="n">
        <f aca="false">VLOOKUP($J67,$AF$5:$AH$9,IF($K67="No aplicable",3,2),FALSE())</f>
        <v>0.15</v>
      </c>
      <c r="O67" s="307" t="str">
        <f aca="false">IF($K67="No aplicable","--",VLOOKUP($K67,$AJ$5:$AK$8,2,FALSE()))</f>
        <v>--</v>
      </c>
      <c r="P67" s="308" t="n">
        <f aca="false">SUM(L67:O67)</f>
        <v>0.65</v>
      </c>
      <c r="Q67" s="300"/>
      <c r="R67" s="190"/>
    </row>
    <row r="68" customFormat="false" ht="36" hidden="false" customHeight="true" outlineLevel="0" collapsed="false">
      <c r="A68" s="309" t="s">
        <v>426</v>
      </c>
      <c r="B68" s="310" t="s">
        <v>427</v>
      </c>
      <c r="C68" s="310" t="n">
        <v>4</v>
      </c>
      <c r="D68" s="310" t="n">
        <v>1</v>
      </c>
      <c r="E68" s="311"/>
      <c r="F68" s="285"/>
      <c r="G68" s="286" t="s">
        <v>746</v>
      </c>
      <c r="H68" s="242" t="s">
        <v>571</v>
      </c>
      <c r="I68" s="242" t="s">
        <v>572</v>
      </c>
      <c r="J68" s="242" t="s">
        <v>573</v>
      </c>
      <c r="K68" s="242" t="s">
        <v>584</v>
      </c>
      <c r="L68" s="270" t="n">
        <f aca="false">VLOOKUP($H68,$Y$5:$Z$10,2,FALSE())</f>
        <v>0.3</v>
      </c>
      <c r="M68" s="270" t="n">
        <f aca="false">VLOOKUP($I68,$AB$5:$AD$9,IF($K68="No aplicable",3,2),FALSE())</f>
        <v>0.2</v>
      </c>
      <c r="N68" s="270" t="n">
        <f aca="false">VLOOKUP($J68,$AF$5:$AH$9,IF($K68="No aplicable",3,2),FALSE())</f>
        <v>0.15</v>
      </c>
      <c r="O68" s="270" t="str">
        <f aca="false">IF($K68="No aplicable","--",VLOOKUP($K68,$AJ$5:$AK$8,2,FALSE()))</f>
        <v>--</v>
      </c>
      <c r="P68" s="271" t="n">
        <f aca="false">SUM(L68:O68)</f>
        <v>0.65</v>
      </c>
      <c r="Q68" s="312" t="n">
        <f aca="false">P68</f>
        <v>0.65</v>
      </c>
      <c r="R68" s="313"/>
    </row>
    <row r="69" customFormat="false" ht="30" hidden="false" customHeight="true" outlineLevel="0" collapsed="false">
      <c r="A69" s="309" t="s">
        <v>426</v>
      </c>
      <c r="B69" s="310" t="s">
        <v>427</v>
      </c>
      <c r="C69" s="310" t="n">
        <v>5</v>
      </c>
      <c r="D69" s="310" t="n">
        <v>1</v>
      </c>
      <c r="E69" s="311"/>
      <c r="F69" s="285"/>
      <c r="G69" s="286" t="s">
        <v>747</v>
      </c>
      <c r="H69" s="242" t="s">
        <v>571</v>
      </c>
      <c r="I69" s="242" t="s">
        <v>572</v>
      </c>
      <c r="J69" s="242" t="s">
        <v>573</v>
      </c>
      <c r="K69" s="242" t="s">
        <v>584</v>
      </c>
      <c r="L69" s="243" t="n">
        <f aca="false">VLOOKUP($H69,$Y$5:$Z$10,2,FALSE())</f>
        <v>0.3</v>
      </c>
      <c r="M69" s="243" t="n">
        <f aca="false">VLOOKUP($I69,$AB$5:$AD$9,IF($K69="No aplicable",3,2),FALSE())</f>
        <v>0.2</v>
      </c>
      <c r="N69" s="243" t="n">
        <f aca="false">VLOOKUP($J69,$AF$5:$AH$9,IF($K69="No aplicable",3,2),FALSE())</f>
        <v>0.15</v>
      </c>
      <c r="O69" s="243" t="str">
        <f aca="false">IF($K69="No aplicable","--",VLOOKUP($K69,$AJ$5:$AK$8,2,FALSE()))</f>
        <v>--</v>
      </c>
      <c r="P69" s="245" t="n">
        <f aca="false">SUM(L69:O69)</f>
        <v>0.65</v>
      </c>
      <c r="Q69" s="314" t="n">
        <f aca="false">P69</f>
        <v>0.65</v>
      </c>
      <c r="R69" s="190"/>
    </row>
    <row r="70" customFormat="false" ht="30" hidden="false" customHeight="true" outlineLevel="0" collapsed="false">
      <c r="A70" s="294" t="s">
        <v>426</v>
      </c>
      <c r="B70" s="295" t="s">
        <v>427</v>
      </c>
      <c r="C70" s="295" t="n">
        <v>6</v>
      </c>
      <c r="D70" s="295" t="n">
        <v>1</v>
      </c>
      <c r="E70" s="296"/>
      <c r="F70" s="184"/>
      <c r="G70" s="293" t="s">
        <v>748</v>
      </c>
      <c r="H70" s="242" t="s">
        <v>571</v>
      </c>
      <c r="I70" s="242" t="s">
        <v>572</v>
      </c>
      <c r="J70" s="242" t="s">
        <v>573</v>
      </c>
      <c r="K70" s="242" t="s">
        <v>584</v>
      </c>
      <c r="L70" s="243" t="n">
        <f aca="false">VLOOKUP($H70,$Y$5:$Z$10,2,FALSE())</f>
        <v>0.3</v>
      </c>
      <c r="M70" s="243" t="n">
        <f aca="false">VLOOKUP($I70,$AB$5:$AD$9,IF($K70="No aplicable",3,2),FALSE())</f>
        <v>0.2</v>
      </c>
      <c r="N70" s="243" t="n">
        <f aca="false">VLOOKUP($J70,$AF$5:$AH$9,IF($K70="No aplicable",3,2),FALSE())</f>
        <v>0.15</v>
      </c>
      <c r="O70" s="243" t="str">
        <f aca="false">IF($K70="No aplicable","--",VLOOKUP($K70,$AJ$5:$AK$8,2,FALSE()))</f>
        <v>--</v>
      </c>
      <c r="P70" s="245" t="n">
        <f aca="false">SUM(L70:O70)</f>
        <v>0.65</v>
      </c>
      <c r="Q70" s="314" t="n">
        <f aca="false">P70</f>
        <v>0.65</v>
      </c>
      <c r="R70" s="190"/>
    </row>
    <row r="71" customFormat="false" ht="30" hidden="false" customHeight="true" outlineLevel="0" collapsed="false">
      <c r="A71" s="294" t="s">
        <v>426</v>
      </c>
      <c r="B71" s="295" t="s">
        <v>427</v>
      </c>
      <c r="C71" s="295" t="n">
        <v>7</v>
      </c>
      <c r="D71" s="295" t="n">
        <v>1</v>
      </c>
      <c r="E71" s="296"/>
      <c r="F71" s="184"/>
      <c r="G71" s="293" t="s">
        <v>749</v>
      </c>
      <c r="H71" s="242" t="s">
        <v>571</v>
      </c>
      <c r="I71" s="242" t="s">
        <v>572</v>
      </c>
      <c r="J71" s="242" t="s">
        <v>573</v>
      </c>
      <c r="K71" s="242" t="s">
        <v>574</v>
      </c>
      <c r="L71" s="243" t="n">
        <f aca="false">VLOOKUP($H71,$Y$5:$Z$10,2,FALSE())</f>
        <v>0.3</v>
      </c>
      <c r="M71" s="243" t="n">
        <f aca="false">VLOOKUP($I71,$AB$5:$AD$9,IF($K71="No aplicable",3,2),FALSE())</f>
        <v>0.15</v>
      </c>
      <c r="N71" s="243" t="n">
        <f aca="false">VLOOKUP($J71,$AF$5:$AH$9,IF($K71="No aplicable",3,2),FALSE())</f>
        <v>0.1</v>
      </c>
      <c r="O71" s="243" t="n">
        <f aca="false">IF($K71="No aplicable","--",VLOOKUP($K71,$AJ$5:$AK$8,2,FALSE()))</f>
        <v>0.05</v>
      </c>
      <c r="P71" s="245" t="n">
        <f aca="false">SUM(L71:O71)</f>
        <v>0.6</v>
      </c>
      <c r="Q71" s="314" t="n">
        <f aca="false">P71</f>
        <v>0.6</v>
      </c>
      <c r="R71" s="190"/>
    </row>
    <row r="72" customFormat="false" ht="30" hidden="false" customHeight="true" outlineLevel="0" collapsed="false">
      <c r="A72" s="294" t="s">
        <v>426</v>
      </c>
      <c r="B72" s="295" t="s">
        <v>428</v>
      </c>
      <c r="C72" s="295" t="n">
        <v>1</v>
      </c>
      <c r="D72" s="295" t="n">
        <v>1</v>
      </c>
      <c r="E72" s="296" t="s">
        <v>750</v>
      </c>
      <c r="F72" s="290" t="s">
        <v>751</v>
      </c>
      <c r="G72" s="283" t="s">
        <v>752</v>
      </c>
      <c r="H72" s="228" t="s">
        <v>571</v>
      </c>
      <c r="I72" s="228" t="s">
        <v>572</v>
      </c>
      <c r="J72" s="228" t="s">
        <v>573</v>
      </c>
      <c r="K72" s="228" t="s">
        <v>584</v>
      </c>
      <c r="L72" s="229" t="n">
        <f aca="false">VLOOKUP($H72,$Y$5:$Z$10,2,FALSE())</f>
        <v>0.3</v>
      </c>
      <c r="M72" s="229" t="n">
        <f aca="false">VLOOKUP($I72,$AB$5:$AD$9,IF($K72="No aplicable",3,2),FALSE())</f>
        <v>0.2</v>
      </c>
      <c r="N72" s="229" t="n">
        <f aca="false">VLOOKUP($J72,$AF$5:$AH$9,IF($K72="No aplicable",3,2),FALSE())</f>
        <v>0.15</v>
      </c>
      <c r="O72" s="229" t="str">
        <f aca="false">IF($K72="No aplicable","--",VLOOKUP($K72,$AJ$5:$AK$8,2,FALSE()))</f>
        <v>--</v>
      </c>
      <c r="P72" s="230" t="n">
        <f aca="false">SUM(L72:O72)</f>
        <v>0.65</v>
      </c>
      <c r="Q72" s="253" t="n">
        <f aca="false">AVERAGE(P72:P73)</f>
        <v>0.65</v>
      </c>
      <c r="R72" s="190"/>
    </row>
    <row r="73" customFormat="false" ht="30" hidden="false" customHeight="true" outlineLevel="0" collapsed="false">
      <c r="A73" s="297" t="s">
        <v>426</v>
      </c>
      <c r="B73" s="298" t="s">
        <v>428</v>
      </c>
      <c r="C73" s="298" t="n">
        <v>1</v>
      </c>
      <c r="D73" s="298" t="n">
        <v>2</v>
      </c>
      <c r="E73" s="299" t="s">
        <v>753</v>
      </c>
      <c r="F73" s="292" t="s">
        <v>754</v>
      </c>
      <c r="G73" s="282" t="s">
        <v>755</v>
      </c>
      <c r="H73" s="242" t="s">
        <v>571</v>
      </c>
      <c r="I73" s="242" t="s">
        <v>572</v>
      </c>
      <c r="J73" s="242" t="s">
        <v>573</v>
      </c>
      <c r="K73" s="260" t="s">
        <v>584</v>
      </c>
      <c r="L73" s="244" t="n">
        <f aca="false">VLOOKUP($H73,$Y$5:$Z$10,2,FALSE())</f>
        <v>0.3</v>
      </c>
      <c r="M73" s="244" t="n">
        <f aca="false">VLOOKUP($I73,$AB$5:$AD$9,IF($K73="No aplicable",3,2),FALSE())</f>
        <v>0.2</v>
      </c>
      <c r="N73" s="244" t="n">
        <f aca="false">VLOOKUP($J73,$AF$5:$AH$9,IF($K73="No aplicable",3,2),FALSE())</f>
        <v>0.15</v>
      </c>
      <c r="O73" s="244" t="str">
        <f aca="false">IF($K73="No aplicable","--",VLOOKUP($K73,$AJ$5:$AK$8,2,FALSE()))</f>
        <v>--</v>
      </c>
      <c r="P73" s="261" t="n">
        <f aca="false">SUM(L73:O73)</f>
        <v>0.65</v>
      </c>
      <c r="Q73" s="253"/>
      <c r="R73" s="190"/>
    </row>
    <row r="74" customFormat="false" ht="30" hidden="false" customHeight="true" outlineLevel="0" collapsed="false">
      <c r="A74" s="294" t="s">
        <v>426</v>
      </c>
      <c r="B74" s="295" t="s">
        <v>428</v>
      </c>
      <c r="C74" s="295" t="n">
        <v>2</v>
      </c>
      <c r="D74" s="295" t="n">
        <v>1</v>
      </c>
      <c r="E74" s="296" t="s">
        <v>756</v>
      </c>
      <c r="F74" s="290" t="s">
        <v>757</v>
      </c>
      <c r="G74" s="283" t="s">
        <v>758</v>
      </c>
      <c r="H74" s="228" t="s">
        <v>571</v>
      </c>
      <c r="I74" s="228" t="s">
        <v>572</v>
      </c>
      <c r="J74" s="228" t="s">
        <v>573</v>
      </c>
      <c r="K74" s="228" t="s">
        <v>584</v>
      </c>
      <c r="L74" s="229" t="n">
        <f aca="false">VLOOKUP($H74,$Y$5:$Z$10,2,FALSE())</f>
        <v>0.3</v>
      </c>
      <c r="M74" s="229" t="n">
        <f aca="false">VLOOKUP($I74,$AB$5:$AD$9,IF($K74="No aplicable",3,2),FALSE())</f>
        <v>0.2</v>
      </c>
      <c r="N74" s="229" t="n">
        <f aca="false">VLOOKUP($J74,$AF$5:$AH$9,IF($K74="No aplicable",3,2),FALSE())</f>
        <v>0.15</v>
      </c>
      <c r="O74" s="229" t="str">
        <f aca="false">IF($K74="No aplicable","--",VLOOKUP($K74,$AJ$5:$AK$8,2,FALSE()))</f>
        <v>--</v>
      </c>
      <c r="P74" s="230" t="n">
        <f aca="false">SUM(L74:O74)</f>
        <v>0.65</v>
      </c>
      <c r="Q74" s="314" t="n">
        <f aca="false">AVERAGE(P74:P75)</f>
        <v>0.65</v>
      </c>
      <c r="R74" s="190"/>
    </row>
    <row r="75" customFormat="false" ht="30" hidden="false" customHeight="true" outlineLevel="0" collapsed="false">
      <c r="A75" s="297" t="s">
        <v>426</v>
      </c>
      <c r="B75" s="298" t="s">
        <v>428</v>
      </c>
      <c r="C75" s="298" t="n">
        <v>2</v>
      </c>
      <c r="D75" s="298" t="n">
        <v>2</v>
      </c>
      <c r="E75" s="299" t="s">
        <v>636</v>
      </c>
      <c r="F75" s="240" t="s">
        <v>637</v>
      </c>
      <c r="G75" s="282" t="s">
        <v>759</v>
      </c>
      <c r="H75" s="242" t="s">
        <v>571</v>
      </c>
      <c r="I75" s="242" t="s">
        <v>572</v>
      </c>
      <c r="J75" s="242" t="s">
        <v>573</v>
      </c>
      <c r="K75" s="260" t="s">
        <v>584</v>
      </c>
      <c r="L75" s="244" t="n">
        <f aca="false">VLOOKUP($H75,$Y$5:$Z$10,2,FALSE())</f>
        <v>0.3</v>
      </c>
      <c r="M75" s="244" t="n">
        <f aca="false">VLOOKUP($I75,$AB$5:$AD$9,IF($K75="No aplicable",3,2),FALSE())</f>
        <v>0.2</v>
      </c>
      <c r="N75" s="244" t="n">
        <f aca="false">VLOOKUP($J75,$AF$5:$AH$9,IF($K75="No aplicable",3,2),FALSE())</f>
        <v>0.15</v>
      </c>
      <c r="O75" s="244" t="str">
        <f aca="false">IF($K75="No aplicable","--",VLOOKUP($K75,$AJ$5:$AK$8,2,FALSE()))</f>
        <v>--</v>
      </c>
      <c r="P75" s="261" t="n">
        <f aca="false">SUM(L75:O75)</f>
        <v>0.65</v>
      </c>
      <c r="Q75" s="314"/>
      <c r="R75" s="190"/>
    </row>
    <row r="76" customFormat="false" ht="30" hidden="false" customHeight="true" outlineLevel="0" collapsed="false">
      <c r="A76" s="294" t="s">
        <v>426</v>
      </c>
      <c r="B76" s="295" t="s">
        <v>428</v>
      </c>
      <c r="C76" s="295" t="n">
        <v>3</v>
      </c>
      <c r="D76" s="295" t="n">
        <v>1</v>
      </c>
      <c r="E76" s="296" t="s">
        <v>750</v>
      </c>
      <c r="F76" s="290" t="s">
        <v>751</v>
      </c>
      <c r="G76" s="283" t="s">
        <v>760</v>
      </c>
      <c r="H76" s="228" t="s">
        <v>571</v>
      </c>
      <c r="I76" s="228" t="s">
        <v>572</v>
      </c>
      <c r="J76" s="228" t="s">
        <v>573</v>
      </c>
      <c r="K76" s="228" t="s">
        <v>584</v>
      </c>
      <c r="L76" s="229" t="n">
        <f aca="false">VLOOKUP($H76,$Y$5:$Z$10,2,FALSE())</f>
        <v>0.3</v>
      </c>
      <c r="M76" s="229" t="n">
        <f aca="false">VLOOKUP($I76,$AB$5:$AD$9,IF($K76="No aplicable",3,2),FALSE())</f>
        <v>0.2</v>
      </c>
      <c r="N76" s="229" t="n">
        <f aca="false">VLOOKUP($J76,$AF$5:$AH$9,IF($K76="No aplicable",3,2),FALSE())</f>
        <v>0.15</v>
      </c>
      <c r="O76" s="229" t="str">
        <f aca="false">IF($K76="No aplicable","--",VLOOKUP($K76,$AJ$5:$AK$8,2,FALSE()))</f>
        <v>--</v>
      </c>
      <c r="P76" s="230" t="n">
        <f aca="false">SUM(L76:O76)</f>
        <v>0.65</v>
      </c>
      <c r="Q76" s="315" t="n">
        <f aca="false">AVERAGE(P76:P78)</f>
        <v>0.65</v>
      </c>
      <c r="R76" s="190"/>
    </row>
    <row r="77" customFormat="false" ht="30" hidden="false" customHeight="true" outlineLevel="0" collapsed="false">
      <c r="A77" s="301" t="s">
        <v>426</v>
      </c>
      <c r="B77" s="302" t="s">
        <v>428</v>
      </c>
      <c r="C77" s="302" t="n">
        <v>3</v>
      </c>
      <c r="D77" s="302" t="n">
        <v>2</v>
      </c>
      <c r="E77" s="303" t="s">
        <v>648</v>
      </c>
      <c r="F77" s="258" t="s">
        <v>649</v>
      </c>
      <c r="G77" s="37" t="s">
        <v>761</v>
      </c>
      <c r="H77" s="260" t="s">
        <v>571</v>
      </c>
      <c r="I77" s="260" t="s">
        <v>572</v>
      </c>
      <c r="J77" s="260" t="s">
        <v>573</v>
      </c>
      <c r="K77" s="260" t="s">
        <v>584</v>
      </c>
      <c r="L77" s="244" t="n">
        <f aca="false">VLOOKUP($H77,$Y$5:$Z$10,2,FALSE())</f>
        <v>0.3</v>
      </c>
      <c r="M77" s="244" t="n">
        <f aca="false">VLOOKUP($I77,$AB$5:$AD$9,IF($K77="No aplicable",3,2),FALSE())</f>
        <v>0.2</v>
      </c>
      <c r="N77" s="244" t="n">
        <f aca="false">VLOOKUP($J77,$AF$5:$AH$9,IF($K77="No aplicable",3,2),FALSE())</f>
        <v>0.15</v>
      </c>
      <c r="O77" s="244" t="str">
        <f aca="false">IF($K77="No aplicable","--",VLOOKUP($K77,$AJ$5:$AK$8,2,FALSE()))</f>
        <v>--</v>
      </c>
      <c r="P77" s="261" t="n">
        <f aca="false">SUM(L77:O77)</f>
        <v>0.65</v>
      </c>
      <c r="Q77" s="315"/>
      <c r="R77" s="190"/>
    </row>
    <row r="78" customFormat="false" ht="30" hidden="false" customHeight="true" outlineLevel="0" collapsed="false">
      <c r="A78" s="301" t="s">
        <v>426</v>
      </c>
      <c r="B78" s="302" t="s">
        <v>428</v>
      </c>
      <c r="C78" s="302" t="n">
        <v>3</v>
      </c>
      <c r="D78" s="302" t="n">
        <v>3</v>
      </c>
      <c r="E78" s="303" t="s">
        <v>651</v>
      </c>
      <c r="F78" s="316" t="s">
        <v>652</v>
      </c>
      <c r="G78" s="305" t="s">
        <v>762</v>
      </c>
      <c r="H78" s="242" t="s">
        <v>571</v>
      </c>
      <c r="I78" s="242" t="s">
        <v>572</v>
      </c>
      <c r="J78" s="242" t="s">
        <v>573</v>
      </c>
      <c r="K78" s="306" t="s">
        <v>584</v>
      </c>
      <c r="L78" s="307" t="n">
        <f aca="false">VLOOKUP($H78,$Y$5:$Z$10,2,FALSE())</f>
        <v>0.3</v>
      </c>
      <c r="M78" s="307" t="n">
        <f aca="false">VLOOKUP($I78,$AB$5:$AD$9,IF($K78="No aplicable",3,2),FALSE())</f>
        <v>0.2</v>
      </c>
      <c r="N78" s="307" t="n">
        <f aca="false">VLOOKUP($J78,$AF$5:$AH$9,IF($K78="No aplicable",3,2),FALSE())</f>
        <v>0.15</v>
      </c>
      <c r="O78" s="307" t="str">
        <f aca="false">IF($K78="No aplicable","--",VLOOKUP($K78,$AJ$5:$AK$8,2,FALSE()))</f>
        <v>--</v>
      </c>
      <c r="P78" s="308" t="n">
        <f aca="false">SUM(L78:O78)</f>
        <v>0.65</v>
      </c>
      <c r="Q78" s="315"/>
      <c r="R78" s="190"/>
    </row>
    <row r="79" customFormat="false" ht="30" hidden="false" customHeight="true" outlineLevel="0" collapsed="false">
      <c r="A79" s="309" t="s">
        <v>426</v>
      </c>
      <c r="B79" s="310" t="s">
        <v>428</v>
      </c>
      <c r="C79" s="310" t="n">
        <v>4</v>
      </c>
      <c r="D79" s="310" t="n">
        <v>1</v>
      </c>
      <c r="E79" s="311" t="s">
        <v>750</v>
      </c>
      <c r="F79" s="289" t="s">
        <v>751</v>
      </c>
      <c r="G79" s="286" t="s">
        <v>763</v>
      </c>
      <c r="H79" s="242" t="s">
        <v>571</v>
      </c>
      <c r="I79" s="242" t="s">
        <v>572</v>
      </c>
      <c r="J79" s="242" t="s">
        <v>573</v>
      </c>
      <c r="K79" s="242" t="s">
        <v>584</v>
      </c>
      <c r="L79" s="270" t="n">
        <f aca="false">VLOOKUP($H79,$Y$5:$Z$10,2,FALSE())</f>
        <v>0.3</v>
      </c>
      <c r="M79" s="270" t="n">
        <f aca="false">VLOOKUP($I79,$AB$5:$AD$9,IF($K79="No aplicable",3,2),FALSE())</f>
        <v>0.2</v>
      </c>
      <c r="N79" s="270" t="n">
        <f aca="false">VLOOKUP($J79,$AF$5:$AH$9,IF($K79="No aplicable",3,2),FALSE())</f>
        <v>0.15</v>
      </c>
      <c r="O79" s="270" t="str">
        <f aca="false">IF($K79="No aplicable","--",VLOOKUP($K79,$AJ$5:$AK$8,2,FALSE()))</f>
        <v>--</v>
      </c>
      <c r="P79" s="271" t="n">
        <f aca="false">SUM(L79:O79)</f>
        <v>0.65</v>
      </c>
      <c r="Q79" s="317" t="n">
        <f aca="false">P79</f>
        <v>0.65</v>
      </c>
      <c r="R79" s="313"/>
    </row>
    <row r="80" customFormat="false" ht="30" hidden="false" customHeight="true" outlineLevel="0" collapsed="false">
      <c r="A80" s="309" t="s">
        <v>426</v>
      </c>
      <c r="B80" s="310" t="s">
        <v>428</v>
      </c>
      <c r="C80" s="310" t="n">
        <v>5</v>
      </c>
      <c r="D80" s="310" t="n">
        <v>1</v>
      </c>
      <c r="E80" s="311" t="s">
        <v>750</v>
      </c>
      <c r="F80" s="289" t="s">
        <v>751</v>
      </c>
      <c r="G80" s="286" t="s">
        <v>764</v>
      </c>
      <c r="H80" s="242" t="s">
        <v>571</v>
      </c>
      <c r="I80" s="242" t="s">
        <v>572</v>
      </c>
      <c r="J80" s="242" t="s">
        <v>573</v>
      </c>
      <c r="K80" s="242" t="s">
        <v>584</v>
      </c>
      <c r="L80" s="270" t="n">
        <f aca="false">VLOOKUP($H80,$Y$5:$Z$10,2,FALSE())</f>
        <v>0.3</v>
      </c>
      <c r="M80" s="270" t="n">
        <f aca="false">VLOOKUP($I80,$AB$5:$AD$9,IF($K80="No aplicable",3,2),FALSE())</f>
        <v>0.2</v>
      </c>
      <c r="N80" s="270" t="n">
        <f aca="false">VLOOKUP($J80,$AF$5:$AH$9,IF($K80="No aplicable",3,2),FALSE())</f>
        <v>0.15</v>
      </c>
      <c r="O80" s="270" t="str">
        <f aca="false">IF($K80="No aplicable","--",VLOOKUP($K80,$AJ$5:$AK$8,2,FALSE()))</f>
        <v>--</v>
      </c>
      <c r="P80" s="271" t="n">
        <f aca="false">SUM(L80:O80)</f>
        <v>0.65</v>
      </c>
      <c r="Q80" s="253" t="n">
        <f aca="false">P80</f>
        <v>0.65</v>
      </c>
      <c r="R80" s="190"/>
    </row>
    <row r="81" customFormat="false" ht="30" hidden="false" customHeight="true" outlineLevel="0" collapsed="false">
      <c r="A81" s="294" t="s">
        <v>426</v>
      </c>
      <c r="B81" s="295" t="s">
        <v>429</v>
      </c>
      <c r="C81" s="295" t="n">
        <v>1</v>
      </c>
      <c r="D81" s="295" t="n">
        <v>1</v>
      </c>
      <c r="E81" s="296" t="s">
        <v>765</v>
      </c>
      <c r="F81" s="226" t="s">
        <v>766</v>
      </c>
      <c r="G81" s="283" t="s">
        <v>767</v>
      </c>
      <c r="H81" s="228" t="s">
        <v>571</v>
      </c>
      <c r="I81" s="228" t="s">
        <v>572</v>
      </c>
      <c r="J81" s="228" t="s">
        <v>573</v>
      </c>
      <c r="K81" s="228" t="s">
        <v>584</v>
      </c>
      <c r="L81" s="229" t="n">
        <f aca="false">VLOOKUP($H81,$Y$5:$Z$10,2,FALSE())</f>
        <v>0.3</v>
      </c>
      <c r="M81" s="229" t="n">
        <f aca="false">VLOOKUP($I81,$AB$5:$AD$9,IF($K81="No aplicable",3,2),FALSE())</f>
        <v>0.2</v>
      </c>
      <c r="N81" s="229" t="n">
        <f aca="false">VLOOKUP($J81,$AF$5:$AH$9,IF($K81="No aplicable",3,2),FALSE())</f>
        <v>0.15</v>
      </c>
      <c r="O81" s="229" t="str">
        <f aca="false">IF($K81="No aplicable","--",VLOOKUP($K81,$AJ$5:$AK$8,2,FALSE()))</f>
        <v>--</v>
      </c>
      <c r="P81" s="230" t="n">
        <f aca="false">SUM(L81:O81)</f>
        <v>0.65</v>
      </c>
      <c r="Q81" s="314" t="n">
        <f aca="false">AVERAGE(P81:P84)</f>
        <v>0.65</v>
      </c>
      <c r="R81" s="190"/>
    </row>
    <row r="82" customFormat="false" ht="30" hidden="false" customHeight="true" outlineLevel="0" collapsed="false">
      <c r="A82" s="301" t="s">
        <v>426</v>
      </c>
      <c r="B82" s="302" t="s">
        <v>429</v>
      </c>
      <c r="C82" s="302" t="n">
        <v>1</v>
      </c>
      <c r="D82" s="302" t="n">
        <v>2</v>
      </c>
      <c r="E82" s="303" t="s">
        <v>768</v>
      </c>
      <c r="F82" s="258" t="s">
        <v>769</v>
      </c>
      <c r="G82" s="37" t="s">
        <v>770</v>
      </c>
      <c r="H82" s="260" t="s">
        <v>571</v>
      </c>
      <c r="I82" s="260" t="s">
        <v>572</v>
      </c>
      <c r="J82" s="260" t="s">
        <v>573</v>
      </c>
      <c r="K82" s="260" t="s">
        <v>584</v>
      </c>
      <c r="L82" s="244" t="n">
        <f aca="false">VLOOKUP($H82,$Y$5:$Z$10,2,FALSE())</f>
        <v>0.3</v>
      </c>
      <c r="M82" s="244" t="n">
        <f aca="false">VLOOKUP($I82,$AB$5:$AD$9,IF($K82="No aplicable",3,2),FALSE())</f>
        <v>0.2</v>
      </c>
      <c r="N82" s="244" t="n">
        <f aca="false">VLOOKUP($J82,$AF$5:$AH$9,IF($K82="No aplicable",3,2),FALSE())</f>
        <v>0.15</v>
      </c>
      <c r="O82" s="244" t="str">
        <f aca="false">IF($K82="No aplicable","--",VLOOKUP($K82,$AJ$5:$AK$8,2,FALSE()))</f>
        <v>--</v>
      </c>
      <c r="P82" s="261" t="n">
        <f aca="false">SUM(L82:O82)</f>
        <v>0.65</v>
      </c>
      <c r="Q82" s="314"/>
      <c r="R82" s="190"/>
    </row>
    <row r="83" customFormat="false" ht="30" hidden="false" customHeight="true" outlineLevel="0" collapsed="false">
      <c r="A83" s="301" t="s">
        <v>426</v>
      </c>
      <c r="B83" s="302" t="s">
        <v>429</v>
      </c>
      <c r="C83" s="302" t="n">
        <v>1</v>
      </c>
      <c r="D83" s="302" t="n">
        <v>3</v>
      </c>
      <c r="E83" s="303" t="s">
        <v>771</v>
      </c>
      <c r="F83" s="258" t="s">
        <v>772</v>
      </c>
      <c r="G83" s="37" t="s">
        <v>773</v>
      </c>
      <c r="H83" s="260" t="s">
        <v>571</v>
      </c>
      <c r="I83" s="260" t="s">
        <v>572</v>
      </c>
      <c r="J83" s="260" t="s">
        <v>573</v>
      </c>
      <c r="K83" s="260" t="s">
        <v>584</v>
      </c>
      <c r="L83" s="244" t="n">
        <f aca="false">VLOOKUP($H83,$Y$5:$Z$10,2,FALSE())</f>
        <v>0.3</v>
      </c>
      <c r="M83" s="244" t="n">
        <f aca="false">VLOOKUP($I83,$AB$5:$AD$9,IF($K83="No aplicable",3,2),FALSE())</f>
        <v>0.2</v>
      </c>
      <c r="N83" s="244" t="n">
        <f aca="false">VLOOKUP($J83,$AF$5:$AH$9,IF($K83="No aplicable",3,2),FALSE())</f>
        <v>0.15</v>
      </c>
      <c r="O83" s="244" t="str">
        <f aca="false">IF($K83="No aplicable","--",VLOOKUP($K83,$AJ$5:$AK$8,2,FALSE()))</f>
        <v>--</v>
      </c>
      <c r="P83" s="261" t="n">
        <f aca="false">SUM(L83:O83)</f>
        <v>0.65</v>
      </c>
      <c r="Q83" s="314"/>
      <c r="R83" s="190"/>
    </row>
    <row r="84" customFormat="false" ht="30" hidden="false" customHeight="true" outlineLevel="0" collapsed="false">
      <c r="A84" s="297" t="s">
        <v>426</v>
      </c>
      <c r="B84" s="298" t="s">
        <v>429</v>
      </c>
      <c r="C84" s="298" t="n">
        <v>1</v>
      </c>
      <c r="D84" s="298" t="n">
        <v>4</v>
      </c>
      <c r="E84" s="299" t="s">
        <v>774</v>
      </c>
      <c r="F84" s="240" t="s">
        <v>775</v>
      </c>
      <c r="G84" s="282" t="s">
        <v>776</v>
      </c>
      <c r="H84" s="242" t="s">
        <v>571</v>
      </c>
      <c r="I84" s="242" t="s">
        <v>572</v>
      </c>
      <c r="J84" s="242" t="s">
        <v>573</v>
      </c>
      <c r="K84" s="306" t="s">
        <v>584</v>
      </c>
      <c r="L84" s="243" t="n">
        <f aca="false">VLOOKUP($H84,$Y$5:$Z$10,2,FALSE())</f>
        <v>0.3</v>
      </c>
      <c r="M84" s="243" t="n">
        <f aca="false">VLOOKUP($I84,$AB$5:$AD$9,IF($K84="No aplicable",3,2),FALSE())</f>
        <v>0.2</v>
      </c>
      <c r="N84" s="243" t="n">
        <f aca="false">VLOOKUP($J84,$AF$5:$AH$9,IF($K84="No aplicable",3,2),FALSE())</f>
        <v>0.15</v>
      </c>
      <c r="O84" s="243" t="str">
        <f aca="false">IF($K84="No aplicable","--",VLOOKUP($K84,$AJ$5:$AK$8,2,FALSE()))</f>
        <v>--</v>
      </c>
      <c r="P84" s="245" t="n">
        <f aca="false">SUM(L84:O84)</f>
        <v>0.65</v>
      </c>
      <c r="Q84" s="314"/>
      <c r="R84" s="190"/>
    </row>
    <row r="85" customFormat="false" ht="30" hidden="false" customHeight="true" outlineLevel="0" collapsed="false">
      <c r="A85" s="294" t="s">
        <v>426</v>
      </c>
      <c r="B85" s="295" t="s">
        <v>429</v>
      </c>
      <c r="C85" s="295" t="n">
        <v>2</v>
      </c>
      <c r="D85" s="295" t="n">
        <v>1</v>
      </c>
      <c r="E85" s="296" t="s">
        <v>765</v>
      </c>
      <c r="F85" s="226" t="s">
        <v>766</v>
      </c>
      <c r="G85" s="283" t="s">
        <v>777</v>
      </c>
      <c r="H85" s="228" t="s">
        <v>571</v>
      </c>
      <c r="I85" s="228" t="s">
        <v>572</v>
      </c>
      <c r="J85" s="228" t="s">
        <v>573</v>
      </c>
      <c r="K85" s="228" t="s">
        <v>584</v>
      </c>
      <c r="L85" s="229" t="n">
        <f aca="false">VLOOKUP($H85,$Y$5:$Z$10,2,FALSE())</f>
        <v>0.3</v>
      </c>
      <c r="M85" s="229" t="n">
        <f aca="false">VLOOKUP($I85,$AB$5:$AD$9,IF($K85="No aplicable",3,2),FALSE())</f>
        <v>0.2</v>
      </c>
      <c r="N85" s="229" t="n">
        <f aca="false">VLOOKUP($J85,$AF$5:$AH$9,IF($K85="No aplicable",3,2),FALSE())</f>
        <v>0.15</v>
      </c>
      <c r="O85" s="229" t="str">
        <f aca="false">IF($K85="No aplicable","--",VLOOKUP($K85,$AJ$5:$AK$8,2,FALSE()))</f>
        <v>--</v>
      </c>
      <c r="P85" s="230" t="n">
        <f aca="false">SUM(L85:O85)</f>
        <v>0.65</v>
      </c>
      <c r="Q85" s="253" t="n">
        <f aca="false">AVERAGE(P85:P88)</f>
        <v>0.65</v>
      </c>
      <c r="R85" s="190"/>
    </row>
    <row r="86" customFormat="false" ht="30" hidden="false" customHeight="true" outlineLevel="0" collapsed="false">
      <c r="A86" s="301" t="s">
        <v>426</v>
      </c>
      <c r="B86" s="302" t="s">
        <v>429</v>
      </c>
      <c r="C86" s="302" t="n">
        <v>2</v>
      </c>
      <c r="D86" s="302" t="n">
        <v>2</v>
      </c>
      <c r="E86" s="303" t="s">
        <v>768</v>
      </c>
      <c r="F86" s="258" t="s">
        <v>769</v>
      </c>
      <c r="G86" s="37" t="s">
        <v>778</v>
      </c>
      <c r="H86" s="260" t="s">
        <v>571</v>
      </c>
      <c r="I86" s="260" t="s">
        <v>572</v>
      </c>
      <c r="J86" s="260" t="s">
        <v>573</v>
      </c>
      <c r="K86" s="260" t="s">
        <v>584</v>
      </c>
      <c r="L86" s="244" t="n">
        <f aca="false">VLOOKUP($H86,$Y$5:$Z$10,2,FALSE())</f>
        <v>0.3</v>
      </c>
      <c r="M86" s="244" t="n">
        <f aca="false">VLOOKUP($I86,$AB$5:$AD$9,IF($K86="No aplicable",3,2),FALSE())</f>
        <v>0.2</v>
      </c>
      <c r="N86" s="244" t="n">
        <f aca="false">VLOOKUP($J86,$AF$5:$AH$9,IF($K86="No aplicable",3,2),FALSE())</f>
        <v>0.15</v>
      </c>
      <c r="O86" s="244" t="str">
        <f aca="false">IF($K86="No aplicable","--",VLOOKUP($K86,$AJ$5:$AK$8,2,FALSE()))</f>
        <v>--</v>
      </c>
      <c r="P86" s="261" t="n">
        <f aca="false">SUM(L86:O86)</f>
        <v>0.65</v>
      </c>
      <c r="Q86" s="253"/>
      <c r="R86" s="190"/>
    </row>
    <row r="87" customFormat="false" ht="30" hidden="false" customHeight="true" outlineLevel="0" collapsed="false">
      <c r="A87" s="301" t="s">
        <v>426</v>
      </c>
      <c r="B87" s="302" t="s">
        <v>429</v>
      </c>
      <c r="C87" s="302" t="n">
        <v>2</v>
      </c>
      <c r="D87" s="302" t="n">
        <v>3</v>
      </c>
      <c r="E87" s="303" t="s">
        <v>612</v>
      </c>
      <c r="F87" s="258" t="s">
        <v>613</v>
      </c>
      <c r="G87" s="37" t="s">
        <v>779</v>
      </c>
      <c r="H87" s="260" t="s">
        <v>571</v>
      </c>
      <c r="I87" s="260" t="s">
        <v>572</v>
      </c>
      <c r="J87" s="260" t="s">
        <v>573</v>
      </c>
      <c r="K87" s="260" t="s">
        <v>584</v>
      </c>
      <c r="L87" s="244" t="n">
        <f aca="false">VLOOKUP($H87,$Y$5:$Z$10,2,FALSE())</f>
        <v>0.3</v>
      </c>
      <c r="M87" s="244" t="n">
        <f aca="false">VLOOKUP($I87,$AB$5:$AD$9,IF($K87="No aplicable",3,2),FALSE())</f>
        <v>0.2</v>
      </c>
      <c r="N87" s="244" t="n">
        <f aca="false">VLOOKUP($J87,$AF$5:$AH$9,IF($K87="No aplicable",3,2),FALSE())</f>
        <v>0.15</v>
      </c>
      <c r="O87" s="244" t="str">
        <f aca="false">IF($K87="No aplicable","--",VLOOKUP($K87,$AJ$5:$AK$8,2,FALSE()))</f>
        <v>--</v>
      </c>
      <c r="P87" s="261" t="n">
        <f aca="false">SUM(L87:O87)</f>
        <v>0.65</v>
      </c>
      <c r="Q87" s="253"/>
      <c r="R87" s="190"/>
    </row>
    <row r="88" customFormat="false" ht="30" hidden="false" customHeight="true" outlineLevel="0" collapsed="false">
      <c r="A88" s="297" t="s">
        <v>426</v>
      </c>
      <c r="B88" s="298" t="s">
        <v>429</v>
      </c>
      <c r="C88" s="298" t="n">
        <v>2</v>
      </c>
      <c r="D88" s="298" t="n">
        <v>4</v>
      </c>
      <c r="E88" s="299" t="s">
        <v>774</v>
      </c>
      <c r="F88" s="240" t="s">
        <v>775</v>
      </c>
      <c r="G88" s="282" t="s">
        <v>780</v>
      </c>
      <c r="H88" s="242" t="s">
        <v>571</v>
      </c>
      <c r="I88" s="242" t="s">
        <v>572</v>
      </c>
      <c r="J88" s="242" t="s">
        <v>573</v>
      </c>
      <c r="K88" s="306" t="s">
        <v>584</v>
      </c>
      <c r="L88" s="243" t="n">
        <f aca="false">VLOOKUP($H88,$Y$5:$Z$10,2,FALSE())</f>
        <v>0.3</v>
      </c>
      <c r="M88" s="243" t="n">
        <f aca="false">VLOOKUP($I88,$AB$5:$AD$9,IF($K88="No aplicable",3,2),FALSE())</f>
        <v>0.2</v>
      </c>
      <c r="N88" s="243" t="n">
        <f aca="false">VLOOKUP($J88,$AF$5:$AH$9,IF($K88="No aplicable",3,2),FALSE())</f>
        <v>0.15</v>
      </c>
      <c r="O88" s="243" t="str">
        <f aca="false">IF($K88="No aplicable","--",VLOOKUP($K88,$AJ$5:$AK$8,2,FALSE()))</f>
        <v>--</v>
      </c>
      <c r="P88" s="245" t="n">
        <f aca="false">SUM(L88:O88)</f>
        <v>0.65</v>
      </c>
      <c r="Q88" s="253"/>
      <c r="R88" s="190"/>
    </row>
    <row r="89" customFormat="false" ht="30" hidden="false" customHeight="true" outlineLevel="0" collapsed="false">
      <c r="A89" s="309" t="s">
        <v>426</v>
      </c>
      <c r="B89" s="310" t="s">
        <v>429</v>
      </c>
      <c r="C89" s="310" t="n">
        <v>3</v>
      </c>
      <c r="D89" s="310" t="n">
        <v>1</v>
      </c>
      <c r="E89" s="311" t="s">
        <v>781</v>
      </c>
      <c r="F89" s="267" t="s">
        <v>782</v>
      </c>
      <c r="G89" s="286" t="s">
        <v>783</v>
      </c>
      <c r="H89" s="242" t="s">
        <v>571</v>
      </c>
      <c r="I89" s="242" t="s">
        <v>572</v>
      </c>
      <c r="J89" s="242" t="s">
        <v>573</v>
      </c>
      <c r="K89" s="242" t="s">
        <v>584</v>
      </c>
      <c r="L89" s="270" t="n">
        <f aca="false">VLOOKUP($H89,$Y$5:$Z$10,2,FALSE())</f>
        <v>0.3</v>
      </c>
      <c r="M89" s="270" t="n">
        <f aca="false">VLOOKUP($I89,$AB$5:$AD$9,IF($K89="No aplicable",3,2),FALSE())</f>
        <v>0.2</v>
      </c>
      <c r="N89" s="270" t="n">
        <f aca="false">VLOOKUP($J89,$AF$5:$AH$9,IF($K89="No aplicable",3,2),FALSE())</f>
        <v>0.15</v>
      </c>
      <c r="O89" s="270" t="str">
        <f aca="false">IF($K89="No aplicable","--",VLOOKUP($K89,$AJ$5:$AK$8,2,FALSE()))</f>
        <v>--</v>
      </c>
      <c r="P89" s="271" t="n">
        <f aca="false">SUM(L89:O89)</f>
        <v>0.65</v>
      </c>
      <c r="Q89" s="314" t="n">
        <f aca="false">P89</f>
        <v>0.65</v>
      </c>
      <c r="R89" s="190"/>
    </row>
    <row r="90" customFormat="false" ht="30" hidden="false" customHeight="true" outlineLevel="0" collapsed="false">
      <c r="A90" s="309" t="s">
        <v>426</v>
      </c>
      <c r="B90" s="310" t="s">
        <v>429</v>
      </c>
      <c r="C90" s="310" t="n">
        <v>4</v>
      </c>
      <c r="D90" s="310" t="n">
        <v>1</v>
      </c>
      <c r="E90" s="311" t="s">
        <v>739</v>
      </c>
      <c r="F90" s="289" t="s">
        <v>740</v>
      </c>
      <c r="G90" s="286" t="s">
        <v>784</v>
      </c>
      <c r="H90" s="242" t="s">
        <v>571</v>
      </c>
      <c r="I90" s="242" t="s">
        <v>572</v>
      </c>
      <c r="J90" s="242" t="s">
        <v>573</v>
      </c>
      <c r="K90" s="269" t="s">
        <v>603</v>
      </c>
      <c r="L90" s="270" t="n">
        <f aca="false">VLOOKUP($H90,$Y$5:$Z$10,2,FALSE())</f>
        <v>0.3</v>
      </c>
      <c r="M90" s="270" t="n">
        <f aca="false">VLOOKUP($I90,$AB$5:$AD$9,IF($K90="No aplicable",3,2),FALSE())</f>
        <v>0.15</v>
      </c>
      <c r="N90" s="270" t="n">
        <f aca="false">VLOOKUP($J90,$AF$5:$AH$9,IF($K90="No aplicable",3,2),FALSE())</f>
        <v>0.1</v>
      </c>
      <c r="O90" s="270" t="n">
        <f aca="false">IF($K90="No aplicable","--",VLOOKUP($K90,$AJ$5:$AK$8,2,FALSE()))</f>
        <v>0.1</v>
      </c>
      <c r="P90" s="271" t="n">
        <f aca="false">SUM(L90:O90)</f>
        <v>0.65</v>
      </c>
      <c r="Q90" s="253" t="n">
        <f aca="false">P90</f>
        <v>0.65</v>
      </c>
      <c r="R90" s="190"/>
    </row>
    <row r="91" customFormat="false" ht="30" hidden="false" customHeight="true" outlineLevel="0" collapsed="false">
      <c r="A91" s="294" t="s">
        <v>426</v>
      </c>
      <c r="B91" s="295" t="s">
        <v>429</v>
      </c>
      <c r="C91" s="295" t="n">
        <v>5</v>
      </c>
      <c r="D91" s="295" t="n">
        <v>1</v>
      </c>
      <c r="E91" s="296" t="s">
        <v>765</v>
      </c>
      <c r="F91" s="226" t="s">
        <v>766</v>
      </c>
      <c r="G91" s="283" t="s">
        <v>785</v>
      </c>
      <c r="H91" s="228" t="s">
        <v>571</v>
      </c>
      <c r="I91" s="228" t="s">
        <v>572</v>
      </c>
      <c r="J91" s="228" t="s">
        <v>573</v>
      </c>
      <c r="K91" s="228" t="s">
        <v>584</v>
      </c>
      <c r="L91" s="229" t="n">
        <f aca="false">VLOOKUP($H91,$Y$5:$Z$10,2,FALSE())</f>
        <v>0.3</v>
      </c>
      <c r="M91" s="229" t="n">
        <f aca="false">VLOOKUP($I91,$AB$5:$AD$9,IF($K91="No aplicable",3,2),FALSE())</f>
        <v>0.2</v>
      </c>
      <c r="N91" s="229" t="n">
        <f aca="false">VLOOKUP($J91,$AF$5:$AH$9,IF($K91="No aplicable",3,2),FALSE())</f>
        <v>0.15</v>
      </c>
      <c r="O91" s="229" t="str">
        <f aca="false">IF($K91="No aplicable","--",VLOOKUP($K91,$AJ$5:$AK$8,2,FALSE()))</f>
        <v>--</v>
      </c>
      <c r="P91" s="230" t="n">
        <f aca="false">SUM(L91:O91)</f>
        <v>0.65</v>
      </c>
      <c r="Q91" s="314" t="n">
        <f aca="false">AVERAGE(P91:P92)</f>
        <v>0.65</v>
      </c>
      <c r="R91" s="190"/>
    </row>
    <row r="92" customFormat="false" ht="30" hidden="false" customHeight="true" outlineLevel="0" collapsed="false">
      <c r="A92" s="297" t="s">
        <v>426</v>
      </c>
      <c r="B92" s="298" t="s">
        <v>429</v>
      </c>
      <c r="C92" s="298" t="n">
        <v>5</v>
      </c>
      <c r="D92" s="298" t="n">
        <v>2</v>
      </c>
      <c r="E92" s="299" t="s">
        <v>786</v>
      </c>
      <c r="F92" s="240" t="s">
        <v>787</v>
      </c>
      <c r="G92" s="282" t="s">
        <v>788</v>
      </c>
      <c r="H92" s="242" t="s">
        <v>571</v>
      </c>
      <c r="I92" s="242" t="s">
        <v>572</v>
      </c>
      <c r="J92" s="242" t="s">
        <v>573</v>
      </c>
      <c r="K92" s="306" t="s">
        <v>584</v>
      </c>
      <c r="L92" s="244" t="n">
        <f aca="false">VLOOKUP($H92,$Y$5:$Z$10,2,FALSE())</f>
        <v>0.3</v>
      </c>
      <c r="M92" s="244" t="n">
        <f aca="false">VLOOKUP($I92,$AB$5:$AD$9,IF($K92="No aplicable",3,2),FALSE())</f>
        <v>0.2</v>
      </c>
      <c r="N92" s="244" t="n">
        <f aca="false">VLOOKUP($J92,$AF$5:$AH$9,IF($K92="No aplicable",3,2),FALSE())</f>
        <v>0.15</v>
      </c>
      <c r="O92" s="244" t="str">
        <f aca="false">IF($K92="No aplicable","--",VLOOKUP($K92,$AJ$5:$AK$8,2,FALSE()))</f>
        <v>--</v>
      </c>
      <c r="P92" s="261" t="n">
        <f aca="false">SUM(L92:O92)</f>
        <v>0.65</v>
      </c>
      <c r="Q92" s="314"/>
      <c r="R92" s="190"/>
    </row>
    <row r="93" customFormat="false" ht="30" hidden="false" customHeight="true" outlineLevel="0" collapsed="false">
      <c r="A93" s="309" t="s">
        <v>426</v>
      </c>
      <c r="B93" s="310" t="s">
        <v>429</v>
      </c>
      <c r="C93" s="310" t="n">
        <v>6</v>
      </c>
      <c r="D93" s="310" t="n">
        <v>1</v>
      </c>
      <c r="E93" s="311"/>
      <c r="F93" s="285"/>
      <c r="G93" s="286" t="s">
        <v>789</v>
      </c>
      <c r="H93" s="242" t="s">
        <v>571</v>
      </c>
      <c r="I93" s="242" t="s">
        <v>572</v>
      </c>
      <c r="J93" s="242" t="s">
        <v>573</v>
      </c>
      <c r="K93" s="269" t="s">
        <v>574</v>
      </c>
      <c r="L93" s="270" t="n">
        <f aca="false">VLOOKUP($H93,$Y$5:$Z$10,2,FALSE())</f>
        <v>0.3</v>
      </c>
      <c r="M93" s="270" t="n">
        <f aca="false">VLOOKUP($I93,$AB$5:$AD$9,IF($K93="No aplicable",3,2),FALSE())</f>
        <v>0.15</v>
      </c>
      <c r="N93" s="270" t="n">
        <f aca="false">VLOOKUP($J93,$AF$5:$AH$9,IF($K93="No aplicable",3,2),FALSE())</f>
        <v>0.1</v>
      </c>
      <c r="O93" s="270" t="n">
        <f aca="false">IF($K93="No aplicable","--",VLOOKUP($K93,$AJ$5:$AK$8,2,FALSE()))</f>
        <v>0.05</v>
      </c>
      <c r="P93" s="271" t="n">
        <f aca="false">SUM(L93:O93)</f>
        <v>0.6</v>
      </c>
      <c r="Q93" s="253" t="n">
        <f aca="false">P93</f>
        <v>0.6</v>
      </c>
      <c r="R93" s="190"/>
    </row>
    <row r="94" customFormat="false" ht="30" hidden="false" customHeight="true" outlineLevel="0" collapsed="false">
      <c r="A94" s="309" t="s">
        <v>426</v>
      </c>
      <c r="B94" s="310" t="s">
        <v>429</v>
      </c>
      <c r="C94" s="310" t="n">
        <v>7</v>
      </c>
      <c r="D94" s="310" t="n">
        <v>1</v>
      </c>
      <c r="E94" s="311" t="s">
        <v>790</v>
      </c>
      <c r="F94" s="267" t="s">
        <v>791</v>
      </c>
      <c r="G94" s="286" t="s">
        <v>792</v>
      </c>
      <c r="H94" s="242" t="s">
        <v>571</v>
      </c>
      <c r="I94" s="242" t="s">
        <v>572</v>
      </c>
      <c r="J94" s="242" t="s">
        <v>573</v>
      </c>
      <c r="K94" s="242" t="s">
        <v>584</v>
      </c>
      <c r="L94" s="270" t="n">
        <f aca="false">VLOOKUP($H94,$Y$5:$Z$10,2,FALSE())</f>
        <v>0.3</v>
      </c>
      <c r="M94" s="270" t="n">
        <f aca="false">VLOOKUP($I94,$AB$5:$AD$9,IF($K94="No aplicable",3,2),FALSE())</f>
        <v>0.2</v>
      </c>
      <c r="N94" s="270" t="n">
        <f aca="false">VLOOKUP($J94,$AF$5:$AH$9,IF($K94="No aplicable",3,2),FALSE())</f>
        <v>0.15</v>
      </c>
      <c r="O94" s="270" t="str">
        <f aca="false">IF($K94="No aplicable","--",VLOOKUP($K94,$AJ$5:$AK$8,2,FALSE()))</f>
        <v>--</v>
      </c>
      <c r="P94" s="271" t="n">
        <f aca="false">SUM(L94:O94)</f>
        <v>0.65</v>
      </c>
      <c r="Q94" s="314" t="n">
        <f aca="false">P94</f>
        <v>0.65</v>
      </c>
      <c r="R94" s="190"/>
    </row>
    <row r="95" customFormat="false" ht="30" hidden="false" customHeight="true" outlineLevel="0" collapsed="false">
      <c r="A95" s="294" t="s">
        <v>426</v>
      </c>
      <c r="B95" s="295" t="s">
        <v>429</v>
      </c>
      <c r="C95" s="295" t="n">
        <v>8</v>
      </c>
      <c r="D95" s="295" t="n">
        <v>1</v>
      </c>
      <c r="E95" s="296"/>
      <c r="F95" s="318"/>
      <c r="G95" s="293" t="s">
        <v>793</v>
      </c>
      <c r="H95" s="242" t="s">
        <v>571</v>
      </c>
      <c r="I95" s="242" t="s">
        <v>572</v>
      </c>
      <c r="J95" s="242" t="s">
        <v>573</v>
      </c>
      <c r="K95" s="242" t="s">
        <v>584</v>
      </c>
      <c r="L95" s="270" t="n">
        <f aca="false">VLOOKUP($H95,$Y$5:$Z$10,2,FALSE())</f>
        <v>0.3</v>
      </c>
      <c r="M95" s="270" t="n">
        <f aca="false">VLOOKUP($I95,$AB$5:$AD$9,IF($K95="No aplicable",3,2),FALSE())</f>
        <v>0.2</v>
      </c>
      <c r="N95" s="270" t="n">
        <f aca="false">VLOOKUP($J95,$AF$5:$AH$9,IF($K95="No aplicable",3,2),FALSE())</f>
        <v>0.15</v>
      </c>
      <c r="O95" s="270" t="str">
        <f aca="false">IF($K95="No aplicable","--",VLOOKUP($K95,$AJ$5:$AK$8,2,FALSE()))</f>
        <v>--</v>
      </c>
      <c r="P95" s="271" t="n">
        <f aca="false">SUM(L95:O95)</f>
        <v>0.65</v>
      </c>
      <c r="Q95" s="314" t="n">
        <f aca="false">P95</f>
        <v>0.65</v>
      </c>
      <c r="R95" s="190"/>
    </row>
    <row r="96" customFormat="false" ht="30" hidden="false" customHeight="true" outlineLevel="0" collapsed="false">
      <c r="A96" s="294" t="s">
        <v>426</v>
      </c>
      <c r="B96" s="295" t="s">
        <v>430</v>
      </c>
      <c r="C96" s="295" t="n">
        <v>1</v>
      </c>
      <c r="D96" s="295" t="n">
        <v>1</v>
      </c>
      <c r="E96" s="296" t="s">
        <v>794</v>
      </c>
      <c r="F96" s="226" t="s">
        <v>795</v>
      </c>
      <c r="G96" s="283" t="s">
        <v>796</v>
      </c>
      <c r="H96" s="228" t="s">
        <v>571</v>
      </c>
      <c r="I96" s="228" t="s">
        <v>572</v>
      </c>
      <c r="J96" s="228" t="s">
        <v>573</v>
      </c>
      <c r="K96" s="228" t="s">
        <v>584</v>
      </c>
      <c r="L96" s="229" t="n">
        <f aca="false">VLOOKUP($H96,$Y$5:$Z$10,2,FALSE())</f>
        <v>0.3</v>
      </c>
      <c r="M96" s="229" t="n">
        <f aca="false">VLOOKUP($I96,$AB$5:$AD$9,IF($K96="No aplicable",3,2),FALSE())</f>
        <v>0.2</v>
      </c>
      <c r="N96" s="229" t="n">
        <f aca="false">VLOOKUP($J96,$AF$5:$AH$9,IF($K96="No aplicable",3,2),FALSE())</f>
        <v>0.15</v>
      </c>
      <c r="O96" s="229" t="str">
        <f aca="false">IF($K96="No aplicable","--",VLOOKUP($K96,$AJ$5:$AK$8,2,FALSE()))</f>
        <v>--</v>
      </c>
      <c r="P96" s="230" t="n">
        <f aca="false">SUM(L96:O96)</f>
        <v>0.65</v>
      </c>
      <c r="Q96" s="253" t="n">
        <f aca="false">AVERAGE(P96:P98)</f>
        <v>0.65</v>
      </c>
      <c r="R96" s="190"/>
    </row>
    <row r="97" customFormat="false" ht="30" hidden="false" customHeight="true" outlineLevel="0" collapsed="false">
      <c r="A97" s="301" t="s">
        <v>426</v>
      </c>
      <c r="B97" s="302" t="s">
        <v>430</v>
      </c>
      <c r="C97" s="302" t="n">
        <v>1</v>
      </c>
      <c r="D97" s="302" t="n">
        <v>2</v>
      </c>
      <c r="E97" s="303" t="s">
        <v>797</v>
      </c>
      <c r="F97" s="258" t="s">
        <v>798</v>
      </c>
      <c r="G97" s="37" t="s">
        <v>799</v>
      </c>
      <c r="H97" s="260" t="s">
        <v>571</v>
      </c>
      <c r="I97" s="260" t="s">
        <v>572</v>
      </c>
      <c r="J97" s="260" t="s">
        <v>573</v>
      </c>
      <c r="K97" s="260" t="s">
        <v>584</v>
      </c>
      <c r="L97" s="244" t="n">
        <f aca="false">VLOOKUP($H97,$Y$5:$Z$10,2,FALSE())</f>
        <v>0.3</v>
      </c>
      <c r="M97" s="244" t="n">
        <f aca="false">VLOOKUP($I97,$AB$5:$AD$9,IF($K97="No aplicable",3,2),FALSE())</f>
        <v>0.2</v>
      </c>
      <c r="N97" s="244" t="n">
        <f aca="false">VLOOKUP($J97,$AF$5:$AH$9,IF($K97="No aplicable",3,2),FALSE())</f>
        <v>0.15</v>
      </c>
      <c r="O97" s="244" t="str">
        <f aca="false">IF($K97="No aplicable","--",VLOOKUP($K97,$AJ$5:$AK$8,2,FALSE()))</f>
        <v>--</v>
      </c>
      <c r="P97" s="261" t="n">
        <f aca="false">SUM(L97:O97)</f>
        <v>0.65</v>
      </c>
      <c r="Q97" s="253"/>
      <c r="R97" s="190"/>
    </row>
    <row r="98" customFormat="false" ht="30" hidden="false" customHeight="true" outlineLevel="0" collapsed="false">
      <c r="A98" s="297" t="s">
        <v>426</v>
      </c>
      <c r="B98" s="298" t="s">
        <v>430</v>
      </c>
      <c r="C98" s="298" t="n">
        <v>1</v>
      </c>
      <c r="D98" s="298" t="n">
        <v>3</v>
      </c>
      <c r="E98" s="299" t="s">
        <v>800</v>
      </c>
      <c r="F98" s="240" t="s">
        <v>801</v>
      </c>
      <c r="G98" s="282" t="s">
        <v>802</v>
      </c>
      <c r="H98" s="242" t="s">
        <v>571</v>
      </c>
      <c r="I98" s="242" t="s">
        <v>572</v>
      </c>
      <c r="J98" s="242" t="s">
        <v>573</v>
      </c>
      <c r="K98" s="306" t="s">
        <v>584</v>
      </c>
      <c r="L98" s="307" t="n">
        <f aca="false">VLOOKUP($H98,$Y$5:$Z$10,2,FALSE())</f>
        <v>0.3</v>
      </c>
      <c r="M98" s="307" t="n">
        <f aca="false">VLOOKUP($I98,$AB$5:$AD$9,IF($K98="No aplicable",3,2),FALSE())</f>
        <v>0.2</v>
      </c>
      <c r="N98" s="307" t="n">
        <f aca="false">VLOOKUP($J98,$AF$5:$AH$9,IF($K98="No aplicable",3,2),FALSE())</f>
        <v>0.15</v>
      </c>
      <c r="O98" s="307" t="str">
        <f aca="false">IF($K98="No aplicable","--",VLOOKUP($K98,$AJ$5:$AK$8,2,FALSE()))</f>
        <v>--</v>
      </c>
      <c r="P98" s="308" t="n">
        <f aca="false">SUM(L98:O98)</f>
        <v>0.65</v>
      </c>
      <c r="Q98" s="253"/>
      <c r="R98" s="190"/>
    </row>
    <row r="99" customFormat="false" ht="30" hidden="false" customHeight="true" outlineLevel="0" collapsed="false">
      <c r="A99" s="309" t="s">
        <v>426</v>
      </c>
      <c r="B99" s="310" t="s">
        <v>430</v>
      </c>
      <c r="C99" s="310" t="n">
        <v>2</v>
      </c>
      <c r="D99" s="310" t="n">
        <v>1</v>
      </c>
      <c r="E99" s="311" t="s">
        <v>739</v>
      </c>
      <c r="F99" s="289" t="s">
        <v>740</v>
      </c>
      <c r="G99" s="286" t="s">
        <v>803</v>
      </c>
      <c r="H99" s="242" t="s">
        <v>571</v>
      </c>
      <c r="I99" s="242" t="s">
        <v>572</v>
      </c>
      <c r="J99" s="242" t="s">
        <v>573</v>
      </c>
      <c r="K99" s="242" t="s">
        <v>584</v>
      </c>
      <c r="L99" s="270" t="n">
        <f aca="false">VLOOKUP($H99,$Y$5:$Z$10,2,FALSE())</f>
        <v>0.3</v>
      </c>
      <c r="M99" s="270" t="n">
        <f aca="false">VLOOKUP($I99,$AB$5:$AD$9,IF($K99="No aplicable",3,2),FALSE())</f>
        <v>0.2</v>
      </c>
      <c r="N99" s="270" t="n">
        <f aca="false">VLOOKUP($J99,$AF$5:$AH$9,IF($K99="No aplicable",3,2),FALSE())</f>
        <v>0.15</v>
      </c>
      <c r="O99" s="270" t="str">
        <f aca="false">IF($K99="No aplicable","--",VLOOKUP($K99,$AJ$5:$AK$8,2,FALSE()))</f>
        <v>--</v>
      </c>
      <c r="P99" s="271" t="n">
        <f aca="false">SUM(L99:O99)</f>
        <v>0.65</v>
      </c>
      <c r="Q99" s="314" t="n">
        <f aca="false">P99</f>
        <v>0.65</v>
      </c>
      <c r="R99" s="190"/>
    </row>
    <row r="100" customFormat="false" ht="30" hidden="false" customHeight="true" outlineLevel="0" collapsed="false">
      <c r="A100" s="294" t="s">
        <v>426</v>
      </c>
      <c r="B100" s="295" t="s">
        <v>430</v>
      </c>
      <c r="C100" s="295" t="n">
        <v>3</v>
      </c>
      <c r="D100" s="295" t="n">
        <v>1</v>
      </c>
      <c r="E100" s="296" t="s">
        <v>771</v>
      </c>
      <c r="F100" s="226" t="s">
        <v>772</v>
      </c>
      <c r="G100" s="283" t="s">
        <v>804</v>
      </c>
      <c r="H100" s="228" t="s">
        <v>571</v>
      </c>
      <c r="I100" s="228" t="s">
        <v>572</v>
      </c>
      <c r="J100" s="228" t="s">
        <v>573</v>
      </c>
      <c r="K100" s="228" t="s">
        <v>584</v>
      </c>
      <c r="L100" s="229" t="n">
        <f aca="false">VLOOKUP($H100,$Y$5:$Z$10,2,FALSE())</f>
        <v>0.3</v>
      </c>
      <c r="M100" s="229" t="n">
        <f aca="false">VLOOKUP($I100,$AB$5:$AD$9,IF($K100="No aplicable",3,2),FALSE())</f>
        <v>0.2</v>
      </c>
      <c r="N100" s="229" t="n">
        <f aca="false">VLOOKUP($J100,$AF$5:$AH$9,IF($K100="No aplicable",3,2),FALSE())</f>
        <v>0.15</v>
      </c>
      <c r="O100" s="229" t="str">
        <f aca="false">IF($K100="No aplicable","--",VLOOKUP($K100,$AJ$5:$AK$8,2,FALSE()))</f>
        <v>--</v>
      </c>
      <c r="P100" s="230" t="n">
        <f aca="false">SUM(L100:O100)</f>
        <v>0.65</v>
      </c>
      <c r="Q100" s="253" t="n">
        <f aca="false">AVERAGE(P100:P101)</f>
        <v>0.625</v>
      </c>
      <c r="R100" s="190"/>
    </row>
    <row r="101" customFormat="false" ht="30" hidden="false" customHeight="true" outlineLevel="0" collapsed="false">
      <c r="A101" s="297" t="s">
        <v>426</v>
      </c>
      <c r="B101" s="298" t="s">
        <v>430</v>
      </c>
      <c r="C101" s="298" t="n">
        <v>3</v>
      </c>
      <c r="D101" s="298" t="n">
        <v>2</v>
      </c>
      <c r="E101" s="299" t="s">
        <v>805</v>
      </c>
      <c r="F101" s="240" t="s">
        <v>806</v>
      </c>
      <c r="G101" s="282" t="s">
        <v>807</v>
      </c>
      <c r="H101" s="242" t="s">
        <v>571</v>
      </c>
      <c r="I101" s="242" t="s">
        <v>572</v>
      </c>
      <c r="J101" s="242" t="s">
        <v>573</v>
      </c>
      <c r="K101" s="306" t="s">
        <v>574</v>
      </c>
      <c r="L101" s="244" t="n">
        <f aca="false">VLOOKUP($H101,$Y$5:$Z$10,2,FALSE())</f>
        <v>0.3</v>
      </c>
      <c r="M101" s="244" t="n">
        <f aca="false">VLOOKUP($I101,$AB$5:$AD$9,IF($K101="No aplicable",3,2),FALSE())</f>
        <v>0.15</v>
      </c>
      <c r="N101" s="244" t="n">
        <f aca="false">VLOOKUP($J101,$AF$5:$AH$9,IF($K101="No aplicable",3,2),FALSE())</f>
        <v>0.1</v>
      </c>
      <c r="O101" s="244" t="n">
        <f aca="false">IF($K101="No aplicable","--",VLOOKUP($K101,$AJ$5:$AK$8,2,FALSE()))</f>
        <v>0.05</v>
      </c>
      <c r="P101" s="261" t="n">
        <f aca="false">SUM(L101:O101)</f>
        <v>0.6</v>
      </c>
      <c r="Q101" s="253"/>
      <c r="R101" s="190"/>
    </row>
    <row r="102" customFormat="false" ht="30" hidden="false" customHeight="true" outlineLevel="0" collapsed="false">
      <c r="A102" s="309" t="s">
        <v>426</v>
      </c>
      <c r="B102" s="310" t="s">
        <v>430</v>
      </c>
      <c r="C102" s="310" t="n">
        <v>4</v>
      </c>
      <c r="D102" s="310" t="n">
        <v>1</v>
      </c>
      <c r="E102" s="311" t="s">
        <v>808</v>
      </c>
      <c r="F102" s="289" t="s">
        <v>740</v>
      </c>
      <c r="G102" s="286" t="s">
        <v>809</v>
      </c>
      <c r="H102" s="242" t="s">
        <v>571</v>
      </c>
      <c r="I102" s="242" t="s">
        <v>572</v>
      </c>
      <c r="J102" s="242" t="s">
        <v>573</v>
      </c>
      <c r="K102" s="242" t="s">
        <v>584</v>
      </c>
      <c r="L102" s="270" t="n">
        <f aca="false">VLOOKUP($H102,$Y$5:$Z$10,2,FALSE())</f>
        <v>0.3</v>
      </c>
      <c r="M102" s="270" t="n">
        <f aca="false">VLOOKUP($I102,$AB$5:$AD$9,IF($K102="No aplicable",3,2),FALSE())</f>
        <v>0.2</v>
      </c>
      <c r="N102" s="270" t="n">
        <f aca="false">VLOOKUP($J102,$AF$5:$AH$9,IF($K102="No aplicable",3,2),FALSE())</f>
        <v>0.15</v>
      </c>
      <c r="O102" s="270" t="str">
        <f aca="false">IF($K102="No aplicable","--",VLOOKUP($K102,$AJ$5:$AK$8,2,FALSE()))</f>
        <v>--</v>
      </c>
      <c r="P102" s="271" t="n">
        <f aca="false">SUM(L102:O102)</f>
        <v>0.65</v>
      </c>
      <c r="Q102" s="314" t="n">
        <f aca="false">P102</f>
        <v>0.65</v>
      </c>
      <c r="R102" s="190"/>
    </row>
    <row r="103" customFormat="false" ht="30" hidden="false" customHeight="true" outlineLevel="0" collapsed="false">
      <c r="A103" s="309" t="s">
        <v>426</v>
      </c>
      <c r="B103" s="310" t="s">
        <v>430</v>
      </c>
      <c r="C103" s="310" t="n">
        <v>5</v>
      </c>
      <c r="D103" s="310" t="n">
        <v>1</v>
      </c>
      <c r="E103" s="311" t="s">
        <v>733</v>
      </c>
      <c r="F103" s="267" t="s">
        <v>734</v>
      </c>
      <c r="G103" s="319" t="s">
        <v>810</v>
      </c>
      <c r="H103" s="242" t="s">
        <v>571</v>
      </c>
      <c r="I103" s="242" t="s">
        <v>572</v>
      </c>
      <c r="J103" s="242" t="s">
        <v>573</v>
      </c>
      <c r="K103" s="242" t="s">
        <v>584</v>
      </c>
      <c r="L103" s="270" t="n">
        <f aca="false">VLOOKUP($H103,$Y$5:$Z$10,2,FALSE())</f>
        <v>0.3</v>
      </c>
      <c r="M103" s="270" t="n">
        <f aca="false">VLOOKUP($I103,$AB$5:$AD$9,IF($K103="No aplicable",3,2),FALSE())</f>
        <v>0.2</v>
      </c>
      <c r="N103" s="270" t="n">
        <f aca="false">VLOOKUP($J103,$AF$5:$AH$9,IF($K103="No aplicable",3,2),FALSE())</f>
        <v>0.15</v>
      </c>
      <c r="O103" s="270" t="str">
        <f aca="false">IF($K103="No aplicable","--",VLOOKUP($K103,$AJ$5:$AK$8,2,FALSE()))</f>
        <v>--</v>
      </c>
      <c r="P103" s="271" t="n">
        <f aca="false">SUM(L103:O103)</f>
        <v>0.65</v>
      </c>
      <c r="Q103" s="253" t="n">
        <f aca="false">P103</f>
        <v>0.65</v>
      </c>
      <c r="R103" s="190"/>
    </row>
    <row r="104" customFormat="false" ht="30" hidden="false" customHeight="true" outlineLevel="0" collapsed="false">
      <c r="A104" s="309" t="s">
        <v>426</v>
      </c>
      <c r="B104" s="310" t="s">
        <v>430</v>
      </c>
      <c r="C104" s="310" t="n">
        <v>6</v>
      </c>
      <c r="D104" s="310" t="n">
        <v>1</v>
      </c>
      <c r="E104" s="311" t="s">
        <v>781</v>
      </c>
      <c r="F104" s="267" t="s">
        <v>782</v>
      </c>
      <c r="G104" s="286" t="s">
        <v>811</v>
      </c>
      <c r="H104" s="242" t="s">
        <v>571</v>
      </c>
      <c r="I104" s="242" t="s">
        <v>572</v>
      </c>
      <c r="J104" s="242" t="s">
        <v>573</v>
      </c>
      <c r="K104" s="242" t="s">
        <v>584</v>
      </c>
      <c r="L104" s="270" t="n">
        <f aca="false">VLOOKUP($H104,$Y$5:$Z$10,2,FALSE())</f>
        <v>0.3</v>
      </c>
      <c r="M104" s="270" t="n">
        <f aca="false">VLOOKUP($I104,$AB$5:$AD$9,IF($K104="No aplicable",3,2),FALSE())</f>
        <v>0.2</v>
      </c>
      <c r="N104" s="270" t="n">
        <f aca="false">VLOOKUP($J104,$AF$5:$AH$9,IF($K104="No aplicable",3,2),FALSE())</f>
        <v>0.15</v>
      </c>
      <c r="O104" s="270" t="str">
        <f aca="false">IF($K104="No aplicable","--",VLOOKUP($K104,$AJ$5:$AK$8,2,FALSE()))</f>
        <v>--</v>
      </c>
      <c r="P104" s="271" t="n">
        <f aca="false">SUM(L104:O104)</f>
        <v>0.65</v>
      </c>
      <c r="Q104" s="314" t="n">
        <f aca="false">P104</f>
        <v>0.65</v>
      </c>
      <c r="R104" s="190"/>
    </row>
    <row r="105" customFormat="false" ht="30" hidden="false" customHeight="true" outlineLevel="0" collapsed="false">
      <c r="A105" s="294" t="s">
        <v>426</v>
      </c>
      <c r="B105" s="295" t="s">
        <v>430</v>
      </c>
      <c r="C105" s="295" t="n">
        <v>7</v>
      </c>
      <c r="D105" s="295" t="n">
        <v>1</v>
      </c>
      <c r="E105" s="296" t="s">
        <v>812</v>
      </c>
      <c r="F105" s="226" t="s">
        <v>813</v>
      </c>
      <c r="G105" s="283" t="s">
        <v>814</v>
      </c>
      <c r="H105" s="228" t="s">
        <v>571</v>
      </c>
      <c r="I105" s="228" t="s">
        <v>572</v>
      </c>
      <c r="J105" s="228" t="s">
        <v>573</v>
      </c>
      <c r="K105" s="228" t="s">
        <v>584</v>
      </c>
      <c r="L105" s="229" t="n">
        <f aca="false">VLOOKUP($H105,$Y$5:$Z$10,2,FALSE())</f>
        <v>0.3</v>
      </c>
      <c r="M105" s="229" t="n">
        <f aca="false">VLOOKUP($I105,$AB$5:$AD$9,IF($K105="No aplicable",3,2),FALSE())</f>
        <v>0.2</v>
      </c>
      <c r="N105" s="229" t="n">
        <f aca="false">VLOOKUP($J105,$AF$5:$AH$9,IF($K105="No aplicable",3,2),FALSE())</f>
        <v>0.15</v>
      </c>
      <c r="O105" s="229" t="str">
        <f aca="false">IF($K105="No aplicable","--",VLOOKUP($K105,$AJ$5:$AK$8,2,FALSE()))</f>
        <v>--</v>
      </c>
      <c r="P105" s="230" t="n">
        <f aca="false">SUM(L105:O105)</f>
        <v>0.65</v>
      </c>
      <c r="Q105" s="253" t="n">
        <f aca="false">AVERAGE(P105:P106)</f>
        <v>0.65</v>
      </c>
      <c r="R105" s="190"/>
    </row>
    <row r="106" customFormat="false" ht="30" hidden="false" customHeight="true" outlineLevel="0" collapsed="false">
      <c r="A106" s="297" t="s">
        <v>426</v>
      </c>
      <c r="B106" s="298" t="s">
        <v>430</v>
      </c>
      <c r="C106" s="298" t="n">
        <v>7</v>
      </c>
      <c r="D106" s="298" t="n">
        <v>2</v>
      </c>
      <c r="E106" s="299" t="s">
        <v>815</v>
      </c>
      <c r="F106" s="240" t="s">
        <v>816</v>
      </c>
      <c r="G106" s="282" t="s">
        <v>817</v>
      </c>
      <c r="H106" s="260" t="s">
        <v>571</v>
      </c>
      <c r="I106" s="260" t="s">
        <v>572</v>
      </c>
      <c r="J106" s="260" t="s">
        <v>573</v>
      </c>
      <c r="K106" s="260" t="s">
        <v>584</v>
      </c>
      <c r="L106" s="244" t="n">
        <f aca="false">VLOOKUP($H106,$Y$5:$Z$10,2,FALSE())</f>
        <v>0.3</v>
      </c>
      <c r="M106" s="244" t="n">
        <f aca="false">VLOOKUP($I106,$AB$5:$AD$9,IF($K106="No aplicable",3,2),FALSE())</f>
        <v>0.2</v>
      </c>
      <c r="N106" s="244" t="n">
        <f aca="false">VLOOKUP($J106,$AF$5:$AH$9,IF($K106="No aplicable",3,2),FALSE())</f>
        <v>0.15</v>
      </c>
      <c r="O106" s="244" t="str">
        <f aca="false">IF($K106="No aplicable","--",VLOOKUP($K106,$AJ$5:$AK$8,2,FALSE()))</f>
        <v>--</v>
      </c>
      <c r="P106" s="261" t="n">
        <f aca="false">SUM(L106:O106)</f>
        <v>0.65</v>
      </c>
      <c r="Q106" s="253"/>
      <c r="R106" s="190"/>
    </row>
    <row r="107" customFormat="false" ht="30" hidden="false" customHeight="true" outlineLevel="0" collapsed="false">
      <c r="A107" s="309" t="s">
        <v>426</v>
      </c>
      <c r="B107" s="310" t="s">
        <v>430</v>
      </c>
      <c r="C107" s="310" t="n">
        <v>8</v>
      </c>
      <c r="D107" s="310" t="n">
        <v>1</v>
      </c>
      <c r="E107" s="311"/>
      <c r="F107" s="285"/>
      <c r="G107" s="286" t="s">
        <v>818</v>
      </c>
      <c r="H107" s="269" t="s">
        <v>598</v>
      </c>
      <c r="I107" s="269" t="s">
        <v>572</v>
      </c>
      <c r="J107" s="269" t="s">
        <v>589</v>
      </c>
      <c r="K107" s="269" t="s">
        <v>584</v>
      </c>
      <c r="L107" s="270" t="n">
        <f aca="false">VLOOKUP($H107,$Y$5:$Z$10,2,FALSE())</f>
        <v>0.2</v>
      </c>
      <c r="M107" s="270" t="n">
        <f aca="false">VLOOKUP($I107,$AB$5:$AD$9,IF($K107="No aplicable",3,2),FALSE())</f>
        <v>0.2</v>
      </c>
      <c r="N107" s="270" t="n">
        <f aca="false">VLOOKUP($J107,$AF$5:$AH$9,IF($K107="No aplicable",3,2),FALSE())</f>
        <v>0</v>
      </c>
      <c r="O107" s="270" t="str">
        <f aca="false">IF($K107="No aplicable","--",VLOOKUP($K107,$AJ$5:$AK$8,2,FALSE()))</f>
        <v>--</v>
      </c>
      <c r="P107" s="271" t="n">
        <f aca="false">SUM(L107:O107)</f>
        <v>0.4</v>
      </c>
      <c r="Q107" s="314" t="n">
        <f aca="false">P107</f>
        <v>0.4</v>
      </c>
      <c r="R107" s="190"/>
    </row>
    <row r="108" customFormat="false" ht="30" hidden="false" customHeight="true" outlineLevel="0" collapsed="false">
      <c r="A108" s="309" t="s">
        <v>426</v>
      </c>
      <c r="B108" s="310" t="s">
        <v>430</v>
      </c>
      <c r="C108" s="310" t="n">
        <v>9</v>
      </c>
      <c r="D108" s="310" t="n">
        <v>1</v>
      </c>
      <c r="E108" s="311" t="s">
        <v>819</v>
      </c>
      <c r="F108" s="267" t="s">
        <v>820</v>
      </c>
      <c r="G108" s="286" t="s">
        <v>821</v>
      </c>
      <c r="H108" s="242" t="s">
        <v>571</v>
      </c>
      <c r="I108" s="242" t="s">
        <v>572</v>
      </c>
      <c r="J108" s="242" t="s">
        <v>573</v>
      </c>
      <c r="K108" s="242" t="s">
        <v>584</v>
      </c>
      <c r="L108" s="270" t="n">
        <f aca="false">VLOOKUP($H108,$Y$5:$Z$10,2,FALSE())</f>
        <v>0.3</v>
      </c>
      <c r="M108" s="270" t="n">
        <f aca="false">VLOOKUP($I108,$AB$5:$AD$9,IF($K108="No aplicable",3,2),FALSE())</f>
        <v>0.2</v>
      </c>
      <c r="N108" s="270" t="n">
        <f aca="false">VLOOKUP($J108,$AF$5:$AH$9,IF($K108="No aplicable",3,2),FALSE())</f>
        <v>0.15</v>
      </c>
      <c r="O108" s="270" t="str">
        <f aca="false">IF($K108="No aplicable","--",VLOOKUP($K108,$AJ$5:$AK$8,2,FALSE()))</f>
        <v>--</v>
      </c>
      <c r="P108" s="271" t="n">
        <f aca="false">SUM(L108:O108)</f>
        <v>0.65</v>
      </c>
      <c r="Q108" s="253" t="n">
        <f aca="false">P108</f>
        <v>0.65</v>
      </c>
      <c r="R108" s="190"/>
    </row>
    <row r="109" customFormat="false" ht="30" hidden="false" customHeight="true" outlineLevel="0" collapsed="false">
      <c r="A109" s="309" t="s">
        <v>426</v>
      </c>
      <c r="B109" s="310" t="s">
        <v>430</v>
      </c>
      <c r="C109" s="310" t="n">
        <v>10</v>
      </c>
      <c r="D109" s="310" t="n">
        <v>1</v>
      </c>
      <c r="E109" s="311" t="s">
        <v>822</v>
      </c>
      <c r="F109" s="267" t="s">
        <v>823</v>
      </c>
      <c r="G109" s="286" t="s">
        <v>824</v>
      </c>
      <c r="H109" s="242" t="s">
        <v>571</v>
      </c>
      <c r="I109" s="242" t="s">
        <v>572</v>
      </c>
      <c r="J109" s="242" t="s">
        <v>573</v>
      </c>
      <c r="K109" s="242" t="s">
        <v>584</v>
      </c>
      <c r="L109" s="270" t="n">
        <f aca="false">VLOOKUP($H109,$Y$5:$Z$10,2,FALSE())</f>
        <v>0.3</v>
      </c>
      <c r="M109" s="270" t="n">
        <f aca="false">VLOOKUP($I109,$AB$5:$AD$9,IF($K109="No aplicable",3,2),FALSE())</f>
        <v>0.2</v>
      </c>
      <c r="N109" s="270" t="n">
        <f aca="false">VLOOKUP($J109,$AF$5:$AH$9,IF($K109="No aplicable",3,2),FALSE())</f>
        <v>0.15</v>
      </c>
      <c r="O109" s="270" t="str">
        <f aca="false">IF($K109="No aplicable","--",VLOOKUP($K109,$AJ$5:$AK$8,2,FALSE()))</f>
        <v>--</v>
      </c>
      <c r="P109" s="271" t="n">
        <f aca="false">SUM(L109:O109)</f>
        <v>0.65</v>
      </c>
      <c r="Q109" s="314" t="n">
        <f aca="false">P109</f>
        <v>0.65</v>
      </c>
      <c r="R109" s="190"/>
    </row>
    <row r="110" customFormat="false" ht="30" hidden="false" customHeight="true" outlineLevel="0" collapsed="false">
      <c r="A110" s="294" t="s">
        <v>426</v>
      </c>
      <c r="B110" s="295" t="s">
        <v>430</v>
      </c>
      <c r="C110" s="295" t="n">
        <v>11</v>
      </c>
      <c r="D110" s="295" t="n">
        <v>1</v>
      </c>
      <c r="E110" s="296" t="s">
        <v>825</v>
      </c>
      <c r="F110" s="226" t="s">
        <v>826</v>
      </c>
      <c r="G110" s="283" t="s">
        <v>827</v>
      </c>
      <c r="H110" s="228" t="s">
        <v>571</v>
      </c>
      <c r="I110" s="228" t="s">
        <v>572</v>
      </c>
      <c r="J110" s="228" t="s">
        <v>573</v>
      </c>
      <c r="K110" s="228" t="s">
        <v>584</v>
      </c>
      <c r="L110" s="229" t="n">
        <f aca="false">VLOOKUP($H110,$Y$5:$Z$10,2,FALSE())</f>
        <v>0.3</v>
      </c>
      <c r="M110" s="229" t="n">
        <f aca="false">VLOOKUP($I110,$AB$5:$AD$9,IF($K110="No aplicable",3,2),FALSE())</f>
        <v>0.2</v>
      </c>
      <c r="N110" s="229" t="n">
        <f aca="false">VLOOKUP($J110,$AF$5:$AH$9,IF($K110="No aplicable",3,2),FALSE())</f>
        <v>0.15</v>
      </c>
      <c r="O110" s="229" t="str">
        <f aca="false">IF($K110="No aplicable","--",VLOOKUP($K110,$AJ$5:$AK$8,2,FALSE()))</f>
        <v>--</v>
      </c>
      <c r="P110" s="230" t="n">
        <f aca="false">SUM(L110:O110)</f>
        <v>0.65</v>
      </c>
      <c r="Q110" s="253" t="n">
        <f aca="false">AVERAGE(P110:P114)</f>
        <v>0.59</v>
      </c>
      <c r="R110" s="190"/>
    </row>
    <row r="111" customFormat="false" ht="30" hidden="false" customHeight="true" outlineLevel="0" collapsed="false">
      <c r="A111" s="301" t="s">
        <v>426</v>
      </c>
      <c r="B111" s="302" t="s">
        <v>430</v>
      </c>
      <c r="C111" s="302" t="n">
        <v>11</v>
      </c>
      <c r="D111" s="302" t="n">
        <v>2</v>
      </c>
      <c r="E111" s="303" t="s">
        <v>756</v>
      </c>
      <c r="F111" s="291" t="s">
        <v>757</v>
      </c>
      <c r="G111" s="37" t="s">
        <v>828</v>
      </c>
      <c r="H111" s="260" t="s">
        <v>571</v>
      </c>
      <c r="I111" s="260" t="s">
        <v>572</v>
      </c>
      <c r="J111" s="260" t="s">
        <v>573</v>
      </c>
      <c r="K111" s="260" t="s">
        <v>584</v>
      </c>
      <c r="L111" s="244" t="n">
        <f aca="false">VLOOKUP($H111,$Y$5:$Z$10,2,FALSE())</f>
        <v>0.3</v>
      </c>
      <c r="M111" s="244" t="n">
        <f aca="false">VLOOKUP($I111,$AB$5:$AD$9,IF($K111="No aplicable",3,2),FALSE())</f>
        <v>0.2</v>
      </c>
      <c r="N111" s="244" t="n">
        <f aca="false">VLOOKUP($J111,$AF$5:$AH$9,IF($K111="No aplicable",3,2),FALSE())</f>
        <v>0.15</v>
      </c>
      <c r="O111" s="244" t="str">
        <f aca="false">IF($K111="No aplicable","--",VLOOKUP($K111,$AJ$5:$AK$8,2,FALSE()))</f>
        <v>--</v>
      </c>
      <c r="P111" s="261" t="n">
        <f aca="false">SUM(L111:O111)</f>
        <v>0.65</v>
      </c>
      <c r="Q111" s="253"/>
      <c r="R111" s="190"/>
    </row>
    <row r="112" customFormat="false" ht="30" hidden="false" customHeight="true" outlineLevel="0" collapsed="false">
      <c r="A112" s="301" t="s">
        <v>426</v>
      </c>
      <c r="B112" s="302" t="s">
        <v>430</v>
      </c>
      <c r="C112" s="302" t="n">
        <v>11</v>
      </c>
      <c r="D112" s="302" t="n">
        <v>3</v>
      </c>
      <c r="E112" s="303" t="s">
        <v>750</v>
      </c>
      <c r="F112" s="291" t="s">
        <v>751</v>
      </c>
      <c r="G112" s="37" t="s">
        <v>829</v>
      </c>
      <c r="H112" s="260" t="s">
        <v>571</v>
      </c>
      <c r="I112" s="260" t="s">
        <v>572</v>
      </c>
      <c r="J112" s="260" t="s">
        <v>573</v>
      </c>
      <c r="K112" s="260" t="s">
        <v>584</v>
      </c>
      <c r="L112" s="244" t="n">
        <f aca="false">VLOOKUP($H112,$Y$5:$Z$10,2,FALSE())</f>
        <v>0.3</v>
      </c>
      <c r="M112" s="244" t="n">
        <f aca="false">VLOOKUP($I112,$AB$5:$AD$9,IF($K112="No aplicable",3,2),FALSE())</f>
        <v>0.2</v>
      </c>
      <c r="N112" s="244" t="n">
        <f aca="false">VLOOKUP($J112,$AF$5:$AH$9,IF($K112="No aplicable",3,2),FALSE())</f>
        <v>0.15</v>
      </c>
      <c r="O112" s="244" t="str">
        <f aca="false">IF($K112="No aplicable","--",VLOOKUP($K112,$AJ$5:$AK$8,2,FALSE()))</f>
        <v>--</v>
      </c>
      <c r="P112" s="261" t="n">
        <f aca="false">SUM(L112:O112)</f>
        <v>0.65</v>
      </c>
      <c r="Q112" s="253"/>
      <c r="R112" s="190"/>
    </row>
    <row r="113" customFormat="false" ht="30" hidden="false" customHeight="true" outlineLevel="0" collapsed="false">
      <c r="A113" s="301" t="s">
        <v>426</v>
      </c>
      <c r="B113" s="302" t="s">
        <v>430</v>
      </c>
      <c r="C113" s="302" t="n">
        <v>11</v>
      </c>
      <c r="D113" s="302" t="n">
        <v>4</v>
      </c>
      <c r="E113" s="303" t="s">
        <v>830</v>
      </c>
      <c r="F113" s="258" t="s">
        <v>831</v>
      </c>
      <c r="G113" s="37" t="s">
        <v>832</v>
      </c>
      <c r="H113" s="260" t="s">
        <v>571</v>
      </c>
      <c r="I113" s="260" t="s">
        <v>572</v>
      </c>
      <c r="J113" s="260" t="s">
        <v>573</v>
      </c>
      <c r="K113" s="260" t="s">
        <v>584</v>
      </c>
      <c r="L113" s="244" t="n">
        <f aca="false">VLOOKUP($H113,$Y$5:$Z$10,2,FALSE())</f>
        <v>0.3</v>
      </c>
      <c r="M113" s="244" t="n">
        <f aca="false">VLOOKUP($I113,$AB$5:$AD$9,IF($K113="No aplicable",3,2),FALSE())</f>
        <v>0.2</v>
      </c>
      <c r="N113" s="244" t="n">
        <f aca="false">VLOOKUP($J113,$AF$5:$AH$9,IF($K113="No aplicable",3,2),FALSE())</f>
        <v>0.15</v>
      </c>
      <c r="O113" s="244" t="str">
        <f aca="false">IF($K113="No aplicable","--",VLOOKUP($K113,$AJ$5:$AK$8,2,FALSE()))</f>
        <v>--</v>
      </c>
      <c r="P113" s="261" t="n">
        <f aca="false">SUM(L113:O113)</f>
        <v>0.65</v>
      </c>
      <c r="Q113" s="253"/>
      <c r="R113" s="190"/>
    </row>
    <row r="114" customFormat="false" ht="30" hidden="false" customHeight="true" outlineLevel="0" collapsed="false">
      <c r="A114" s="297" t="s">
        <v>426</v>
      </c>
      <c r="B114" s="298" t="s">
        <v>430</v>
      </c>
      <c r="C114" s="298" t="n">
        <v>11</v>
      </c>
      <c r="D114" s="298" t="n">
        <v>5</v>
      </c>
      <c r="E114" s="299" t="s">
        <v>833</v>
      </c>
      <c r="F114" s="240" t="s">
        <v>834</v>
      </c>
      <c r="G114" s="282" t="s">
        <v>835</v>
      </c>
      <c r="H114" s="260" t="s">
        <v>598</v>
      </c>
      <c r="I114" s="260" t="s">
        <v>596</v>
      </c>
      <c r="J114" s="260" t="s">
        <v>596</v>
      </c>
      <c r="K114" s="260" t="s">
        <v>584</v>
      </c>
      <c r="L114" s="244" t="n">
        <f aca="false">VLOOKUP($H114,$Y$5:$Z$10,2,FALSE())</f>
        <v>0.2</v>
      </c>
      <c r="M114" s="244" t="n">
        <f aca="false">VLOOKUP($I114,$AB$5:$AD$9,IF($K114="No aplicable",3,2),FALSE())</f>
        <v>0.075</v>
      </c>
      <c r="N114" s="244" t="n">
        <f aca="false">VLOOKUP($J114,$AF$5:$AH$9,IF($K114="No aplicable",3,2),FALSE())</f>
        <v>0.075</v>
      </c>
      <c r="O114" s="244" t="str">
        <f aca="false">IF($K114="No aplicable","--",VLOOKUP($K114,$AJ$5:$AK$8,2,FALSE()))</f>
        <v>--</v>
      </c>
      <c r="P114" s="261" t="n">
        <f aca="false">SUM(L114:O114)</f>
        <v>0.35</v>
      </c>
      <c r="Q114" s="253"/>
      <c r="R114" s="190"/>
    </row>
    <row r="115" customFormat="false" ht="30" hidden="false" customHeight="true" outlineLevel="0" collapsed="false">
      <c r="A115" s="309" t="s">
        <v>426</v>
      </c>
      <c r="B115" s="310" t="s">
        <v>430</v>
      </c>
      <c r="C115" s="310" t="n">
        <v>12</v>
      </c>
      <c r="D115" s="310" t="n">
        <v>1</v>
      </c>
      <c r="E115" s="311"/>
      <c r="F115" s="285"/>
      <c r="G115" s="286" t="s">
        <v>836</v>
      </c>
      <c r="H115" s="269" t="s">
        <v>571</v>
      </c>
      <c r="I115" s="269" t="s">
        <v>572</v>
      </c>
      <c r="J115" s="269" t="s">
        <v>573</v>
      </c>
      <c r="K115" s="269" t="s">
        <v>584</v>
      </c>
      <c r="L115" s="270" t="n">
        <f aca="false">VLOOKUP($H115,$Y$5:$Z$10,2,FALSE())</f>
        <v>0.3</v>
      </c>
      <c r="M115" s="270" t="n">
        <f aca="false">VLOOKUP($I115,$AB$5:$AD$9,IF($K115="No aplicable",3,2),FALSE())</f>
        <v>0.2</v>
      </c>
      <c r="N115" s="270" t="n">
        <f aca="false">VLOOKUP($J115,$AF$5:$AH$9,IF($K115="No aplicable",3,2),FALSE())</f>
        <v>0.15</v>
      </c>
      <c r="O115" s="270" t="str">
        <f aca="false">IF($K115="No aplicable","--",VLOOKUP($K115,$AJ$5:$AK$8,2,FALSE()))</f>
        <v>--</v>
      </c>
      <c r="P115" s="271" t="n">
        <f aca="false">SUM(L115:O115)</f>
        <v>0.65</v>
      </c>
      <c r="Q115" s="314" t="n">
        <f aca="false">P115</f>
        <v>0.65</v>
      </c>
      <c r="R115" s="190"/>
    </row>
    <row r="116" customFormat="false" ht="30" hidden="false" customHeight="true" outlineLevel="0" collapsed="false">
      <c r="A116" s="309" t="s">
        <v>426</v>
      </c>
      <c r="B116" s="310" t="s">
        <v>431</v>
      </c>
      <c r="C116" s="310" t="n">
        <v>1</v>
      </c>
      <c r="D116" s="310" t="n">
        <v>1</v>
      </c>
      <c r="E116" s="311" t="s">
        <v>781</v>
      </c>
      <c r="F116" s="267" t="s">
        <v>782</v>
      </c>
      <c r="G116" s="286" t="s">
        <v>837</v>
      </c>
      <c r="H116" s="269" t="s">
        <v>571</v>
      </c>
      <c r="I116" s="269" t="s">
        <v>572</v>
      </c>
      <c r="J116" s="269" t="s">
        <v>573</v>
      </c>
      <c r="K116" s="269" t="s">
        <v>584</v>
      </c>
      <c r="L116" s="270" t="n">
        <f aca="false">VLOOKUP($H116,$Y$5:$Z$10,2,FALSE())</f>
        <v>0.3</v>
      </c>
      <c r="M116" s="270" t="n">
        <f aca="false">VLOOKUP($I116,$AB$5:$AD$9,IF($K116="No aplicable",3,2),FALSE())</f>
        <v>0.2</v>
      </c>
      <c r="N116" s="270" t="n">
        <f aca="false">VLOOKUP($J116,$AF$5:$AH$9,IF($K116="No aplicable",3,2),FALSE())</f>
        <v>0.15</v>
      </c>
      <c r="O116" s="270" t="str">
        <f aca="false">IF($K116="No aplicable","--",VLOOKUP($K116,$AJ$5:$AK$8,2,FALSE()))</f>
        <v>--</v>
      </c>
      <c r="P116" s="271" t="n">
        <f aca="false">SUM(L116:O116)</f>
        <v>0.65</v>
      </c>
      <c r="Q116" s="253" t="n">
        <f aca="false">P116</f>
        <v>0.65</v>
      </c>
      <c r="R116" s="190"/>
    </row>
    <row r="117" customFormat="false" ht="30" hidden="false" customHeight="true" outlineLevel="0" collapsed="false">
      <c r="A117" s="309" t="s">
        <v>426</v>
      </c>
      <c r="B117" s="310" t="s">
        <v>431</v>
      </c>
      <c r="C117" s="310" t="n">
        <v>2</v>
      </c>
      <c r="D117" s="310" t="n">
        <v>1</v>
      </c>
      <c r="E117" s="311" t="s">
        <v>729</v>
      </c>
      <c r="F117" s="267" t="s">
        <v>730</v>
      </c>
      <c r="G117" s="286" t="s">
        <v>838</v>
      </c>
      <c r="H117" s="269" t="s">
        <v>571</v>
      </c>
      <c r="I117" s="269" t="s">
        <v>572</v>
      </c>
      <c r="J117" s="269" t="s">
        <v>573</v>
      </c>
      <c r="K117" s="269" t="s">
        <v>584</v>
      </c>
      <c r="L117" s="270" t="n">
        <f aca="false">VLOOKUP($H117,$Y$5:$Z$10,2,FALSE())</f>
        <v>0.3</v>
      </c>
      <c r="M117" s="270" t="n">
        <f aca="false">VLOOKUP($I117,$AB$5:$AD$9,IF($K117="No aplicable",3,2),FALSE())</f>
        <v>0.2</v>
      </c>
      <c r="N117" s="270" t="n">
        <f aca="false">VLOOKUP($J117,$AF$5:$AH$9,IF($K117="No aplicable",3,2),FALSE())</f>
        <v>0.15</v>
      </c>
      <c r="O117" s="270" t="str">
        <f aca="false">IF($K117="No aplicable","--",VLOOKUP($K117,$AJ$5:$AK$8,2,FALSE()))</f>
        <v>--</v>
      </c>
      <c r="P117" s="271" t="n">
        <f aca="false">SUM(L117:O117)</f>
        <v>0.65</v>
      </c>
      <c r="Q117" s="314" t="n">
        <f aca="false">P117</f>
        <v>0.65</v>
      </c>
      <c r="R117" s="190"/>
    </row>
    <row r="118" customFormat="false" ht="30" hidden="false" customHeight="true" outlineLevel="0" collapsed="false">
      <c r="A118" s="309" t="s">
        <v>426</v>
      </c>
      <c r="B118" s="310" t="s">
        <v>432</v>
      </c>
      <c r="C118" s="310" t="n">
        <v>1</v>
      </c>
      <c r="D118" s="310" t="n">
        <v>1</v>
      </c>
      <c r="E118" s="311" t="s">
        <v>839</v>
      </c>
      <c r="F118" s="267" t="s">
        <v>840</v>
      </c>
      <c r="G118" s="286" t="s">
        <v>841</v>
      </c>
      <c r="H118" s="269" t="s">
        <v>598</v>
      </c>
      <c r="I118" s="269" t="s">
        <v>602</v>
      </c>
      <c r="J118" s="269" t="s">
        <v>596</v>
      </c>
      <c r="K118" s="269" t="s">
        <v>584</v>
      </c>
      <c r="L118" s="270" t="n">
        <f aca="false">VLOOKUP($H118,$Y$5:$Z$10,2,FALSE())</f>
        <v>0.2</v>
      </c>
      <c r="M118" s="270" t="n">
        <f aca="false">VLOOKUP($I118,$AB$5:$AD$9,IF($K118="No aplicable",3,2),FALSE())</f>
        <v>0.15</v>
      </c>
      <c r="N118" s="270" t="n">
        <f aca="false">VLOOKUP($J118,$AF$5:$AH$9,IF($K118="No aplicable",3,2),FALSE())</f>
        <v>0.075</v>
      </c>
      <c r="O118" s="270" t="str">
        <f aca="false">IF($K118="No aplicable","--",VLOOKUP($K118,$AJ$5:$AK$8,2,FALSE()))</f>
        <v>--</v>
      </c>
      <c r="P118" s="271" t="n">
        <f aca="false">SUM(L118:O118)</f>
        <v>0.425</v>
      </c>
      <c r="Q118" s="253" t="n">
        <f aca="false">P118</f>
        <v>0.425</v>
      </c>
      <c r="R118" s="190"/>
    </row>
    <row r="119" customFormat="false" ht="30" hidden="false" customHeight="true" outlineLevel="0" collapsed="false">
      <c r="A119" s="294" t="s">
        <v>426</v>
      </c>
      <c r="B119" s="295" t="s">
        <v>432</v>
      </c>
      <c r="C119" s="295" t="n">
        <v>2</v>
      </c>
      <c r="D119" s="295" t="n">
        <v>1</v>
      </c>
      <c r="E119" s="296" t="s">
        <v>612</v>
      </c>
      <c r="F119" s="226" t="s">
        <v>613</v>
      </c>
      <c r="G119" s="283" t="s">
        <v>842</v>
      </c>
      <c r="H119" s="228" t="s">
        <v>571</v>
      </c>
      <c r="I119" s="228" t="s">
        <v>572</v>
      </c>
      <c r="J119" s="228" t="s">
        <v>573</v>
      </c>
      <c r="K119" s="228" t="s">
        <v>603</v>
      </c>
      <c r="L119" s="229" t="n">
        <f aca="false">VLOOKUP($H119,$Y$5:$Z$10,2,FALSE())</f>
        <v>0.3</v>
      </c>
      <c r="M119" s="229" t="n">
        <f aca="false">VLOOKUP($I119,$AB$5:$AD$9,IF($K119="No aplicable",3,2),FALSE())</f>
        <v>0.15</v>
      </c>
      <c r="N119" s="229" t="n">
        <f aca="false">VLOOKUP($J119,$AF$5:$AH$9,IF($K119="No aplicable",3,2),FALSE())</f>
        <v>0.1</v>
      </c>
      <c r="O119" s="229" t="n">
        <f aca="false">IF($K119="No aplicable","--",VLOOKUP($K119,$AJ$5:$AK$8,2,FALSE()))</f>
        <v>0.1</v>
      </c>
      <c r="P119" s="230" t="n">
        <f aca="false">SUM(L119:O119)</f>
        <v>0.65</v>
      </c>
      <c r="Q119" s="314" t="n">
        <f aca="false">AVERAGE(P119:P120)</f>
        <v>0.65</v>
      </c>
      <c r="R119" s="190"/>
    </row>
    <row r="120" customFormat="false" ht="30" hidden="false" customHeight="true" outlineLevel="0" collapsed="false">
      <c r="A120" s="297" t="s">
        <v>426</v>
      </c>
      <c r="B120" s="298" t="s">
        <v>432</v>
      </c>
      <c r="C120" s="298" t="n">
        <v>2</v>
      </c>
      <c r="D120" s="298" t="n">
        <v>2</v>
      </c>
      <c r="E120" s="299" t="s">
        <v>739</v>
      </c>
      <c r="F120" s="292" t="s">
        <v>740</v>
      </c>
      <c r="G120" s="282" t="s">
        <v>843</v>
      </c>
      <c r="H120" s="260" t="s">
        <v>571</v>
      </c>
      <c r="I120" s="260" t="s">
        <v>572</v>
      </c>
      <c r="J120" s="260" t="s">
        <v>573</v>
      </c>
      <c r="K120" s="260" t="s">
        <v>584</v>
      </c>
      <c r="L120" s="244" t="n">
        <f aca="false">VLOOKUP($H120,$Y$5:$Z$10,2,FALSE())</f>
        <v>0.3</v>
      </c>
      <c r="M120" s="244" t="n">
        <f aca="false">VLOOKUP($I120,$AB$5:$AD$9,IF($K120="No aplicable",3,2),FALSE())</f>
        <v>0.2</v>
      </c>
      <c r="N120" s="244" t="n">
        <f aca="false">VLOOKUP($J120,$AF$5:$AH$9,IF($K120="No aplicable",3,2),FALSE())</f>
        <v>0.15</v>
      </c>
      <c r="O120" s="244" t="str">
        <f aca="false">IF($K120="No aplicable","--",VLOOKUP($K120,$AJ$5:$AK$8,2,FALSE()))</f>
        <v>--</v>
      </c>
      <c r="P120" s="261" t="n">
        <f aca="false">SUM(L120:O120)</f>
        <v>0.65</v>
      </c>
      <c r="Q120" s="314"/>
      <c r="R120" s="190"/>
    </row>
    <row r="121" customFormat="false" ht="30" hidden="false" customHeight="true" outlineLevel="0" collapsed="false">
      <c r="A121" s="309" t="s">
        <v>426</v>
      </c>
      <c r="B121" s="310" t="s">
        <v>432</v>
      </c>
      <c r="C121" s="310" t="n">
        <v>3</v>
      </c>
      <c r="D121" s="310" t="n">
        <v>1</v>
      </c>
      <c r="E121" s="311" t="s">
        <v>612</v>
      </c>
      <c r="F121" s="267" t="s">
        <v>613</v>
      </c>
      <c r="G121" s="286" t="s">
        <v>844</v>
      </c>
      <c r="H121" s="269" t="s">
        <v>571</v>
      </c>
      <c r="I121" s="269" t="s">
        <v>572</v>
      </c>
      <c r="J121" s="269" t="s">
        <v>573</v>
      </c>
      <c r="K121" s="269" t="s">
        <v>584</v>
      </c>
      <c r="L121" s="270" t="n">
        <f aca="false">VLOOKUP($H121,$Y$5:$Z$10,2,FALSE())</f>
        <v>0.3</v>
      </c>
      <c r="M121" s="270" t="n">
        <f aca="false">VLOOKUP($I121,$AB$5:$AD$9,IF($K121="No aplicable",3,2),FALSE())</f>
        <v>0.2</v>
      </c>
      <c r="N121" s="270" t="n">
        <f aca="false">VLOOKUP($J121,$AF$5:$AH$9,IF($K121="No aplicable",3,2),FALSE())</f>
        <v>0.15</v>
      </c>
      <c r="O121" s="270" t="str">
        <f aca="false">IF($K121="No aplicable","--",VLOOKUP($K121,$AJ$5:$AK$8,2,FALSE()))</f>
        <v>--</v>
      </c>
      <c r="P121" s="271" t="n">
        <f aca="false">SUM(L121:O121)</f>
        <v>0.65</v>
      </c>
      <c r="Q121" s="253" t="n">
        <f aca="false">P121</f>
        <v>0.65</v>
      </c>
      <c r="R121" s="190"/>
    </row>
    <row r="122" customFormat="false" ht="30" hidden="false" customHeight="true" outlineLevel="0" collapsed="false">
      <c r="A122" s="294" t="s">
        <v>426</v>
      </c>
      <c r="B122" s="295" t="s">
        <v>432</v>
      </c>
      <c r="C122" s="295" t="n">
        <v>4</v>
      </c>
      <c r="D122" s="295" t="n">
        <v>1</v>
      </c>
      <c r="E122" s="296" t="s">
        <v>612</v>
      </c>
      <c r="F122" s="226" t="s">
        <v>613</v>
      </c>
      <c r="G122" s="283" t="s">
        <v>845</v>
      </c>
      <c r="H122" s="228" t="s">
        <v>571</v>
      </c>
      <c r="I122" s="228" t="s">
        <v>572</v>
      </c>
      <c r="J122" s="228" t="s">
        <v>573</v>
      </c>
      <c r="K122" s="228" t="s">
        <v>584</v>
      </c>
      <c r="L122" s="229" t="n">
        <f aca="false">VLOOKUP($H122,$Y$5:$Z$10,2,FALSE())</f>
        <v>0.3</v>
      </c>
      <c r="M122" s="229" t="n">
        <f aca="false">VLOOKUP($I122,$AB$5:$AD$9,IF($K122="No aplicable",3,2),FALSE())</f>
        <v>0.2</v>
      </c>
      <c r="N122" s="229" t="n">
        <f aca="false">VLOOKUP($J122,$AF$5:$AH$9,IF($K122="No aplicable",3,2),FALSE())</f>
        <v>0.15</v>
      </c>
      <c r="O122" s="229" t="str">
        <f aca="false">IF($K122="No aplicable","--",VLOOKUP($K122,$AJ$5:$AK$8,2,FALSE()))</f>
        <v>--</v>
      </c>
      <c r="P122" s="230" t="n">
        <f aca="false">SUM(L122:O122)</f>
        <v>0.65</v>
      </c>
      <c r="Q122" s="314" t="n">
        <f aca="false">AVERAGE(P122:P123)</f>
        <v>0.65</v>
      </c>
      <c r="R122" s="190"/>
    </row>
    <row r="123" customFormat="false" ht="30" hidden="false" customHeight="true" outlineLevel="0" collapsed="false">
      <c r="A123" s="297" t="s">
        <v>426</v>
      </c>
      <c r="B123" s="298" t="s">
        <v>432</v>
      </c>
      <c r="C123" s="298" t="n">
        <v>4</v>
      </c>
      <c r="D123" s="298" t="n">
        <v>2</v>
      </c>
      <c r="E123" s="299" t="s">
        <v>739</v>
      </c>
      <c r="F123" s="292" t="s">
        <v>740</v>
      </c>
      <c r="G123" s="282" t="s">
        <v>846</v>
      </c>
      <c r="H123" s="260" t="s">
        <v>571</v>
      </c>
      <c r="I123" s="260" t="s">
        <v>572</v>
      </c>
      <c r="J123" s="260" t="s">
        <v>573</v>
      </c>
      <c r="K123" s="260" t="s">
        <v>584</v>
      </c>
      <c r="L123" s="244" t="n">
        <f aca="false">VLOOKUP($H123,$Y$5:$Z$10,2,FALSE())</f>
        <v>0.3</v>
      </c>
      <c r="M123" s="244" t="n">
        <f aca="false">VLOOKUP($I123,$AB$5:$AD$9,IF($K123="No aplicable",3,2),FALSE())</f>
        <v>0.2</v>
      </c>
      <c r="N123" s="244" t="n">
        <f aca="false">VLOOKUP($J123,$AF$5:$AH$9,IF($K123="No aplicable",3,2),FALSE())</f>
        <v>0.15</v>
      </c>
      <c r="O123" s="244" t="str">
        <f aca="false">IF($K123="No aplicable","--",VLOOKUP($K123,$AJ$5:$AK$8,2,FALSE()))</f>
        <v>--</v>
      </c>
      <c r="P123" s="261" t="n">
        <f aca="false">SUM(L123:O123)</f>
        <v>0.65</v>
      </c>
      <c r="Q123" s="314"/>
      <c r="R123" s="190"/>
    </row>
    <row r="124" customFormat="false" ht="30" hidden="false" customHeight="true" outlineLevel="0" collapsed="false">
      <c r="A124" s="320" t="s">
        <v>426</v>
      </c>
      <c r="B124" s="321" t="s">
        <v>432</v>
      </c>
      <c r="C124" s="321" t="n">
        <v>5</v>
      </c>
      <c r="D124" s="321" t="n">
        <v>1</v>
      </c>
      <c r="E124" s="322"/>
      <c r="F124" s="323"/>
      <c r="G124" s="324" t="s">
        <v>847</v>
      </c>
      <c r="H124" s="269" t="s">
        <v>598</v>
      </c>
      <c r="I124" s="269" t="s">
        <v>602</v>
      </c>
      <c r="J124" s="269" t="s">
        <v>596</v>
      </c>
      <c r="K124" s="269" t="s">
        <v>584</v>
      </c>
      <c r="L124" s="270" t="n">
        <f aca="false">VLOOKUP($H124,$Y$5:$Z$10,2,FALSE())</f>
        <v>0.2</v>
      </c>
      <c r="M124" s="270" t="n">
        <f aca="false">VLOOKUP($I124,$AB$5:$AD$9,IF($K124="No aplicable",3,2),FALSE())</f>
        <v>0.15</v>
      </c>
      <c r="N124" s="270" t="n">
        <f aca="false">VLOOKUP($J124,$AF$5:$AH$9,IF($K124="No aplicable",3,2),FALSE())</f>
        <v>0.075</v>
      </c>
      <c r="O124" s="270" t="str">
        <f aca="false">IF($K124="No aplicable","--",VLOOKUP($K124,$AJ$5:$AK$8,2,FALSE()))</f>
        <v>--</v>
      </c>
      <c r="P124" s="271" t="n">
        <f aca="false">SUM(L124:O124)</f>
        <v>0.425</v>
      </c>
      <c r="Q124" s="253" t="n">
        <f aca="false">P124</f>
        <v>0.425</v>
      </c>
      <c r="R124" s="190"/>
    </row>
    <row r="125" customFormat="false" ht="30" hidden="false" customHeight="true" outlineLevel="0" collapsed="false">
      <c r="A125" s="325" t="s">
        <v>433</v>
      </c>
      <c r="B125" s="326" t="s">
        <v>434</v>
      </c>
      <c r="C125" s="326" t="n">
        <v>1</v>
      </c>
      <c r="D125" s="326" t="n">
        <v>1</v>
      </c>
      <c r="E125" s="327" t="s">
        <v>848</v>
      </c>
      <c r="F125" s="267" t="s">
        <v>849</v>
      </c>
      <c r="G125" s="286" t="s">
        <v>850</v>
      </c>
      <c r="H125" s="269" t="s">
        <v>571</v>
      </c>
      <c r="I125" s="269" t="s">
        <v>572</v>
      </c>
      <c r="J125" s="269" t="s">
        <v>573</v>
      </c>
      <c r="K125" s="269" t="s">
        <v>584</v>
      </c>
      <c r="L125" s="270" t="n">
        <f aca="false">VLOOKUP($H125,$Y$5:$Z$10,2,FALSE())</f>
        <v>0.3</v>
      </c>
      <c r="M125" s="270" t="n">
        <f aca="false">VLOOKUP($I125,$AB$5:$AD$9,IF($K125="No aplicable",3,2),FALSE())</f>
        <v>0.2</v>
      </c>
      <c r="N125" s="270" t="n">
        <f aca="false">VLOOKUP($J125,$AF$5:$AH$9,IF($K125="No aplicable",3,2),FALSE())</f>
        <v>0.15</v>
      </c>
      <c r="O125" s="270" t="str">
        <f aca="false">IF($K125="No aplicable","--",VLOOKUP($K125,$AJ$5:$AK$8,2,FALSE()))</f>
        <v>--</v>
      </c>
      <c r="P125" s="271" t="n">
        <f aca="false">SUM(L125:O125)</f>
        <v>0.65</v>
      </c>
      <c r="Q125" s="253" t="n">
        <f aca="false">P125</f>
        <v>0.65</v>
      </c>
      <c r="R125" s="190"/>
    </row>
    <row r="126" customFormat="false" ht="30" hidden="false" customHeight="true" outlineLevel="0" collapsed="false">
      <c r="A126" s="325" t="s">
        <v>433</v>
      </c>
      <c r="B126" s="326" t="s">
        <v>434</v>
      </c>
      <c r="C126" s="326" t="n">
        <v>2</v>
      </c>
      <c r="D126" s="326" t="n">
        <v>1</v>
      </c>
      <c r="E126" s="327"/>
      <c r="F126" s="285"/>
      <c r="G126" s="286" t="s">
        <v>851</v>
      </c>
      <c r="H126" s="269" t="s">
        <v>571</v>
      </c>
      <c r="I126" s="269" t="s">
        <v>572</v>
      </c>
      <c r="J126" s="269" t="s">
        <v>573</v>
      </c>
      <c r="K126" s="269" t="s">
        <v>584</v>
      </c>
      <c r="L126" s="270" t="n">
        <f aca="false">VLOOKUP($H126,$Y$5:$Z$10,2,FALSE())</f>
        <v>0.3</v>
      </c>
      <c r="M126" s="270" t="n">
        <f aca="false">VLOOKUP($I126,$AB$5:$AD$9,IF($K126="No aplicable",3,2),FALSE())</f>
        <v>0.2</v>
      </c>
      <c r="N126" s="270" t="n">
        <f aca="false">VLOOKUP($J126,$AF$5:$AH$9,IF($K126="No aplicable",3,2),FALSE())</f>
        <v>0.15</v>
      </c>
      <c r="O126" s="270" t="str">
        <f aca="false">IF($K126="No aplicable","--",VLOOKUP($K126,$AJ$5:$AK$8,2,FALSE()))</f>
        <v>--</v>
      </c>
      <c r="P126" s="271" t="n">
        <f aca="false">SUM(L126:O126)</f>
        <v>0.65</v>
      </c>
      <c r="Q126" s="314" t="n">
        <f aca="false">P126</f>
        <v>0.65</v>
      </c>
      <c r="R126" s="190"/>
    </row>
    <row r="127" customFormat="false" ht="30" hidden="false" customHeight="true" outlineLevel="0" collapsed="false">
      <c r="A127" s="325" t="s">
        <v>433</v>
      </c>
      <c r="B127" s="326" t="s">
        <v>434</v>
      </c>
      <c r="C127" s="326" t="n">
        <v>3</v>
      </c>
      <c r="D127" s="326" t="n">
        <v>1</v>
      </c>
      <c r="E127" s="327"/>
      <c r="F127" s="285"/>
      <c r="G127" s="286" t="s">
        <v>852</v>
      </c>
      <c r="H127" s="269" t="s">
        <v>598</v>
      </c>
      <c r="I127" s="269" t="s">
        <v>602</v>
      </c>
      <c r="J127" s="269" t="s">
        <v>596</v>
      </c>
      <c r="K127" s="269" t="s">
        <v>574</v>
      </c>
      <c r="L127" s="270" t="n">
        <f aca="false">VLOOKUP($H127,$Y$5:$Z$10,2,FALSE())</f>
        <v>0.2</v>
      </c>
      <c r="M127" s="270" t="n">
        <f aca="false">VLOOKUP($I127,$AB$5:$AD$9,IF($K127="No aplicable",3,2),FALSE())</f>
        <v>0.1</v>
      </c>
      <c r="N127" s="270" t="n">
        <f aca="false">VLOOKUP($J127,$AF$5:$AH$9,IF($K127="No aplicable",3,2),FALSE())</f>
        <v>0.05</v>
      </c>
      <c r="O127" s="270" t="n">
        <f aca="false">IF($K127="No aplicable","--",VLOOKUP($K127,$AJ$5:$AK$8,2,FALSE()))</f>
        <v>0.05</v>
      </c>
      <c r="P127" s="271" t="n">
        <f aca="false">SUM(L127:O127)</f>
        <v>0.4</v>
      </c>
      <c r="Q127" s="253" t="n">
        <f aca="false">P127</f>
        <v>0.4</v>
      </c>
      <c r="R127" s="190"/>
    </row>
    <row r="128" customFormat="false" ht="30" hidden="false" customHeight="true" outlineLevel="0" collapsed="false">
      <c r="A128" s="325" t="s">
        <v>433</v>
      </c>
      <c r="B128" s="326" t="s">
        <v>434</v>
      </c>
      <c r="C128" s="326" t="n">
        <v>4</v>
      </c>
      <c r="D128" s="326" t="n">
        <v>1</v>
      </c>
      <c r="E128" s="327" t="s">
        <v>720</v>
      </c>
      <c r="F128" s="289" t="s">
        <v>721</v>
      </c>
      <c r="G128" s="286" t="s">
        <v>853</v>
      </c>
      <c r="H128" s="269" t="s">
        <v>571</v>
      </c>
      <c r="I128" s="269" t="s">
        <v>572</v>
      </c>
      <c r="J128" s="269" t="s">
        <v>573</v>
      </c>
      <c r="K128" s="269" t="s">
        <v>584</v>
      </c>
      <c r="L128" s="270" t="n">
        <f aca="false">VLOOKUP($H128,$Y$5:$Z$10,2,FALSE())</f>
        <v>0.3</v>
      </c>
      <c r="M128" s="270" t="n">
        <f aca="false">VLOOKUP($I128,$AB$5:$AD$9,IF($K128="No aplicable",3,2),FALSE())</f>
        <v>0.2</v>
      </c>
      <c r="N128" s="270" t="n">
        <f aca="false">VLOOKUP($J128,$AF$5:$AH$9,IF($K128="No aplicable",3,2),FALSE())</f>
        <v>0.15</v>
      </c>
      <c r="O128" s="270" t="str">
        <f aca="false">IF($K128="No aplicable","--",VLOOKUP($K128,$AJ$5:$AK$8,2,FALSE()))</f>
        <v>--</v>
      </c>
      <c r="P128" s="271" t="n">
        <f aca="false">SUM(L128:O128)</f>
        <v>0.65</v>
      </c>
      <c r="Q128" s="314" t="n">
        <f aca="false">P128</f>
        <v>0.65</v>
      </c>
      <c r="R128" s="190"/>
    </row>
    <row r="129" customFormat="false" ht="30" hidden="false" customHeight="true" outlineLevel="0" collapsed="false">
      <c r="A129" s="325" t="s">
        <v>433</v>
      </c>
      <c r="B129" s="326" t="s">
        <v>434</v>
      </c>
      <c r="C129" s="326" t="n">
        <v>5</v>
      </c>
      <c r="D129" s="326" t="n">
        <v>1</v>
      </c>
      <c r="E129" s="327" t="s">
        <v>720</v>
      </c>
      <c r="F129" s="289" t="s">
        <v>721</v>
      </c>
      <c r="G129" s="286" t="s">
        <v>854</v>
      </c>
      <c r="H129" s="269" t="s">
        <v>598</v>
      </c>
      <c r="I129" s="269" t="s">
        <v>602</v>
      </c>
      <c r="J129" s="269" t="s">
        <v>596</v>
      </c>
      <c r="K129" s="269" t="s">
        <v>584</v>
      </c>
      <c r="L129" s="270" t="n">
        <f aca="false">VLOOKUP($H129,$Y$5:$Z$10,2,FALSE())</f>
        <v>0.2</v>
      </c>
      <c r="M129" s="270" t="n">
        <f aca="false">VLOOKUP($I129,$AB$5:$AD$9,IF($K129="No aplicable",3,2),FALSE())</f>
        <v>0.15</v>
      </c>
      <c r="N129" s="270" t="n">
        <f aca="false">VLOOKUP($J129,$AF$5:$AH$9,IF($K129="No aplicable",3,2),FALSE())</f>
        <v>0.075</v>
      </c>
      <c r="O129" s="270" t="str">
        <f aca="false">IF($K129="No aplicable","--",VLOOKUP($K129,$AJ$5:$AK$8,2,FALSE()))</f>
        <v>--</v>
      </c>
      <c r="P129" s="271" t="n">
        <f aca="false">SUM(L129:O129)</f>
        <v>0.425</v>
      </c>
      <c r="Q129" s="253" t="n">
        <f aca="false">P129</f>
        <v>0.425</v>
      </c>
      <c r="R129" s="190"/>
    </row>
    <row r="130" customFormat="false" ht="30" hidden="false" customHeight="true" outlineLevel="0" collapsed="false">
      <c r="A130" s="325" t="s">
        <v>433</v>
      </c>
      <c r="B130" s="326" t="s">
        <v>435</v>
      </c>
      <c r="C130" s="326" t="n">
        <v>1</v>
      </c>
      <c r="D130" s="326" t="n">
        <v>1</v>
      </c>
      <c r="E130" s="327" t="s">
        <v>855</v>
      </c>
      <c r="F130" s="267" t="s">
        <v>856</v>
      </c>
      <c r="G130" s="286" t="s">
        <v>857</v>
      </c>
      <c r="H130" s="269" t="s">
        <v>571</v>
      </c>
      <c r="I130" s="269" t="s">
        <v>572</v>
      </c>
      <c r="J130" s="269" t="s">
        <v>573</v>
      </c>
      <c r="K130" s="269" t="s">
        <v>603</v>
      </c>
      <c r="L130" s="270" t="n">
        <f aca="false">VLOOKUP($H130,$Y$5:$Z$10,2,FALSE())</f>
        <v>0.3</v>
      </c>
      <c r="M130" s="270" t="n">
        <f aca="false">VLOOKUP($I130,$AB$5:$AD$9,IF($K130="No aplicable",3,2),FALSE())</f>
        <v>0.15</v>
      </c>
      <c r="N130" s="270" t="n">
        <f aca="false">VLOOKUP($J130,$AF$5:$AH$9,IF($K130="No aplicable",3,2),FALSE())</f>
        <v>0.1</v>
      </c>
      <c r="O130" s="270" t="n">
        <f aca="false">IF($K130="No aplicable","--",VLOOKUP($K130,$AJ$5:$AK$8,2,FALSE()))</f>
        <v>0.1</v>
      </c>
      <c r="P130" s="271" t="n">
        <f aca="false">SUM(L130:O130)</f>
        <v>0.65</v>
      </c>
      <c r="Q130" s="314" t="n">
        <f aca="false">P130</f>
        <v>0.65</v>
      </c>
      <c r="R130" s="190"/>
    </row>
    <row r="131" customFormat="false" ht="30" hidden="false" customHeight="true" outlineLevel="0" collapsed="false">
      <c r="A131" s="325" t="s">
        <v>433</v>
      </c>
      <c r="B131" s="326" t="s">
        <v>435</v>
      </c>
      <c r="C131" s="326" t="n">
        <v>2</v>
      </c>
      <c r="D131" s="326" t="n">
        <v>1</v>
      </c>
      <c r="E131" s="327"/>
      <c r="F131" s="285"/>
      <c r="G131" s="286" t="s">
        <v>858</v>
      </c>
      <c r="H131" s="269" t="s">
        <v>571</v>
      </c>
      <c r="I131" s="269" t="s">
        <v>572</v>
      </c>
      <c r="J131" s="269" t="s">
        <v>573</v>
      </c>
      <c r="K131" s="269" t="s">
        <v>603</v>
      </c>
      <c r="L131" s="270" t="n">
        <f aca="false">VLOOKUP($H131,$Y$5:$Z$10,2,FALSE())</f>
        <v>0.3</v>
      </c>
      <c r="M131" s="270" t="n">
        <f aca="false">VLOOKUP($I131,$AB$5:$AD$9,IF($K131="No aplicable",3,2),FALSE())</f>
        <v>0.15</v>
      </c>
      <c r="N131" s="270" t="n">
        <f aca="false">VLOOKUP($J131,$AF$5:$AH$9,IF($K131="No aplicable",3,2),FALSE())</f>
        <v>0.1</v>
      </c>
      <c r="O131" s="270" t="n">
        <f aca="false">IF($K131="No aplicable","--",VLOOKUP($K131,$AJ$5:$AK$8,2,FALSE()))</f>
        <v>0.1</v>
      </c>
      <c r="P131" s="271" t="n">
        <f aca="false">SUM(L131:O131)</f>
        <v>0.65</v>
      </c>
      <c r="Q131" s="253" t="n">
        <f aca="false">P131</f>
        <v>0.65</v>
      </c>
      <c r="R131" s="190"/>
    </row>
    <row r="132" customFormat="false" ht="30" hidden="false" customHeight="true" outlineLevel="0" collapsed="false">
      <c r="A132" s="325" t="s">
        <v>433</v>
      </c>
      <c r="B132" s="326" t="s">
        <v>435</v>
      </c>
      <c r="C132" s="326" t="n">
        <v>3</v>
      </c>
      <c r="D132" s="326" t="n">
        <v>1</v>
      </c>
      <c r="E132" s="327"/>
      <c r="F132" s="285"/>
      <c r="G132" s="286" t="s">
        <v>859</v>
      </c>
      <c r="H132" s="269" t="s">
        <v>571</v>
      </c>
      <c r="I132" s="269" t="s">
        <v>572</v>
      </c>
      <c r="J132" s="269" t="s">
        <v>573</v>
      </c>
      <c r="K132" s="269" t="s">
        <v>603</v>
      </c>
      <c r="L132" s="270" t="n">
        <f aca="false">VLOOKUP($H132,$Y$5:$Z$10,2,FALSE())</f>
        <v>0.3</v>
      </c>
      <c r="M132" s="270" t="n">
        <f aca="false">VLOOKUP($I132,$AB$5:$AD$9,IF($K132="No aplicable",3,2),FALSE())</f>
        <v>0.15</v>
      </c>
      <c r="N132" s="270" t="n">
        <f aca="false">VLOOKUP($J132,$AF$5:$AH$9,IF($K132="No aplicable",3,2),FALSE())</f>
        <v>0.1</v>
      </c>
      <c r="O132" s="270" t="n">
        <f aca="false">IF($K132="No aplicable","--",VLOOKUP($K132,$AJ$5:$AK$8,2,FALSE()))</f>
        <v>0.1</v>
      </c>
      <c r="P132" s="271" t="n">
        <f aca="false">SUM(L132:O132)</f>
        <v>0.65</v>
      </c>
      <c r="Q132" s="314" t="n">
        <f aca="false">P132</f>
        <v>0.65</v>
      </c>
      <c r="R132" s="190"/>
    </row>
    <row r="133" customFormat="false" ht="30" hidden="false" customHeight="true" outlineLevel="0" collapsed="false">
      <c r="A133" s="325" t="s">
        <v>433</v>
      </c>
      <c r="B133" s="326" t="s">
        <v>435</v>
      </c>
      <c r="C133" s="326" t="n">
        <v>4</v>
      </c>
      <c r="D133" s="326" t="n">
        <v>1</v>
      </c>
      <c r="E133" s="327" t="s">
        <v>860</v>
      </c>
      <c r="F133" s="267" t="s">
        <v>861</v>
      </c>
      <c r="G133" s="286" t="s">
        <v>862</v>
      </c>
      <c r="H133" s="269" t="s">
        <v>571</v>
      </c>
      <c r="I133" s="269" t="s">
        <v>572</v>
      </c>
      <c r="J133" s="269" t="s">
        <v>573</v>
      </c>
      <c r="K133" s="269" t="s">
        <v>603</v>
      </c>
      <c r="L133" s="270" t="n">
        <f aca="false">VLOOKUP($H133,$Y$5:$Z$10,2,FALSE())</f>
        <v>0.3</v>
      </c>
      <c r="M133" s="270" t="n">
        <f aca="false">VLOOKUP($I133,$AB$5:$AD$9,IF($K133="No aplicable",3,2),FALSE())</f>
        <v>0.15</v>
      </c>
      <c r="N133" s="270" t="n">
        <f aca="false">VLOOKUP($J133,$AF$5:$AH$9,IF($K133="No aplicable",3,2),FALSE())</f>
        <v>0.1</v>
      </c>
      <c r="O133" s="270" t="n">
        <f aca="false">IF($K133="No aplicable","--",VLOOKUP($K133,$AJ$5:$AK$8,2,FALSE()))</f>
        <v>0.1</v>
      </c>
      <c r="P133" s="271" t="n">
        <f aca="false">SUM(L133:O133)</f>
        <v>0.65</v>
      </c>
      <c r="Q133" s="253" t="n">
        <f aca="false">P133</f>
        <v>0.65</v>
      </c>
      <c r="R133" s="190"/>
    </row>
    <row r="134" customFormat="false" ht="30" hidden="false" customHeight="true" outlineLevel="0" collapsed="false">
      <c r="A134" s="325" t="s">
        <v>433</v>
      </c>
      <c r="B134" s="326" t="s">
        <v>435</v>
      </c>
      <c r="C134" s="326" t="n">
        <v>5</v>
      </c>
      <c r="D134" s="326" t="n">
        <v>1</v>
      </c>
      <c r="E134" s="327"/>
      <c r="F134" s="285"/>
      <c r="G134" s="286" t="s">
        <v>863</v>
      </c>
      <c r="H134" s="269" t="s">
        <v>598</v>
      </c>
      <c r="I134" s="269" t="s">
        <v>596</v>
      </c>
      <c r="J134" s="269" t="s">
        <v>596</v>
      </c>
      <c r="K134" s="269" t="s">
        <v>603</v>
      </c>
      <c r="L134" s="270" t="n">
        <f aca="false">VLOOKUP($H134,$Y$5:$Z$10,2,FALSE())</f>
        <v>0.2</v>
      </c>
      <c r="M134" s="270" t="n">
        <f aca="false">VLOOKUP($I134,$AB$5:$AD$9,IF($K134="No aplicable",3,2),FALSE())</f>
        <v>0.05</v>
      </c>
      <c r="N134" s="270" t="n">
        <f aca="false">VLOOKUP($J134,$AF$5:$AH$9,IF($K134="No aplicable",3,2),FALSE())</f>
        <v>0.05</v>
      </c>
      <c r="O134" s="270" t="n">
        <f aca="false">IF($K134="No aplicable","--",VLOOKUP($K134,$AJ$5:$AK$8,2,FALSE()))</f>
        <v>0.1</v>
      </c>
      <c r="P134" s="271" t="n">
        <f aca="false">SUM(L134:O134)</f>
        <v>0.4</v>
      </c>
      <c r="Q134" s="314" t="n">
        <f aca="false">P134</f>
        <v>0.4</v>
      </c>
      <c r="R134" s="190"/>
    </row>
    <row r="135" customFormat="false" ht="30" hidden="false" customHeight="true" outlineLevel="0" collapsed="false">
      <c r="A135" s="325" t="s">
        <v>433</v>
      </c>
      <c r="B135" s="326" t="s">
        <v>435</v>
      </c>
      <c r="C135" s="326" t="n">
        <v>6</v>
      </c>
      <c r="D135" s="326" t="n">
        <v>1</v>
      </c>
      <c r="E135" s="327" t="s">
        <v>864</v>
      </c>
      <c r="F135" s="267" t="s">
        <v>865</v>
      </c>
      <c r="G135" s="286" t="s">
        <v>866</v>
      </c>
      <c r="H135" s="269" t="s">
        <v>571</v>
      </c>
      <c r="I135" s="269" t="s">
        <v>572</v>
      </c>
      <c r="J135" s="269" t="s">
        <v>573</v>
      </c>
      <c r="K135" s="269" t="s">
        <v>584</v>
      </c>
      <c r="L135" s="270" t="n">
        <f aca="false">VLOOKUP($H135,$Y$5:$Z$10,2,FALSE())</f>
        <v>0.3</v>
      </c>
      <c r="M135" s="270" t="n">
        <f aca="false">VLOOKUP($I135,$AB$5:$AD$9,IF($K135="No aplicable",3,2),FALSE())</f>
        <v>0.2</v>
      </c>
      <c r="N135" s="270" t="n">
        <f aca="false">VLOOKUP($J135,$AF$5:$AH$9,IF($K135="No aplicable",3,2),FALSE())</f>
        <v>0.15</v>
      </c>
      <c r="O135" s="270" t="str">
        <f aca="false">IF($K135="No aplicable","--",VLOOKUP($K135,$AJ$5:$AK$8,2,FALSE()))</f>
        <v>--</v>
      </c>
      <c r="P135" s="271" t="n">
        <f aca="false">SUM(L135:O135)</f>
        <v>0.65</v>
      </c>
      <c r="Q135" s="253" t="n">
        <f aca="false">P135</f>
        <v>0.65</v>
      </c>
      <c r="R135" s="190"/>
    </row>
    <row r="136" customFormat="false" ht="30" hidden="false" customHeight="true" outlineLevel="0" collapsed="false">
      <c r="A136" s="325" t="s">
        <v>433</v>
      </c>
      <c r="B136" s="326" t="s">
        <v>435</v>
      </c>
      <c r="C136" s="326" t="n">
        <v>7</v>
      </c>
      <c r="D136" s="326" t="n">
        <v>1</v>
      </c>
      <c r="E136" s="327"/>
      <c r="F136" s="285"/>
      <c r="G136" s="286" t="s">
        <v>867</v>
      </c>
      <c r="H136" s="269" t="s">
        <v>598</v>
      </c>
      <c r="I136" s="269" t="s">
        <v>602</v>
      </c>
      <c r="J136" s="269" t="s">
        <v>596</v>
      </c>
      <c r="K136" s="269" t="s">
        <v>574</v>
      </c>
      <c r="L136" s="270" t="n">
        <f aca="false">VLOOKUP($H136,$Y$5:$Z$10,2,FALSE())</f>
        <v>0.2</v>
      </c>
      <c r="M136" s="270" t="n">
        <f aca="false">VLOOKUP($I136,$AB$5:$AD$9,IF($K136="No aplicable",3,2),FALSE())</f>
        <v>0.1</v>
      </c>
      <c r="N136" s="270" t="n">
        <f aca="false">VLOOKUP($J136,$AF$5:$AH$9,IF($K136="No aplicable",3,2),FALSE())</f>
        <v>0.05</v>
      </c>
      <c r="O136" s="270" t="n">
        <f aca="false">IF($K136="No aplicable","--",VLOOKUP($K136,$AJ$5:$AK$8,2,FALSE()))</f>
        <v>0.05</v>
      </c>
      <c r="P136" s="271" t="n">
        <f aca="false">SUM(L136:O136)</f>
        <v>0.4</v>
      </c>
      <c r="Q136" s="314" t="n">
        <f aca="false">P136</f>
        <v>0.4</v>
      </c>
      <c r="R136" s="190"/>
    </row>
    <row r="137" customFormat="false" ht="30" hidden="false" customHeight="true" outlineLevel="0" collapsed="false">
      <c r="A137" s="325" t="s">
        <v>433</v>
      </c>
      <c r="B137" s="326" t="s">
        <v>435</v>
      </c>
      <c r="C137" s="326" t="n">
        <v>8</v>
      </c>
      <c r="D137" s="326" t="n">
        <v>1</v>
      </c>
      <c r="E137" s="327" t="s">
        <v>868</v>
      </c>
      <c r="F137" s="267" t="s">
        <v>869</v>
      </c>
      <c r="G137" s="286" t="s">
        <v>870</v>
      </c>
      <c r="H137" s="269" t="s">
        <v>571</v>
      </c>
      <c r="I137" s="269" t="s">
        <v>572</v>
      </c>
      <c r="J137" s="269" t="s">
        <v>573</v>
      </c>
      <c r="K137" s="269" t="s">
        <v>584</v>
      </c>
      <c r="L137" s="270" t="n">
        <f aca="false">VLOOKUP($H137,$Y$5:$Z$10,2,FALSE())</f>
        <v>0.3</v>
      </c>
      <c r="M137" s="270" t="n">
        <f aca="false">VLOOKUP($I137,$AB$5:$AD$9,IF($K137="No aplicable",3,2),FALSE())</f>
        <v>0.2</v>
      </c>
      <c r="N137" s="270" t="n">
        <f aca="false">VLOOKUP($J137,$AF$5:$AH$9,IF($K137="No aplicable",3,2),FALSE())</f>
        <v>0.15</v>
      </c>
      <c r="O137" s="270" t="str">
        <f aca="false">IF($K137="No aplicable","--",VLOOKUP($K137,$AJ$5:$AK$8,2,FALSE()))</f>
        <v>--</v>
      </c>
      <c r="P137" s="271" t="n">
        <f aca="false">SUM(L137:O137)</f>
        <v>0.65</v>
      </c>
      <c r="Q137" s="253" t="n">
        <f aca="false">P137</f>
        <v>0.65</v>
      </c>
      <c r="R137" s="190"/>
    </row>
    <row r="138" customFormat="false" ht="30" hidden="false" customHeight="true" outlineLevel="0" collapsed="false">
      <c r="A138" s="325" t="s">
        <v>433</v>
      </c>
      <c r="B138" s="326" t="s">
        <v>436</v>
      </c>
      <c r="C138" s="326" t="n">
        <v>1</v>
      </c>
      <c r="D138" s="326" t="n">
        <v>1</v>
      </c>
      <c r="E138" s="327" t="s">
        <v>860</v>
      </c>
      <c r="F138" s="267" t="s">
        <v>861</v>
      </c>
      <c r="G138" s="286" t="s">
        <v>871</v>
      </c>
      <c r="H138" s="269" t="s">
        <v>571</v>
      </c>
      <c r="I138" s="269" t="s">
        <v>572</v>
      </c>
      <c r="J138" s="269" t="s">
        <v>573</v>
      </c>
      <c r="K138" s="269" t="s">
        <v>584</v>
      </c>
      <c r="L138" s="270" t="n">
        <f aca="false">VLOOKUP($H138,$Y$5:$Z$10,2,FALSE())</f>
        <v>0.3</v>
      </c>
      <c r="M138" s="270" t="n">
        <f aca="false">VLOOKUP($I138,$AB$5:$AD$9,IF($K138="No aplicable",3,2),FALSE())</f>
        <v>0.2</v>
      </c>
      <c r="N138" s="270" t="n">
        <f aca="false">VLOOKUP($J138,$AF$5:$AH$9,IF($K138="No aplicable",3,2),FALSE())</f>
        <v>0.15</v>
      </c>
      <c r="O138" s="270" t="str">
        <f aca="false">IF($K138="No aplicable","--",VLOOKUP($K138,$AJ$5:$AK$8,2,FALSE()))</f>
        <v>--</v>
      </c>
      <c r="P138" s="271" t="n">
        <f aca="false">SUM(L138:O138)</f>
        <v>0.65</v>
      </c>
      <c r="Q138" s="314" t="n">
        <f aca="false">P138</f>
        <v>0.65</v>
      </c>
      <c r="R138" s="190"/>
    </row>
    <row r="139" customFormat="false" ht="30" hidden="false" customHeight="true" outlineLevel="0" collapsed="false">
      <c r="A139" s="325" t="s">
        <v>433</v>
      </c>
      <c r="B139" s="326" t="s">
        <v>436</v>
      </c>
      <c r="C139" s="326" t="n">
        <v>2</v>
      </c>
      <c r="D139" s="326" t="n">
        <v>1</v>
      </c>
      <c r="E139" s="327"/>
      <c r="F139" s="285"/>
      <c r="G139" s="286" t="s">
        <v>872</v>
      </c>
      <c r="H139" s="269" t="s">
        <v>571</v>
      </c>
      <c r="I139" s="269" t="s">
        <v>572</v>
      </c>
      <c r="J139" s="269" t="s">
        <v>573</v>
      </c>
      <c r="K139" s="269" t="s">
        <v>584</v>
      </c>
      <c r="L139" s="270" t="n">
        <f aca="false">VLOOKUP($H139,$Y$5:$Z$10,2,FALSE())</f>
        <v>0.3</v>
      </c>
      <c r="M139" s="270" t="n">
        <f aca="false">VLOOKUP($I139,$AB$5:$AD$9,IF($K139="No aplicable",3,2),FALSE())</f>
        <v>0.2</v>
      </c>
      <c r="N139" s="270" t="n">
        <f aca="false">VLOOKUP($J139,$AF$5:$AH$9,IF($K139="No aplicable",3,2),FALSE())</f>
        <v>0.15</v>
      </c>
      <c r="O139" s="270" t="str">
        <f aca="false">IF($K139="No aplicable","--",VLOOKUP($K139,$AJ$5:$AK$8,2,FALSE()))</f>
        <v>--</v>
      </c>
      <c r="P139" s="271" t="n">
        <f aca="false">SUM(L139:O139)</f>
        <v>0.65</v>
      </c>
      <c r="Q139" s="253" t="n">
        <f aca="false">P139</f>
        <v>0.65</v>
      </c>
      <c r="R139" s="190"/>
    </row>
    <row r="140" customFormat="false" ht="30" hidden="false" customHeight="true" outlineLevel="0" collapsed="false">
      <c r="A140" s="325" t="s">
        <v>433</v>
      </c>
      <c r="B140" s="326" t="s">
        <v>436</v>
      </c>
      <c r="C140" s="326" t="n">
        <v>3</v>
      </c>
      <c r="D140" s="326" t="n">
        <v>1</v>
      </c>
      <c r="E140" s="327" t="s">
        <v>678</v>
      </c>
      <c r="F140" s="289" t="s">
        <v>679</v>
      </c>
      <c r="G140" s="286" t="s">
        <v>873</v>
      </c>
      <c r="H140" s="269" t="s">
        <v>571</v>
      </c>
      <c r="I140" s="269" t="s">
        <v>572</v>
      </c>
      <c r="J140" s="269" t="s">
        <v>573</v>
      </c>
      <c r="K140" s="269" t="s">
        <v>584</v>
      </c>
      <c r="L140" s="270" t="n">
        <f aca="false">VLOOKUP($H140,$Y$5:$Z$10,2,FALSE())</f>
        <v>0.3</v>
      </c>
      <c r="M140" s="270" t="n">
        <f aca="false">VLOOKUP($I140,$AB$5:$AD$9,IF($K140="No aplicable",3,2),FALSE())</f>
        <v>0.2</v>
      </c>
      <c r="N140" s="270" t="n">
        <f aca="false">VLOOKUP($J140,$AF$5:$AH$9,IF($K140="No aplicable",3,2),FALSE())</f>
        <v>0.15</v>
      </c>
      <c r="O140" s="270" t="str">
        <f aca="false">IF($K140="No aplicable","--",VLOOKUP($K140,$AJ$5:$AK$8,2,FALSE()))</f>
        <v>--</v>
      </c>
      <c r="P140" s="271" t="n">
        <f aca="false">SUM(L140:O140)</f>
        <v>0.65</v>
      </c>
      <c r="Q140" s="314" t="n">
        <f aca="false">P140</f>
        <v>0.65</v>
      </c>
      <c r="R140" s="190"/>
    </row>
    <row r="141" customFormat="false" ht="30" hidden="false" customHeight="true" outlineLevel="0" collapsed="false">
      <c r="A141" s="325" t="s">
        <v>433</v>
      </c>
      <c r="B141" s="326" t="s">
        <v>436</v>
      </c>
      <c r="C141" s="326" t="n">
        <v>4</v>
      </c>
      <c r="D141" s="326" t="n">
        <v>1</v>
      </c>
      <c r="E141" s="327" t="s">
        <v>720</v>
      </c>
      <c r="F141" s="289" t="s">
        <v>721</v>
      </c>
      <c r="G141" s="286" t="s">
        <v>874</v>
      </c>
      <c r="H141" s="269" t="s">
        <v>571</v>
      </c>
      <c r="I141" s="269" t="s">
        <v>572</v>
      </c>
      <c r="J141" s="269" t="s">
        <v>573</v>
      </c>
      <c r="K141" s="269" t="s">
        <v>584</v>
      </c>
      <c r="L141" s="270" t="n">
        <f aca="false">VLOOKUP($H141,$Y$5:$Z$10,2,FALSE())</f>
        <v>0.3</v>
      </c>
      <c r="M141" s="270" t="n">
        <f aca="false">VLOOKUP($I141,$AB$5:$AD$9,IF($K141="No aplicable",3,2),FALSE())</f>
        <v>0.2</v>
      </c>
      <c r="N141" s="270" t="n">
        <f aca="false">VLOOKUP($J141,$AF$5:$AH$9,IF($K141="No aplicable",3,2),FALSE())</f>
        <v>0.15</v>
      </c>
      <c r="O141" s="270" t="str">
        <f aca="false">IF($K141="No aplicable","--",VLOOKUP($K141,$AJ$5:$AK$8,2,FALSE()))</f>
        <v>--</v>
      </c>
      <c r="P141" s="271" t="n">
        <f aca="false">SUM(L141:O141)</f>
        <v>0.65</v>
      </c>
      <c r="Q141" s="253" t="n">
        <f aca="false">P141</f>
        <v>0.65</v>
      </c>
      <c r="R141" s="190"/>
    </row>
    <row r="142" customFormat="false" ht="30" hidden="false" customHeight="true" outlineLevel="0" collapsed="false">
      <c r="A142" s="328" t="s">
        <v>433</v>
      </c>
      <c r="B142" s="329" t="s">
        <v>436</v>
      </c>
      <c r="C142" s="329" t="n">
        <v>5</v>
      </c>
      <c r="D142" s="329" t="n">
        <v>1</v>
      </c>
      <c r="E142" s="330" t="s">
        <v>812</v>
      </c>
      <c r="F142" s="226" t="s">
        <v>813</v>
      </c>
      <c r="G142" s="283" t="s">
        <v>875</v>
      </c>
      <c r="H142" s="269" t="s">
        <v>571</v>
      </c>
      <c r="I142" s="269" t="s">
        <v>572</v>
      </c>
      <c r="J142" s="269" t="s">
        <v>573</v>
      </c>
      <c r="K142" s="269" t="s">
        <v>584</v>
      </c>
      <c r="L142" s="229" t="n">
        <f aca="false">VLOOKUP($H142,$Y$5:$Z$10,2,FALSE())</f>
        <v>0.3</v>
      </c>
      <c r="M142" s="229" t="n">
        <f aca="false">VLOOKUP($I142,$AB$5:$AD$9,IF($K142="No aplicable",3,2),FALSE())</f>
        <v>0.2</v>
      </c>
      <c r="N142" s="229" t="n">
        <f aca="false">VLOOKUP($J142,$AF$5:$AH$9,IF($K142="No aplicable",3,2),FALSE())</f>
        <v>0.15</v>
      </c>
      <c r="O142" s="229" t="str">
        <f aca="false">IF($K142="No aplicable","--",VLOOKUP($K142,$AJ$5:$AK$8,2,FALSE()))</f>
        <v>--</v>
      </c>
      <c r="P142" s="230" t="n">
        <f aca="false">SUM(L142:O142)</f>
        <v>0.65</v>
      </c>
      <c r="Q142" s="314" t="n">
        <f aca="false">AVERAGE(P142:P143)</f>
        <v>0.65</v>
      </c>
      <c r="R142" s="190"/>
    </row>
    <row r="143" customFormat="false" ht="30" hidden="false" customHeight="true" outlineLevel="0" collapsed="false">
      <c r="A143" s="331" t="s">
        <v>433</v>
      </c>
      <c r="B143" s="332" t="s">
        <v>436</v>
      </c>
      <c r="C143" s="332" t="n">
        <v>5</v>
      </c>
      <c r="D143" s="332" t="n">
        <v>2</v>
      </c>
      <c r="E143" s="333" t="s">
        <v>815</v>
      </c>
      <c r="F143" s="240" t="s">
        <v>816</v>
      </c>
      <c r="G143" s="282" t="s">
        <v>876</v>
      </c>
      <c r="H143" s="269" t="s">
        <v>571</v>
      </c>
      <c r="I143" s="269" t="s">
        <v>572</v>
      </c>
      <c r="J143" s="269" t="s">
        <v>573</v>
      </c>
      <c r="K143" s="269" t="s">
        <v>584</v>
      </c>
      <c r="L143" s="244" t="n">
        <f aca="false">VLOOKUP($H143,$Y$5:$Z$10,2,FALSE())</f>
        <v>0.3</v>
      </c>
      <c r="M143" s="244" t="n">
        <f aca="false">VLOOKUP($I143,$AB$5:$AD$9,IF($K143="No aplicable",3,2),FALSE())</f>
        <v>0.2</v>
      </c>
      <c r="N143" s="244" t="n">
        <f aca="false">VLOOKUP($J143,$AF$5:$AH$9,IF($K143="No aplicable",3,2),FALSE())</f>
        <v>0.15</v>
      </c>
      <c r="O143" s="244" t="str">
        <f aca="false">IF($K143="No aplicable","--",VLOOKUP($K143,$AJ$5:$AK$8,2,FALSE()))</f>
        <v>--</v>
      </c>
      <c r="P143" s="261" t="n">
        <f aca="false">SUM(L143:O143)</f>
        <v>0.65</v>
      </c>
      <c r="Q143" s="314"/>
      <c r="R143" s="190"/>
    </row>
    <row r="144" customFormat="false" ht="30" hidden="false" customHeight="true" outlineLevel="0" collapsed="false">
      <c r="A144" s="334" t="s">
        <v>437</v>
      </c>
      <c r="B144" s="335" t="s">
        <v>426</v>
      </c>
      <c r="C144" s="335" t="n">
        <v>1</v>
      </c>
      <c r="D144" s="335" t="n">
        <v>1</v>
      </c>
      <c r="E144" s="336" t="s">
        <v>877</v>
      </c>
      <c r="F144" s="267" t="s">
        <v>878</v>
      </c>
      <c r="G144" s="286" t="s">
        <v>879</v>
      </c>
      <c r="H144" s="269" t="s">
        <v>571</v>
      </c>
      <c r="I144" s="269" t="s">
        <v>572</v>
      </c>
      <c r="J144" s="269" t="s">
        <v>573</v>
      </c>
      <c r="K144" s="269" t="s">
        <v>584</v>
      </c>
      <c r="L144" s="270" t="n">
        <f aca="false">VLOOKUP($H144,$Y$5:$Z$10,2,FALSE())</f>
        <v>0.3</v>
      </c>
      <c r="M144" s="270" t="n">
        <f aca="false">VLOOKUP($I144,$AB$5:$AD$9,IF($K144="No aplicable",3,2),FALSE())</f>
        <v>0.2</v>
      </c>
      <c r="N144" s="270" t="n">
        <f aca="false">VLOOKUP($J144,$AF$5:$AH$9,IF($K144="No aplicable",3,2),FALSE())</f>
        <v>0.15</v>
      </c>
      <c r="O144" s="270" t="str">
        <f aca="false">IF($K144="No aplicable","--",VLOOKUP($K144,$AJ$5:$AK$8,2,FALSE()))</f>
        <v>--</v>
      </c>
      <c r="P144" s="271" t="n">
        <f aca="false">SUM(L144:O144)</f>
        <v>0.65</v>
      </c>
      <c r="Q144" s="253" t="n">
        <f aca="false">P144</f>
        <v>0.65</v>
      </c>
      <c r="R144" s="190"/>
    </row>
    <row r="145" customFormat="false" ht="30" hidden="false" customHeight="true" outlineLevel="0" collapsed="false">
      <c r="A145" s="334" t="s">
        <v>437</v>
      </c>
      <c r="B145" s="337" t="s">
        <v>438</v>
      </c>
      <c r="C145" s="335" t="n">
        <v>1</v>
      </c>
      <c r="D145" s="335" t="n">
        <v>1</v>
      </c>
      <c r="E145" s="336"/>
      <c r="F145" s="285"/>
      <c r="G145" s="286" t="s">
        <v>880</v>
      </c>
      <c r="H145" s="269" t="s">
        <v>571</v>
      </c>
      <c r="I145" s="269" t="s">
        <v>572</v>
      </c>
      <c r="J145" s="269" t="s">
        <v>573</v>
      </c>
      <c r="K145" s="269" t="s">
        <v>584</v>
      </c>
      <c r="L145" s="270" t="n">
        <f aca="false">VLOOKUP($H145,$Y$5:$Z$10,2,FALSE())</f>
        <v>0.3</v>
      </c>
      <c r="M145" s="270" t="n">
        <f aca="false">VLOOKUP($I145,$AB$5:$AD$9,IF($K145="No aplicable",3,2),FALSE())</f>
        <v>0.2</v>
      </c>
      <c r="N145" s="270" t="n">
        <f aca="false">VLOOKUP($J145,$AF$5:$AH$9,IF($K145="No aplicable",3,2),FALSE())</f>
        <v>0.15</v>
      </c>
      <c r="O145" s="270" t="str">
        <f aca="false">IF($K145="No aplicable","--",VLOOKUP($K145,$AJ$5:$AK$8,2,FALSE()))</f>
        <v>--</v>
      </c>
      <c r="P145" s="271" t="n">
        <f aca="false">SUM(L145:O145)</f>
        <v>0.65</v>
      </c>
      <c r="Q145" s="314" t="n">
        <f aca="false">P145</f>
        <v>0.65</v>
      </c>
      <c r="R145" s="190"/>
    </row>
    <row r="146" customFormat="false" ht="30" hidden="false" customHeight="true" outlineLevel="0" collapsed="false">
      <c r="A146" s="334" t="s">
        <v>437</v>
      </c>
      <c r="B146" s="337" t="s">
        <v>438</v>
      </c>
      <c r="C146" s="335" t="n">
        <v>2</v>
      </c>
      <c r="D146" s="335" t="n">
        <v>1</v>
      </c>
      <c r="E146" s="336"/>
      <c r="F146" s="285"/>
      <c r="G146" s="286" t="s">
        <v>881</v>
      </c>
      <c r="H146" s="269" t="s">
        <v>571</v>
      </c>
      <c r="I146" s="269" t="s">
        <v>572</v>
      </c>
      <c r="J146" s="269" t="s">
        <v>573</v>
      </c>
      <c r="K146" s="269" t="s">
        <v>584</v>
      </c>
      <c r="L146" s="270" t="n">
        <f aca="false">VLOOKUP($H146,$Y$5:$Z$10,2,FALSE())</f>
        <v>0.3</v>
      </c>
      <c r="M146" s="270" t="n">
        <f aca="false">VLOOKUP($I146,$AB$5:$AD$9,IF($K146="No aplicable",3,2),FALSE())</f>
        <v>0.2</v>
      </c>
      <c r="N146" s="270" t="n">
        <f aca="false">VLOOKUP($J146,$AF$5:$AH$9,IF($K146="No aplicable",3,2),FALSE())</f>
        <v>0.15</v>
      </c>
      <c r="O146" s="270" t="str">
        <f aca="false">IF($K146="No aplicable","--",VLOOKUP($K146,$AJ$5:$AK$8,2,FALSE()))</f>
        <v>--</v>
      </c>
      <c r="P146" s="271" t="n">
        <f aca="false">SUM(L146:O146)</f>
        <v>0.65</v>
      </c>
      <c r="Q146" s="253" t="n">
        <f aca="false">P146</f>
        <v>0.65</v>
      </c>
      <c r="R146" s="190"/>
    </row>
    <row r="147" customFormat="false" ht="30" hidden="false" customHeight="true" outlineLevel="0" collapsed="false">
      <c r="A147" s="334" t="s">
        <v>437</v>
      </c>
      <c r="B147" s="337" t="s">
        <v>438</v>
      </c>
      <c r="C147" s="335" t="n">
        <v>3</v>
      </c>
      <c r="D147" s="335" t="n">
        <v>1</v>
      </c>
      <c r="E147" s="336"/>
      <c r="F147" s="285"/>
      <c r="G147" s="286" t="s">
        <v>882</v>
      </c>
      <c r="H147" s="269" t="s">
        <v>571</v>
      </c>
      <c r="I147" s="269" t="s">
        <v>572</v>
      </c>
      <c r="J147" s="269" t="s">
        <v>573</v>
      </c>
      <c r="K147" s="269" t="s">
        <v>584</v>
      </c>
      <c r="L147" s="270" t="n">
        <f aca="false">VLOOKUP($H147,$Y$5:$Z$10,2,FALSE())</f>
        <v>0.3</v>
      </c>
      <c r="M147" s="270" t="n">
        <f aca="false">VLOOKUP($I147,$AB$5:$AD$9,IF($K147="No aplicable",3,2),FALSE())</f>
        <v>0.2</v>
      </c>
      <c r="N147" s="270" t="n">
        <f aca="false">VLOOKUP($J147,$AF$5:$AH$9,IF($K147="No aplicable",3,2),FALSE())</f>
        <v>0.15</v>
      </c>
      <c r="O147" s="270" t="str">
        <f aca="false">IF($K147="No aplicable","--",VLOOKUP($K147,$AJ$5:$AK$8,2,FALSE()))</f>
        <v>--</v>
      </c>
      <c r="P147" s="271" t="n">
        <f aca="false">SUM(L147:O147)</f>
        <v>0.65</v>
      </c>
      <c r="Q147" s="314" t="n">
        <f aca="false">P147</f>
        <v>0.65</v>
      </c>
      <c r="R147" s="190"/>
    </row>
    <row r="148" customFormat="false" ht="30" hidden="false" customHeight="true" outlineLevel="0" collapsed="false">
      <c r="A148" s="334" t="s">
        <v>437</v>
      </c>
      <c r="B148" s="337" t="s">
        <v>438</v>
      </c>
      <c r="C148" s="335" t="n">
        <v>4</v>
      </c>
      <c r="D148" s="335" t="n">
        <v>1</v>
      </c>
      <c r="E148" s="336"/>
      <c r="F148" s="285"/>
      <c r="G148" s="286" t="s">
        <v>883</v>
      </c>
      <c r="H148" s="269" t="s">
        <v>571</v>
      </c>
      <c r="I148" s="269" t="s">
        <v>572</v>
      </c>
      <c r="J148" s="269" t="s">
        <v>573</v>
      </c>
      <c r="K148" s="269" t="s">
        <v>584</v>
      </c>
      <c r="L148" s="270" t="n">
        <f aca="false">VLOOKUP($H148,$Y$5:$Z$10,2,FALSE())</f>
        <v>0.3</v>
      </c>
      <c r="M148" s="270" t="n">
        <f aca="false">VLOOKUP($I148,$AB$5:$AD$9,IF($K148="No aplicable",3,2),FALSE())</f>
        <v>0.2</v>
      </c>
      <c r="N148" s="270" t="n">
        <f aca="false">VLOOKUP($J148,$AF$5:$AH$9,IF($K148="No aplicable",3,2),FALSE())</f>
        <v>0.15</v>
      </c>
      <c r="O148" s="270" t="str">
        <f aca="false">IF($K148="No aplicable","--",VLOOKUP($K148,$AJ$5:$AK$8,2,FALSE()))</f>
        <v>--</v>
      </c>
      <c r="P148" s="271" t="n">
        <f aca="false">SUM(L148:O148)</f>
        <v>0.65</v>
      </c>
      <c r="Q148" s="253" t="n">
        <f aca="false">P148</f>
        <v>0.65</v>
      </c>
      <c r="R148" s="190"/>
    </row>
    <row r="149" customFormat="false" ht="30" hidden="false" customHeight="true" outlineLevel="0" collapsed="false">
      <c r="A149" s="334" t="s">
        <v>437</v>
      </c>
      <c r="B149" s="337" t="s">
        <v>438</v>
      </c>
      <c r="C149" s="335" t="n">
        <v>5</v>
      </c>
      <c r="D149" s="335" t="n">
        <v>1</v>
      </c>
      <c r="E149" s="336"/>
      <c r="F149" s="285"/>
      <c r="G149" s="286" t="s">
        <v>884</v>
      </c>
      <c r="H149" s="269" t="s">
        <v>598</v>
      </c>
      <c r="I149" s="269" t="s">
        <v>602</v>
      </c>
      <c r="J149" s="269" t="s">
        <v>596</v>
      </c>
      <c r="K149" s="269" t="s">
        <v>584</v>
      </c>
      <c r="L149" s="270" t="n">
        <f aca="false">VLOOKUP($H149,$Y$5:$Z$10,2,FALSE())</f>
        <v>0.2</v>
      </c>
      <c r="M149" s="270" t="n">
        <f aca="false">VLOOKUP($I149,$AB$5:$AD$9,IF($K149="No aplicable",3,2),FALSE())</f>
        <v>0.15</v>
      </c>
      <c r="N149" s="270" t="n">
        <f aca="false">VLOOKUP($J149,$AF$5:$AH$9,IF($K149="No aplicable",3,2),FALSE())</f>
        <v>0.075</v>
      </c>
      <c r="O149" s="270" t="str">
        <f aca="false">IF($K149="No aplicable","--",VLOOKUP($K149,$AJ$5:$AK$8,2,FALSE()))</f>
        <v>--</v>
      </c>
      <c r="P149" s="271" t="n">
        <f aca="false">SUM(L149:O149)</f>
        <v>0.425</v>
      </c>
      <c r="Q149" s="314" t="n">
        <f aca="false">P149</f>
        <v>0.425</v>
      </c>
      <c r="R149" s="190"/>
    </row>
    <row r="150" customFormat="false" ht="30" hidden="false" customHeight="true" outlineLevel="0" collapsed="false">
      <c r="A150" s="334" t="s">
        <v>437</v>
      </c>
      <c r="B150" s="337" t="s">
        <v>421</v>
      </c>
      <c r="C150" s="335" t="n">
        <v>1</v>
      </c>
      <c r="D150" s="335" t="n">
        <v>1</v>
      </c>
      <c r="E150" s="336" t="s">
        <v>885</v>
      </c>
      <c r="F150" s="267" t="s">
        <v>886</v>
      </c>
      <c r="G150" s="286" t="s">
        <v>887</v>
      </c>
      <c r="H150" s="269" t="s">
        <v>598</v>
      </c>
      <c r="I150" s="269" t="s">
        <v>602</v>
      </c>
      <c r="J150" s="269" t="s">
        <v>573</v>
      </c>
      <c r="K150" s="269" t="s">
        <v>584</v>
      </c>
      <c r="L150" s="270" t="n">
        <f aca="false">VLOOKUP($H150,$Y$5:$Z$10,2,FALSE())</f>
        <v>0.2</v>
      </c>
      <c r="M150" s="270" t="n">
        <f aca="false">VLOOKUP($I150,$AB$5:$AD$9,IF($K150="No aplicable",3,2),FALSE())</f>
        <v>0.15</v>
      </c>
      <c r="N150" s="270" t="n">
        <f aca="false">VLOOKUP($J150,$AF$5:$AH$9,IF($K150="No aplicable",3,2),FALSE())</f>
        <v>0.15</v>
      </c>
      <c r="O150" s="270" t="str">
        <f aca="false">IF($K150="No aplicable","--",VLOOKUP($K150,$AJ$5:$AK$8,2,FALSE()))</f>
        <v>--</v>
      </c>
      <c r="P150" s="271" t="n">
        <f aca="false">SUM(L150:O150)</f>
        <v>0.5</v>
      </c>
      <c r="Q150" s="253" t="n">
        <f aca="false">P150</f>
        <v>0.5</v>
      </c>
      <c r="R150" s="190"/>
    </row>
    <row r="151" customFormat="false" ht="30" hidden="false" customHeight="true" outlineLevel="0" collapsed="false">
      <c r="A151" s="334" t="s">
        <v>437</v>
      </c>
      <c r="B151" s="337" t="s">
        <v>421</v>
      </c>
      <c r="C151" s="335" t="n">
        <v>2</v>
      </c>
      <c r="D151" s="335" t="n">
        <v>1</v>
      </c>
      <c r="E151" s="336"/>
      <c r="F151" s="285"/>
      <c r="G151" s="286" t="s">
        <v>888</v>
      </c>
      <c r="H151" s="269" t="s">
        <v>571</v>
      </c>
      <c r="I151" s="269" t="s">
        <v>572</v>
      </c>
      <c r="J151" s="269" t="s">
        <v>573</v>
      </c>
      <c r="K151" s="269" t="s">
        <v>584</v>
      </c>
      <c r="L151" s="270" t="n">
        <f aca="false">VLOOKUP($H151,$Y$5:$Z$10,2,FALSE())</f>
        <v>0.3</v>
      </c>
      <c r="M151" s="270" t="n">
        <f aca="false">VLOOKUP($I151,$AB$5:$AD$9,IF($K151="No aplicable",3,2),FALSE())</f>
        <v>0.2</v>
      </c>
      <c r="N151" s="270" t="n">
        <f aca="false">VLOOKUP($J151,$AF$5:$AH$9,IF($K151="No aplicable",3,2),FALSE())</f>
        <v>0.15</v>
      </c>
      <c r="O151" s="270" t="str">
        <f aca="false">IF($K151="No aplicable","--",VLOOKUP($K151,$AJ$5:$AK$8,2,FALSE()))</f>
        <v>--</v>
      </c>
      <c r="P151" s="271" t="n">
        <f aca="false">SUM(L151:O151)</f>
        <v>0.65</v>
      </c>
      <c r="Q151" s="314" t="n">
        <f aca="false">P151</f>
        <v>0.65</v>
      </c>
      <c r="R151" s="190"/>
    </row>
    <row r="152" customFormat="false" ht="30" hidden="false" customHeight="true" outlineLevel="0" collapsed="false">
      <c r="A152" s="334" t="s">
        <v>437</v>
      </c>
      <c r="B152" s="337" t="s">
        <v>421</v>
      </c>
      <c r="C152" s="335" t="n">
        <v>3</v>
      </c>
      <c r="D152" s="335" t="n">
        <v>1</v>
      </c>
      <c r="E152" s="336"/>
      <c r="F152" s="285"/>
      <c r="G152" s="286" t="s">
        <v>889</v>
      </c>
      <c r="H152" s="269" t="s">
        <v>571</v>
      </c>
      <c r="I152" s="269" t="s">
        <v>572</v>
      </c>
      <c r="J152" s="269" t="s">
        <v>573</v>
      </c>
      <c r="K152" s="269" t="s">
        <v>584</v>
      </c>
      <c r="L152" s="270" t="n">
        <f aca="false">VLOOKUP($H152,$Y$5:$Z$10,2,FALSE())</f>
        <v>0.3</v>
      </c>
      <c r="M152" s="270" t="n">
        <f aca="false">VLOOKUP($I152,$AB$5:$AD$9,IF($K152="No aplicable",3,2),FALSE())</f>
        <v>0.2</v>
      </c>
      <c r="N152" s="270" t="n">
        <f aca="false">VLOOKUP($J152,$AF$5:$AH$9,IF($K152="No aplicable",3,2),FALSE())</f>
        <v>0.15</v>
      </c>
      <c r="O152" s="270" t="str">
        <f aca="false">IF($K152="No aplicable","--",VLOOKUP($K152,$AJ$5:$AK$8,2,FALSE()))</f>
        <v>--</v>
      </c>
      <c r="P152" s="271" t="n">
        <f aca="false">SUM(L152:O152)</f>
        <v>0.65</v>
      </c>
      <c r="Q152" s="253" t="n">
        <f aca="false">P152</f>
        <v>0.65</v>
      </c>
      <c r="R152" s="190"/>
    </row>
    <row r="153" customFormat="false" ht="30" hidden="false" customHeight="true" outlineLevel="0" collapsed="false">
      <c r="A153" s="334" t="s">
        <v>437</v>
      </c>
      <c r="B153" s="337" t="s">
        <v>421</v>
      </c>
      <c r="C153" s="335" t="n">
        <v>4</v>
      </c>
      <c r="D153" s="335" t="n">
        <v>1</v>
      </c>
      <c r="E153" s="336"/>
      <c r="F153" s="285"/>
      <c r="G153" s="286" t="s">
        <v>890</v>
      </c>
      <c r="H153" s="269" t="s">
        <v>571</v>
      </c>
      <c r="I153" s="269" t="s">
        <v>572</v>
      </c>
      <c r="J153" s="269" t="s">
        <v>573</v>
      </c>
      <c r="K153" s="269" t="s">
        <v>584</v>
      </c>
      <c r="L153" s="270" t="n">
        <f aca="false">VLOOKUP($H153,$Y$5:$Z$10,2,FALSE())</f>
        <v>0.3</v>
      </c>
      <c r="M153" s="270" t="n">
        <f aca="false">VLOOKUP($I153,$AB$5:$AD$9,IF($K153="No aplicable",3,2),FALSE())</f>
        <v>0.2</v>
      </c>
      <c r="N153" s="270" t="n">
        <f aca="false">VLOOKUP($J153,$AF$5:$AH$9,IF($K153="No aplicable",3,2),FALSE())</f>
        <v>0.15</v>
      </c>
      <c r="O153" s="270" t="str">
        <f aca="false">IF($K153="No aplicable","--",VLOOKUP($K153,$AJ$5:$AK$8,2,FALSE()))</f>
        <v>--</v>
      </c>
      <c r="P153" s="271" t="n">
        <f aca="false">SUM(L153:O153)</f>
        <v>0.65</v>
      </c>
      <c r="Q153" s="314" t="n">
        <f aca="false">P153</f>
        <v>0.65</v>
      </c>
      <c r="R153" s="190"/>
    </row>
    <row r="154" customFormat="false" ht="30" hidden="false" customHeight="true" outlineLevel="0" collapsed="false">
      <c r="A154" s="334" t="s">
        <v>437</v>
      </c>
      <c r="B154" s="337" t="s">
        <v>421</v>
      </c>
      <c r="C154" s="335" t="n">
        <v>5</v>
      </c>
      <c r="D154" s="335" t="n">
        <v>1</v>
      </c>
      <c r="E154" s="336"/>
      <c r="F154" s="285"/>
      <c r="G154" s="286" t="s">
        <v>891</v>
      </c>
      <c r="H154" s="269" t="s">
        <v>571</v>
      </c>
      <c r="I154" s="269" t="s">
        <v>572</v>
      </c>
      <c r="J154" s="269" t="s">
        <v>573</v>
      </c>
      <c r="K154" s="269" t="s">
        <v>584</v>
      </c>
      <c r="L154" s="270" t="n">
        <f aca="false">VLOOKUP($H154,$Y$5:$Z$10,2,FALSE())</f>
        <v>0.3</v>
      </c>
      <c r="M154" s="270" t="n">
        <f aca="false">VLOOKUP($I154,$AB$5:$AD$9,IF($K154="No aplicable",3,2),FALSE())</f>
        <v>0.2</v>
      </c>
      <c r="N154" s="270" t="n">
        <f aca="false">VLOOKUP($J154,$AF$5:$AH$9,IF($K154="No aplicable",3,2),FALSE())</f>
        <v>0.15</v>
      </c>
      <c r="O154" s="270" t="str">
        <f aca="false">IF($K154="No aplicable","--",VLOOKUP($K154,$AJ$5:$AK$8,2,FALSE()))</f>
        <v>--</v>
      </c>
      <c r="P154" s="271" t="n">
        <f aca="false">SUM(L154:O154)</f>
        <v>0.65</v>
      </c>
      <c r="Q154" s="314" t="n">
        <f aca="false">P154</f>
        <v>0.65</v>
      </c>
      <c r="R154" s="190"/>
    </row>
    <row r="155" customFormat="false" ht="30" hidden="false" customHeight="true" outlineLevel="0" collapsed="false">
      <c r="A155" s="334" t="s">
        <v>437</v>
      </c>
      <c r="B155" s="337" t="s">
        <v>440</v>
      </c>
      <c r="C155" s="335" t="n">
        <v>1</v>
      </c>
      <c r="D155" s="335" t="n">
        <v>1</v>
      </c>
      <c r="E155" s="336"/>
      <c r="F155" s="285"/>
      <c r="G155" s="286" t="s">
        <v>892</v>
      </c>
      <c r="H155" s="269" t="s">
        <v>571</v>
      </c>
      <c r="I155" s="269" t="s">
        <v>572</v>
      </c>
      <c r="J155" s="269" t="s">
        <v>573</v>
      </c>
      <c r="K155" s="269" t="s">
        <v>584</v>
      </c>
      <c r="L155" s="270" t="n">
        <f aca="false">VLOOKUP($H155,$Y$5:$Z$10,2,FALSE())</f>
        <v>0.3</v>
      </c>
      <c r="M155" s="270" t="n">
        <f aca="false">VLOOKUP($I155,$AB$5:$AD$9,IF($K155="No aplicable",3,2),FALSE())</f>
        <v>0.2</v>
      </c>
      <c r="N155" s="270" t="n">
        <f aca="false">VLOOKUP($J155,$AF$5:$AH$9,IF($K155="No aplicable",3,2),FALSE())</f>
        <v>0.15</v>
      </c>
      <c r="O155" s="270" t="str">
        <f aca="false">IF($K155="No aplicable","--",VLOOKUP($K155,$AJ$5:$AK$8,2,FALSE()))</f>
        <v>--</v>
      </c>
      <c r="P155" s="271" t="n">
        <f aca="false">SUM(L155:O155)</f>
        <v>0.65</v>
      </c>
      <c r="Q155" s="253" t="n">
        <f aca="false">P155</f>
        <v>0.65</v>
      </c>
      <c r="R155" s="190"/>
    </row>
    <row r="156" customFormat="false" ht="30" hidden="false" customHeight="true" outlineLevel="0" collapsed="false">
      <c r="A156" s="334" t="s">
        <v>437</v>
      </c>
      <c r="B156" s="337" t="s">
        <v>440</v>
      </c>
      <c r="C156" s="335" t="n">
        <v>2</v>
      </c>
      <c r="D156" s="335" t="n">
        <v>1</v>
      </c>
      <c r="E156" s="336"/>
      <c r="F156" s="285"/>
      <c r="G156" s="286" t="s">
        <v>893</v>
      </c>
      <c r="H156" s="269" t="s">
        <v>571</v>
      </c>
      <c r="I156" s="269" t="s">
        <v>572</v>
      </c>
      <c r="J156" s="269" t="s">
        <v>573</v>
      </c>
      <c r="K156" s="269" t="s">
        <v>584</v>
      </c>
      <c r="L156" s="270" t="n">
        <f aca="false">VLOOKUP($H156,$Y$5:$Z$10,2,FALSE())</f>
        <v>0.3</v>
      </c>
      <c r="M156" s="270" t="n">
        <f aca="false">VLOOKUP($I156,$AB$5:$AD$9,IF($K156="No aplicable",3,2),FALSE())</f>
        <v>0.2</v>
      </c>
      <c r="N156" s="270" t="n">
        <f aca="false">VLOOKUP($J156,$AF$5:$AH$9,IF($K156="No aplicable",3,2),FALSE())</f>
        <v>0.15</v>
      </c>
      <c r="O156" s="270" t="str">
        <f aca="false">IF($K156="No aplicable","--",VLOOKUP($K156,$AJ$5:$AK$8,2,FALSE()))</f>
        <v>--</v>
      </c>
      <c r="P156" s="271" t="n">
        <f aca="false">SUM(L156:O156)</f>
        <v>0.65</v>
      </c>
      <c r="Q156" s="314" t="n">
        <f aca="false">P156</f>
        <v>0.65</v>
      </c>
      <c r="R156" s="190"/>
    </row>
    <row r="157" customFormat="false" ht="30" hidden="false" customHeight="true" outlineLevel="0" collapsed="false">
      <c r="A157" s="334" t="s">
        <v>437</v>
      </c>
      <c r="B157" s="337" t="s">
        <v>440</v>
      </c>
      <c r="C157" s="335" t="n">
        <v>3</v>
      </c>
      <c r="D157" s="335" t="n">
        <v>1</v>
      </c>
      <c r="E157" s="336"/>
      <c r="F157" s="285"/>
      <c r="G157" s="286" t="s">
        <v>894</v>
      </c>
      <c r="H157" s="269" t="s">
        <v>571</v>
      </c>
      <c r="I157" s="269" t="s">
        <v>572</v>
      </c>
      <c r="J157" s="269" t="s">
        <v>573</v>
      </c>
      <c r="K157" s="269" t="s">
        <v>584</v>
      </c>
      <c r="L157" s="270" t="n">
        <f aca="false">VLOOKUP($H157,$Y$5:$Z$10,2,FALSE())</f>
        <v>0.3</v>
      </c>
      <c r="M157" s="270" t="n">
        <f aca="false">VLOOKUP($I157,$AB$5:$AD$9,IF($K157="No aplicable",3,2),FALSE())</f>
        <v>0.2</v>
      </c>
      <c r="N157" s="270" t="n">
        <f aca="false">VLOOKUP($J157,$AF$5:$AH$9,IF($K157="No aplicable",3,2),FALSE())</f>
        <v>0.15</v>
      </c>
      <c r="O157" s="270" t="str">
        <f aca="false">IF($K157="No aplicable","--",VLOOKUP($K157,$AJ$5:$AK$8,2,FALSE()))</f>
        <v>--</v>
      </c>
      <c r="P157" s="271" t="n">
        <f aca="false">SUM(L157:O157)</f>
        <v>0.65</v>
      </c>
      <c r="Q157" s="253" t="n">
        <f aca="false">P157</f>
        <v>0.65</v>
      </c>
      <c r="R157" s="190"/>
    </row>
    <row r="158" customFormat="false" ht="30" hidden="false" customHeight="true" outlineLevel="0" collapsed="false">
      <c r="A158" s="334" t="s">
        <v>437</v>
      </c>
      <c r="B158" s="337" t="s">
        <v>441</v>
      </c>
      <c r="C158" s="335" t="n">
        <v>1</v>
      </c>
      <c r="D158" s="335" t="n">
        <v>1</v>
      </c>
      <c r="E158" s="336" t="s">
        <v>895</v>
      </c>
      <c r="F158" s="267" t="s">
        <v>896</v>
      </c>
      <c r="G158" s="286" t="s">
        <v>897</v>
      </c>
      <c r="H158" s="269" t="s">
        <v>571</v>
      </c>
      <c r="I158" s="269" t="s">
        <v>572</v>
      </c>
      <c r="J158" s="269" t="s">
        <v>573</v>
      </c>
      <c r="K158" s="269" t="s">
        <v>584</v>
      </c>
      <c r="L158" s="270" t="n">
        <f aca="false">VLOOKUP($H158,$Y$5:$Z$10,2,FALSE())</f>
        <v>0.3</v>
      </c>
      <c r="M158" s="270" t="n">
        <f aca="false">VLOOKUP($I158,$AB$5:$AD$9,IF($K158="No aplicable",3,2),FALSE())</f>
        <v>0.2</v>
      </c>
      <c r="N158" s="270" t="n">
        <f aca="false">VLOOKUP($J158,$AF$5:$AH$9,IF($K158="No aplicable",3,2),FALSE())</f>
        <v>0.15</v>
      </c>
      <c r="O158" s="270" t="str">
        <f aca="false">IF($K158="No aplicable","--",VLOOKUP($K158,$AJ$5:$AK$8,2,FALSE()))</f>
        <v>--</v>
      </c>
      <c r="P158" s="271" t="n">
        <f aca="false">SUM(L158:O158)</f>
        <v>0.65</v>
      </c>
      <c r="Q158" s="314" t="n">
        <f aca="false">P158</f>
        <v>0.65</v>
      </c>
      <c r="R158" s="190"/>
    </row>
    <row r="159" customFormat="false" ht="30" hidden="false" customHeight="true" outlineLevel="0" collapsed="false">
      <c r="A159" s="338" t="s">
        <v>437</v>
      </c>
      <c r="B159" s="339" t="s">
        <v>441</v>
      </c>
      <c r="C159" s="340" t="n">
        <v>2</v>
      </c>
      <c r="D159" s="340" t="n">
        <v>1</v>
      </c>
      <c r="E159" s="341"/>
      <c r="F159" s="184"/>
      <c r="G159" s="293" t="s">
        <v>898</v>
      </c>
      <c r="H159" s="269" t="s">
        <v>571</v>
      </c>
      <c r="I159" s="269" t="s">
        <v>572</v>
      </c>
      <c r="J159" s="269" t="s">
        <v>573</v>
      </c>
      <c r="K159" s="269" t="s">
        <v>584</v>
      </c>
      <c r="L159" s="342" t="n">
        <f aca="false">VLOOKUP($H159,$Y$5:$Z$10,2,FALSE())</f>
        <v>0.3</v>
      </c>
      <c r="M159" s="342" t="n">
        <f aca="false">VLOOKUP($I159,$AB$5:$AD$9,IF($K159="No aplicable",3,2),FALSE())</f>
        <v>0.2</v>
      </c>
      <c r="N159" s="342" t="n">
        <f aca="false">VLOOKUP($J159,$AF$5:$AH$9,IF($K159="No aplicable",3,2),FALSE())</f>
        <v>0.15</v>
      </c>
      <c r="O159" s="342" t="str">
        <f aca="false">IF($K159="No aplicable","--",VLOOKUP($K159,$AJ$5:$AK$8,2,FALSE()))</f>
        <v>--</v>
      </c>
      <c r="P159" s="343" t="n">
        <f aca="false">SUM(L159:O159)</f>
        <v>0.65</v>
      </c>
      <c r="Q159" s="315" t="n">
        <f aca="false">P159</f>
        <v>0.65</v>
      </c>
      <c r="R159" s="344"/>
    </row>
    <row r="160" customFormat="false" ht="30" hidden="false" customHeight="true" outlineLevel="0" collapsed="false">
      <c r="A160" s="345" t="s">
        <v>442</v>
      </c>
      <c r="B160" s="346" t="s">
        <v>426</v>
      </c>
      <c r="C160" s="346" t="n">
        <v>1</v>
      </c>
      <c r="D160" s="346" t="n">
        <v>1</v>
      </c>
      <c r="E160" s="347" t="s">
        <v>899</v>
      </c>
      <c r="F160" s="348" t="s">
        <v>900</v>
      </c>
      <c r="G160" s="283" t="s">
        <v>901</v>
      </c>
      <c r="H160" s="228" t="s">
        <v>571</v>
      </c>
      <c r="I160" s="228" t="s">
        <v>572</v>
      </c>
      <c r="J160" s="228" t="s">
        <v>573</v>
      </c>
      <c r="K160" s="228" t="s">
        <v>584</v>
      </c>
      <c r="L160" s="229" t="n">
        <f aca="false">VLOOKUP($H160,$Y$5:$Z$10,2,FALSE())</f>
        <v>0.3</v>
      </c>
      <c r="M160" s="229" t="n">
        <f aca="false">VLOOKUP($I160,$AB$5:$AD$9,IF($K160="No aplicable",3,2),FALSE())</f>
        <v>0.2</v>
      </c>
      <c r="N160" s="229" t="n">
        <f aca="false">VLOOKUP($J160,$AF$5:$AH$9,IF($K160="No aplicable",3,2),FALSE())</f>
        <v>0.15</v>
      </c>
      <c r="O160" s="229" t="str">
        <f aca="false">IF($K160="No aplicable","--",VLOOKUP($K160,$AJ$5:$AK$8,2,FALSE()))</f>
        <v>--</v>
      </c>
      <c r="P160" s="230" t="n">
        <f aca="false">SUM(L160:O160)</f>
        <v>0.65</v>
      </c>
      <c r="Q160" s="314" t="n">
        <f aca="false">AVERAGE(P160:P161)</f>
        <v>0.65</v>
      </c>
      <c r="R160" s="273"/>
    </row>
    <row r="161" customFormat="false" ht="30" hidden="false" customHeight="true" outlineLevel="0" collapsed="false">
      <c r="A161" s="349" t="s">
        <v>442</v>
      </c>
      <c r="B161" s="350" t="s">
        <v>426</v>
      </c>
      <c r="C161" s="350" t="n">
        <v>1</v>
      </c>
      <c r="D161" s="350" t="n">
        <v>2</v>
      </c>
      <c r="E161" s="351" t="s">
        <v>902</v>
      </c>
      <c r="F161" s="352" t="s">
        <v>903</v>
      </c>
      <c r="G161" s="282" t="s">
        <v>904</v>
      </c>
      <c r="H161" s="260" t="s">
        <v>571</v>
      </c>
      <c r="I161" s="260" t="s">
        <v>572</v>
      </c>
      <c r="J161" s="260" t="s">
        <v>573</v>
      </c>
      <c r="K161" s="260" t="s">
        <v>584</v>
      </c>
      <c r="L161" s="243" t="n">
        <f aca="false">VLOOKUP($H161,$Y$5:$Z$10,2,FALSE())</f>
        <v>0.3</v>
      </c>
      <c r="M161" s="243" t="n">
        <f aca="false">VLOOKUP($I161,$AB$5:$AD$9,IF($K161="No aplicable",3,2),FALSE())</f>
        <v>0.2</v>
      </c>
      <c r="N161" s="243" t="n">
        <f aca="false">VLOOKUP($J161,$AF$5:$AH$9,IF($K161="No aplicable",3,2),FALSE())</f>
        <v>0.15</v>
      </c>
      <c r="O161" s="243" t="str">
        <f aca="false">IF($K161="No aplicable","--",VLOOKUP($K161,$AJ$5:$AK$8,2,FALSE()))</f>
        <v>--</v>
      </c>
      <c r="P161" s="245" t="n">
        <f aca="false">SUM(L161:O161)</f>
        <v>0.65</v>
      </c>
      <c r="Q161" s="314"/>
      <c r="R161" s="246"/>
    </row>
    <row r="162" customFormat="false" ht="30" hidden="false" customHeight="true" outlineLevel="0" collapsed="false">
      <c r="A162" s="353" t="s">
        <v>442</v>
      </c>
      <c r="B162" s="354" t="s">
        <v>443</v>
      </c>
      <c r="C162" s="354" t="n">
        <v>1</v>
      </c>
      <c r="D162" s="354" t="n">
        <v>1</v>
      </c>
      <c r="E162" s="355" t="s">
        <v>753</v>
      </c>
      <c r="F162" s="323" t="s">
        <v>754</v>
      </c>
      <c r="G162" s="324" t="s">
        <v>905</v>
      </c>
      <c r="H162" s="269" t="s">
        <v>571</v>
      </c>
      <c r="I162" s="269" t="s">
        <v>572</v>
      </c>
      <c r="J162" s="269" t="s">
        <v>573</v>
      </c>
      <c r="K162" s="269" t="s">
        <v>584</v>
      </c>
      <c r="L162" s="270" t="n">
        <f aca="false">VLOOKUP($H162,$Y$5:$Z$10,2,FALSE())</f>
        <v>0.3</v>
      </c>
      <c r="M162" s="270" t="n">
        <f aca="false">VLOOKUP($I162,$AB$5:$AD$9,IF($K162="No aplicable",3,2),FALSE())</f>
        <v>0.2</v>
      </c>
      <c r="N162" s="270" t="n">
        <f aca="false">VLOOKUP($J162,$AF$5:$AH$9,IF($K162="No aplicable",3,2),FALSE())</f>
        <v>0.15</v>
      </c>
      <c r="O162" s="270" t="str">
        <f aca="false">IF($K162="No aplicable","--",VLOOKUP($K162,$AJ$5:$AK$8,2,FALSE()))</f>
        <v>--</v>
      </c>
      <c r="P162" s="271" t="n">
        <f aca="false">SUM(L162:O162)</f>
        <v>0.65</v>
      </c>
      <c r="Q162" s="356" t="n">
        <f aca="false">P162</f>
        <v>0.65</v>
      </c>
      <c r="R162" s="279"/>
    </row>
    <row r="163" customFormat="false" ht="30" hidden="false" customHeight="true" outlineLevel="0" collapsed="false">
      <c r="A163" s="357" t="s">
        <v>442</v>
      </c>
      <c r="B163" s="358" t="s">
        <v>443</v>
      </c>
      <c r="C163" s="358" t="n">
        <v>2</v>
      </c>
      <c r="D163" s="358" t="n">
        <v>1</v>
      </c>
      <c r="E163" s="359" t="s">
        <v>906</v>
      </c>
      <c r="F163" s="267" t="s">
        <v>907</v>
      </c>
      <c r="G163" s="286" t="s">
        <v>908</v>
      </c>
      <c r="H163" s="269" t="s">
        <v>571</v>
      </c>
      <c r="I163" s="269" t="s">
        <v>572</v>
      </c>
      <c r="J163" s="269" t="s">
        <v>573</v>
      </c>
      <c r="K163" s="269" t="s">
        <v>584</v>
      </c>
      <c r="L163" s="270" t="n">
        <f aca="false">VLOOKUP($H163,$Y$5:$Z$10,2,FALSE())</f>
        <v>0.3</v>
      </c>
      <c r="M163" s="270" t="n">
        <f aca="false">VLOOKUP($I163,$AB$5:$AD$9,IF($K163="No aplicable",3,2),FALSE())</f>
        <v>0.2</v>
      </c>
      <c r="N163" s="270" t="n">
        <f aca="false">VLOOKUP($J163,$AF$5:$AH$9,IF($K163="No aplicable",3,2),FALSE())</f>
        <v>0.15</v>
      </c>
      <c r="O163" s="270" t="str">
        <f aca="false">IF($K163="No aplicable","--",VLOOKUP($K163,$AJ$5:$AK$8,2,FALSE()))</f>
        <v>--</v>
      </c>
      <c r="P163" s="271" t="n">
        <f aca="false">SUM(L163:O163)</f>
        <v>0.65</v>
      </c>
      <c r="Q163" s="314" t="n">
        <f aca="false">P163</f>
        <v>0.65</v>
      </c>
      <c r="R163" s="190"/>
    </row>
    <row r="164" customFormat="false" ht="30" hidden="false" customHeight="true" outlineLevel="0" collapsed="false">
      <c r="A164" s="357" t="s">
        <v>442</v>
      </c>
      <c r="B164" s="358" t="s">
        <v>439</v>
      </c>
      <c r="C164" s="358" t="n">
        <v>1</v>
      </c>
      <c r="D164" s="358" t="n">
        <v>1</v>
      </c>
      <c r="E164" s="359" t="s">
        <v>909</v>
      </c>
      <c r="F164" s="267" t="s">
        <v>910</v>
      </c>
      <c r="G164" s="286" t="s">
        <v>911</v>
      </c>
      <c r="H164" s="269" t="s">
        <v>571</v>
      </c>
      <c r="I164" s="269" t="s">
        <v>572</v>
      </c>
      <c r="J164" s="269" t="s">
        <v>573</v>
      </c>
      <c r="K164" s="269" t="s">
        <v>584</v>
      </c>
      <c r="L164" s="270" t="n">
        <f aca="false">VLOOKUP($H164,$Y$5:$Z$10,2,FALSE())</f>
        <v>0.3</v>
      </c>
      <c r="M164" s="270" t="n">
        <f aca="false">VLOOKUP($I164,$AB$5:$AD$9,IF($K164="No aplicable",3,2),FALSE())</f>
        <v>0.2</v>
      </c>
      <c r="N164" s="270" t="n">
        <f aca="false">VLOOKUP($J164,$AF$5:$AH$9,IF($K164="No aplicable",3,2),FALSE())</f>
        <v>0.15</v>
      </c>
      <c r="O164" s="270" t="str">
        <f aca="false">IF($K164="No aplicable","--",VLOOKUP($K164,$AJ$5:$AK$8,2,FALSE()))</f>
        <v>--</v>
      </c>
      <c r="P164" s="271" t="n">
        <f aca="false">SUM(L164:O164)</f>
        <v>0.65</v>
      </c>
      <c r="Q164" s="253" t="n">
        <f aca="false">P164</f>
        <v>0.65</v>
      </c>
      <c r="R164" s="190"/>
    </row>
    <row r="165" customFormat="false" ht="30" hidden="false" customHeight="true" outlineLevel="0" collapsed="false">
      <c r="A165" s="357" t="s">
        <v>442</v>
      </c>
      <c r="B165" s="358" t="s">
        <v>439</v>
      </c>
      <c r="C165" s="358" t="n">
        <v>2</v>
      </c>
      <c r="D165" s="358" t="n">
        <v>1</v>
      </c>
      <c r="E165" s="359" t="s">
        <v>912</v>
      </c>
      <c r="F165" s="267" t="s">
        <v>913</v>
      </c>
      <c r="G165" s="286" t="s">
        <v>914</v>
      </c>
      <c r="H165" s="269" t="s">
        <v>571</v>
      </c>
      <c r="I165" s="269" t="s">
        <v>572</v>
      </c>
      <c r="J165" s="269" t="s">
        <v>573</v>
      </c>
      <c r="K165" s="269" t="s">
        <v>584</v>
      </c>
      <c r="L165" s="270" t="n">
        <f aca="false">VLOOKUP($H165,$Y$5:$Z$10,2,FALSE())</f>
        <v>0.3</v>
      </c>
      <c r="M165" s="270" t="n">
        <f aca="false">VLOOKUP($I165,$AB$5:$AD$9,IF($K165="No aplicable",3,2),FALSE())</f>
        <v>0.2</v>
      </c>
      <c r="N165" s="270" t="n">
        <f aca="false">VLOOKUP($J165,$AF$5:$AH$9,IF($K165="No aplicable",3,2),FALSE())</f>
        <v>0.15</v>
      </c>
      <c r="O165" s="270" t="str">
        <f aca="false">IF($K165="No aplicable","--",VLOOKUP($K165,$AJ$5:$AK$8,2,FALSE()))</f>
        <v>--</v>
      </c>
      <c r="P165" s="271" t="n">
        <f aca="false">SUM(L165:O165)</f>
        <v>0.65</v>
      </c>
      <c r="Q165" s="314" t="n">
        <f aca="false">P165</f>
        <v>0.65</v>
      </c>
      <c r="R165" s="190"/>
    </row>
    <row r="166" customFormat="false" ht="30" hidden="false" customHeight="true" outlineLevel="0" collapsed="false">
      <c r="A166" s="357" t="s">
        <v>442</v>
      </c>
      <c r="B166" s="358" t="s">
        <v>439</v>
      </c>
      <c r="C166" s="358" t="n">
        <v>3</v>
      </c>
      <c r="D166" s="358" t="n">
        <v>1</v>
      </c>
      <c r="E166" s="359"/>
      <c r="F166" s="285"/>
      <c r="G166" s="286" t="s">
        <v>915</v>
      </c>
      <c r="H166" s="269" t="s">
        <v>571</v>
      </c>
      <c r="I166" s="269" t="s">
        <v>572</v>
      </c>
      <c r="J166" s="269" t="s">
        <v>573</v>
      </c>
      <c r="K166" s="269" t="s">
        <v>584</v>
      </c>
      <c r="L166" s="270" t="n">
        <f aca="false">VLOOKUP($H166,$Y$5:$Z$10,2,FALSE())</f>
        <v>0.3</v>
      </c>
      <c r="M166" s="270" t="n">
        <f aca="false">VLOOKUP($I166,$AB$5:$AD$9,IF($K166="No aplicable",3,2),FALSE())</f>
        <v>0.2</v>
      </c>
      <c r="N166" s="270" t="n">
        <f aca="false">VLOOKUP($J166,$AF$5:$AH$9,IF($K166="No aplicable",3,2),FALSE())</f>
        <v>0.15</v>
      </c>
      <c r="O166" s="270" t="str">
        <f aca="false">IF($K166="No aplicable","--",VLOOKUP($K166,$AJ$5:$AK$8,2,FALSE()))</f>
        <v>--</v>
      </c>
      <c r="P166" s="271" t="n">
        <f aca="false">SUM(L166:O166)</f>
        <v>0.65</v>
      </c>
      <c r="Q166" s="253" t="n">
        <f aca="false">P166</f>
        <v>0.65</v>
      </c>
      <c r="R166" s="190"/>
    </row>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autoFilter ref="A3:C166"/>
  <mergeCells count="33">
    <mergeCell ref="H2:K2"/>
    <mergeCell ref="L2:O2"/>
    <mergeCell ref="Q4:Q5"/>
    <mergeCell ref="Q6:Q8"/>
    <mergeCell ref="Q10:Q11"/>
    <mergeCell ref="Q12:Q14"/>
    <mergeCell ref="Q15:Q16"/>
    <mergeCell ref="Q17:Q21"/>
    <mergeCell ref="Q22:Q23"/>
    <mergeCell ref="Q24:Q26"/>
    <mergeCell ref="Q29:Q31"/>
    <mergeCell ref="Q33:Q34"/>
    <mergeCell ref="Q36:Q39"/>
    <mergeCell ref="Q41:Q44"/>
    <mergeCell ref="Q47:Q48"/>
    <mergeCell ref="Q49:Q53"/>
    <mergeCell ref="Q61:Q62"/>
    <mergeCell ref="Q63:Q64"/>
    <mergeCell ref="Q65:Q67"/>
    <mergeCell ref="Q72:Q73"/>
    <mergeCell ref="Q74:Q75"/>
    <mergeCell ref="Q76:Q78"/>
    <mergeCell ref="Q81:Q84"/>
    <mergeCell ref="Q85:Q88"/>
    <mergeCell ref="Q91:Q92"/>
    <mergeCell ref="Q96:Q98"/>
    <mergeCell ref="Q100:Q101"/>
    <mergeCell ref="Q105:Q106"/>
    <mergeCell ref="Q110:Q114"/>
    <mergeCell ref="Q119:Q120"/>
    <mergeCell ref="Q122:Q123"/>
    <mergeCell ref="Q142:Q143"/>
    <mergeCell ref="Q160:Q161"/>
  </mergeCells>
  <dataValidations count="4">
    <dataValidation allowBlank="true" errorStyle="stop" operator="between" prompt="ERROR - Seleccione un valor de la lista." showDropDown="false" showErrorMessage="true" showInputMessage="true" sqref="J4:J166" type="list">
      <formula1>$AF$5:$AF$9</formula1>
      <formula2>0</formula2>
    </dataValidation>
    <dataValidation allowBlank="true" errorStyle="stop" operator="between" prompt="ERROR - Seleccione un valor de la lista." showDropDown="false" showErrorMessage="true" showInputMessage="true" sqref="H4:H166" type="list">
      <formula1>$Y$5:$Y$10</formula1>
      <formula2>0</formula2>
    </dataValidation>
    <dataValidation allowBlank="true" errorStyle="stop" operator="between" prompt="ERROR - Seleccione un valor de la lista." showDropDown="false" showErrorMessage="true" showInputMessage="true" sqref="K4:K166" type="list">
      <formula1>$AJ$5:$AJ$8</formula1>
      <formula2>0</formula2>
    </dataValidation>
    <dataValidation allowBlank="true" errorStyle="stop" operator="between" prompt="ERROR - Seleccione un valor de la lista." showDropDown="false" showErrorMessage="true" showInputMessage="true" sqref="I4:I166" type="list">
      <formula1>$AB$5:$AB$9</formula1>
      <formula2>0</formula2>
    </dataValidation>
  </dataValidation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3" topLeftCell="A14" activePane="bottomLeft" state="frozen"/>
      <selection pane="topLeft" activeCell="A1" activeCellId="0" sqref="A1"/>
      <selection pane="bottomLeft" activeCell="B15" activeCellId="0" sqref="B15"/>
    </sheetView>
  </sheetViews>
  <sheetFormatPr defaultColWidth="12.6328125" defaultRowHeight="15" zeroHeight="false" outlineLevelRow="0" outlineLevelCol="0"/>
  <cols>
    <col collapsed="false" customWidth="true" hidden="false" outlineLevel="0" max="1" min="1" style="0" width="8.63"/>
    <col collapsed="false" customWidth="true" hidden="false" outlineLevel="0" max="2" min="2" style="0" width="37.38"/>
    <col collapsed="false" customWidth="true" hidden="false" outlineLevel="0" max="3" min="3" style="0" width="72"/>
    <col collapsed="false" customWidth="true" hidden="false" outlineLevel="0" max="4" min="4" style="0" width="13.25"/>
    <col collapsed="false" customWidth="true" hidden="false" outlineLevel="0" max="6" min="5" style="0" width="8.75"/>
    <col collapsed="false" customWidth="true" hidden="false" outlineLevel="0" max="7" min="7" style="0" width="7.25"/>
    <col collapsed="false" customWidth="true" hidden="false" outlineLevel="0" max="8" min="8" style="0" width="11.38"/>
    <col collapsed="false" customWidth="true" hidden="false" outlineLevel="0" max="9" min="9" style="0" width="5"/>
    <col collapsed="false" customWidth="true" hidden="false" outlineLevel="0" max="10" min="10" style="0" width="11.38"/>
    <col collapsed="false" customWidth="true" hidden="false" outlineLevel="0" max="11" min="11" style="0" width="5.38"/>
    <col collapsed="false" customWidth="true" hidden="false" outlineLevel="0" max="12" min="12" style="0" width="11.38"/>
    <col collapsed="false" customWidth="true" hidden="false" outlineLevel="0" max="13" min="13" style="0" width="32"/>
    <col collapsed="false" customWidth="true" hidden="false" outlineLevel="0" max="15" min="14" style="0" width="11.38"/>
    <col collapsed="false" customWidth="true" hidden="false" outlineLevel="0" max="16" min="16" style="0" width="8.25"/>
    <col collapsed="false" customWidth="true" hidden="false" outlineLevel="0" max="17" min="17" style="0" width="16"/>
    <col collapsed="false" customWidth="true" hidden="false" outlineLevel="0" max="26" min="18" style="0" width="11.38"/>
  </cols>
  <sheetData>
    <row r="1" customFormat="false" ht="12.75" hidden="false" customHeight="true" outlineLevel="0" collapsed="false">
      <c r="A1" s="360" t="s">
        <v>916</v>
      </c>
      <c r="B1" s="360"/>
      <c r="C1" s="360"/>
      <c r="D1" s="360"/>
      <c r="E1" s="360"/>
      <c r="F1" s="360"/>
      <c r="G1" s="360"/>
      <c r="H1" s="360"/>
      <c r="I1" s="360"/>
      <c r="J1" s="360"/>
      <c r="K1" s="360"/>
      <c r="L1" s="213" t="s">
        <v>554</v>
      </c>
    </row>
    <row r="2" customFormat="false" ht="12.75" hidden="false" customHeight="true" outlineLevel="0" collapsed="false">
      <c r="A2" s="360"/>
      <c r="B2" s="360"/>
      <c r="C2" s="360"/>
      <c r="D2" s="360"/>
      <c r="E2" s="360"/>
      <c r="F2" s="360"/>
      <c r="G2" s="360"/>
      <c r="H2" s="360"/>
      <c r="I2" s="360"/>
      <c r="J2" s="360"/>
      <c r="K2" s="360"/>
    </row>
    <row r="3" customFormat="false" ht="12.75" hidden="false" customHeight="true" outlineLevel="0" collapsed="false">
      <c r="A3" s="360"/>
      <c r="B3" s="360"/>
      <c r="C3" s="360"/>
      <c r="D3" s="360"/>
      <c r="E3" s="360"/>
      <c r="F3" s="360"/>
      <c r="G3" s="360"/>
      <c r="H3" s="360"/>
      <c r="I3" s="360"/>
      <c r="J3" s="360"/>
      <c r="K3" s="360"/>
    </row>
    <row r="4" customFormat="false" ht="13.5" hidden="false" customHeight="true" outlineLevel="0" collapsed="false">
      <c r="A4" s="360"/>
      <c r="B4" s="360"/>
      <c r="C4" s="360"/>
      <c r="D4" s="360"/>
      <c r="E4" s="360"/>
      <c r="F4" s="360"/>
      <c r="G4" s="360"/>
      <c r="H4" s="360"/>
      <c r="I4" s="360"/>
      <c r="J4" s="360"/>
      <c r="K4" s="360"/>
      <c r="L4" s="211"/>
    </row>
    <row r="5" customFormat="false" ht="13.5" hidden="false" customHeight="true" outlineLevel="0" collapsed="false">
      <c r="A5" s="360"/>
      <c r="B5" s="360"/>
      <c r="C5" s="360"/>
      <c r="D5" s="360"/>
      <c r="E5" s="360"/>
      <c r="F5" s="360"/>
      <c r="G5" s="360"/>
      <c r="H5" s="360"/>
      <c r="I5" s="360"/>
      <c r="J5" s="360"/>
      <c r="K5" s="360"/>
    </row>
    <row r="6" customFormat="false" ht="13.5" hidden="false" customHeight="true" outlineLevel="0" collapsed="false">
      <c r="A6" s="360"/>
      <c r="B6" s="360"/>
      <c r="C6" s="360"/>
      <c r="D6" s="360"/>
      <c r="E6" s="360"/>
      <c r="F6" s="360"/>
      <c r="G6" s="360"/>
      <c r="H6" s="360"/>
      <c r="I6" s="360"/>
      <c r="J6" s="360"/>
      <c r="K6" s="360"/>
    </row>
    <row r="7" customFormat="false" ht="13.5" hidden="false" customHeight="true" outlineLevel="0" collapsed="false">
      <c r="A7" s="360"/>
      <c r="B7" s="360"/>
      <c r="C7" s="360"/>
      <c r="D7" s="360"/>
      <c r="E7" s="360"/>
      <c r="F7" s="360"/>
      <c r="G7" s="360"/>
      <c r="H7" s="360"/>
      <c r="I7" s="360"/>
      <c r="J7" s="360"/>
      <c r="K7" s="360"/>
    </row>
    <row r="8" customFormat="false" ht="13.5" hidden="false" customHeight="true" outlineLevel="0" collapsed="false">
      <c r="A8" s="360"/>
      <c r="B8" s="360"/>
      <c r="C8" s="360"/>
      <c r="D8" s="360"/>
      <c r="E8" s="360"/>
      <c r="F8" s="360"/>
      <c r="G8" s="360"/>
      <c r="H8" s="360"/>
      <c r="I8" s="360"/>
      <c r="J8" s="360"/>
      <c r="K8" s="360"/>
    </row>
    <row r="9" customFormat="false" ht="13.5" hidden="false" customHeight="true" outlineLevel="0" collapsed="false">
      <c r="A9" s="360"/>
      <c r="B9" s="360"/>
      <c r="C9" s="360"/>
      <c r="D9" s="360"/>
      <c r="E9" s="360"/>
      <c r="F9" s="360"/>
      <c r="G9" s="360"/>
      <c r="H9" s="360"/>
      <c r="I9" s="360"/>
      <c r="J9" s="360"/>
      <c r="K9" s="360"/>
    </row>
    <row r="10" customFormat="false" ht="12.75" hidden="false" customHeight="true" outlineLevel="0" collapsed="false">
      <c r="A10" s="211"/>
      <c r="B10" s="211"/>
      <c r="C10" s="211"/>
      <c r="D10" s="211"/>
      <c r="E10" s="211"/>
    </row>
    <row r="11" customFormat="false" ht="25.5" hidden="false" customHeight="true" outlineLevel="0" collapsed="false">
      <c r="A11" s="361" t="s">
        <v>277</v>
      </c>
      <c r="B11" s="361" t="s">
        <v>8</v>
      </c>
      <c r="C11" s="361" t="s">
        <v>278</v>
      </c>
      <c r="D11" s="361" t="s">
        <v>917</v>
      </c>
      <c r="E11" s="361"/>
      <c r="F11" s="361" t="s">
        <v>918</v>
      </c>
      <c r="G11" s="361"/>
      <c r="H11" s="361"/>
      <c r="I11" s="361"/>
      <c r="J11" s="361"/>
      <c r="K11" s="361"/>
    </row>
    <row r="12" customFormat="false" ht="14.25" hidden="false" customHeight="true" outlineLevel="0" collapsed="false">
      <c r="A12" s="361"/>
      <c r="B12" s="361"/>
      <c r="C12" s="361"/>
      <c r="D12" s="361"/>
      <c r="E12" s="361"/>
      <c r="F12" s="361"/>
      <c r="G12" s="361"/>
      <c r="H12" s="361"/>
      <c r="I12" s="361"/>
      <c r="J12" s="361"/>
      <c r="K12" s="361"/>
    </row>
    <row r="13" customFormat="false" ht="12.75" hidden="false" customHeight="true" outlineLevel="0" collapsed="false">
      <c r="A13" s="361"/>
      <c r="B13" s="361"/>
      <c r="C13" s="361"/>
      <c r="D13" s="361" t="s">
        <v>919</v>
      </c>
      <c r="E13" s="361" t="s">
        <v>920</v>
      </c>
      <c r="F13" s="361"/>
      <c r="G13" s="361"/>
      <c r="H13" s="361"/>
      <c r="I13" s="361"/>
      <c r="J13" s="361"/>
      <c r="K13" s="361"/>
      <c r="P13" s="1" t="s">
        <v>189</v>
      </c>
    </row>
    <row r="14" customFormat="false" ht="39.75" hidden="false" customHeight="true" outlineLevel="0" collapsed="false">
      <c r="A14" s="362" t="s">
        <v>3</v>
      </c>
      <c r="B14" s="363" t="s">
        <v>921</v>
      </c>
      <c r="C14" s="280" t="s">
        <v>283</v>
      </c>
      <c r="D14" s="364" t="n">
        <f aca="false">'Estado deseado'!ID_GA_1</f>
        <v>0.625</v>
      </c>
      <c r="E14" s="365" t="e">
        <f aca="false">IF($D14=0,0,IF($D14&lt;LIMITE1,1,IF($D14&lt;LIMITE2,2,IF($D14&lt;LIMITE3,3,IF($D14&lt;1,4,5)))))</f>
        <v>#VALUE!</v>
      </c>
      <c r="F14" s="366" t="e">
        <f aca="false">AVERAGE(E14:E19)</f>
        <v>#VALUE!</v>
      </c>
      <c r="G14" s="367" t="e">
        <f aca="false" t="array" ref="G14:G14">IF($F14&lt;1,"Muy primario",INDEX(Cumplimiento,ROUNDDOWN($F$14,0))&amp;IF($F$14-ROUNDDOWN($F$14,0)&lt;0.5,""," con tendencia a "&amp;INDEX(Cumplimiento,ROUNDDOWN($F$14,0)+1)))</f>
        <v>#VALUE!</v>
      </c>
      <c r="H14" s="368" t="e">
        <f aca="false">AVERAGE(F14:F38)</f>
        <v>#VALUE!</v>
      </c>
      <c r="I14" s="369" t="e">
        <f aca="false" t="array" ref="I14:I14">IF($H$14&lt;1,"Muy primario",INDEX($Q$14:$Q$18,ROUNDDOWN($H$14,0))&amp;IF($H$14-ROUNDDOWN($H$14,0)&lt;0.5,""," con tendencia a "&amp;INDEX($Q$14:$Q$18,ROUNDDOWN($H$14,0)+1)))</f>
        <v>#VALUE!</v>
      </c>
      <c r="J14" s="370" t="e">
        <f aca="false">AVERAGE(H14:H125)</f>
        <v>#VALUE!</v>
      </c>
      <c r="K14" s="371" t="e">
        <f aca="false" t="array" ref="K14:K14">INDEX($Q$14:$Q$18,ROUNDDOWN($J$14,0))&amp;IF($J$14-ROUNDDOWN($J$14,0)&lt;0.5,""," con tendencia a "&amp;INDEX($Q$14:$Q$18,ROUNDDOWN($J$14,0)+1))</f>
        <v>#VALUE!</v>
      </c>
      <c r="P14" s="1" t="n">
        <v>1</v>
      </c>
      <c r="Q14" s="1" t="s">
        <v>922</v>
      </c>
    </row>
    <row r="15" customFormat="false" ht="39.75" hidden="false" customHeight="true" outlineLevel="0" collapsed="false">
      <c r="A15" s="362"/>
      <c r="B15" s="363"/>
      <c r="C15" s="280" t="s">
        <v>284</v>
      </c>
      <c r="D15" s="364" t="n">
        <f aca="false">'Estado deseado'!ID_GA_2</f>
        <v>0.633333333333333</v>
      </c>
      <c r="E15" s="365" t="e">
        <f aca="false">IF($D15=0,0,IF($D15&lt;LIMITE1,1,IF($D15&lt;LIMITE2,2,IF($D15&lt;LIMITE3,3,IF($D15&lt;1,4,5)))))</f>
        <v>#VALUE!</v>
      </c>
      <c r="F15" s="366"/>
      <c r="G15" s="366"/>
      <c r="H15" s="366"/>
      <c r="I15" s="366"/>
      <c r="J15" s="366"/>
      <c r="K15" s="366"/>
      <c r="P15" s="1" t="n">
        <v>2</v>
      </c>
      <c r="Q15" s="1" t="s">
        <v>598</v>
      </c>
    </row>
    <row r="16" customFormat="false" ht="39.75" hidden="false" customHeight="true" outlineLevel="0" collapsed="false">
      <c r="A16" s="362"/>
      <c r="B16" s="363"/>
      <c r="C16" s="280" t="s">
        <v>285</v>
      </c>
      <c r="D16" s="364" t="n">
        <f aca="false">'Estado deseado'!ID_GA_3</f>
        <v>0.65</v>
      </c>
      <c r="E16" s="365" t="e">
        <f aca="false">IF($D16=0,0,IF($D16&lt;LIMITE1,1,IF($D16&lt;LIMITE2,2,IF($D16&lt;LIMITE3,3,IF($D16&lt;1,4,5)))))</f>
        <v>#VALUE!</v>
      </c>
      <c r="F16" s="366"/>
      <c r="G16" s="366"/>
      <c r="H16" s="366"/>
      <c r="I16" s="366"/>
      <c r="J16" s="366"/>
      <c r="K16" s="366"/>
      <c r="P16" s="1" t="n">
        <v>3</v>
      </c>
      <c r="Q16" s="1" t="s">
        <v>923</v>
      </c>
    </row>
    <row r="17" customFormat="false" ht="39.75" hidden="false" customHeight="true" outlineLevel="0" collapsed="false">
      <c r="A17" s="362"/>
      <c r="B17" s="363"/>
      <c r="C17" s="280" t="s">
        <v>286</v>
      </c>
      <c r="D17" s="364" t="n">
        <f aca="false">'Estado deseado'!ID_GA_4</f>
        <v>0.625</v>
      </c>
      <c r="E17" s="365" t="e">
        <f aca="false">IF($D17=0,0,IF($D17&lt;LIMITE1,1,IF($D17&lt;LIMITE2,2,IF($D17&lt;LIMITE3,3,IF($D17&lt;1,4,5)))))</f>
        <v>#VALUE!</v>
      </c>
      <c r="F17" s="366"/>
      <c r="G17" s="366"/>
      <c r="H17" s="366"/>
      <c r="I17" s="366"/>
      <c r="J17" s="366"/>
      <c r="K17" s="366"/>
      <c r="P17" s="1" t="n">
        <v>4</v>
      </c>
      <c r="Q17" s="1" t="s">
        <v>924</v>
      </c>
    </row>
    <row r="18" customFormat="false" ht="39.75" hidden="false" customHeight="true" outlineLevel="0" collapsed="false">
      <c r="A18" s="362"/>
      <c r="B18" s="363"/>
      <c r="C18" s="280" t="s">
        <v>287</v>
      </c>
      <c r="D18" s="364" t="n">
        <f aca="false">'Estado deseado'!ID_GA_5</f>
        <v>0.65</v>
      </c>
      <c r="E18" s="365" t="e">
        <f aca="false">IF($D18=0,0,IF($D18&lt;LIMITE1,1,IF($D18&lt;LIMITE2,2,IF($D18&lt;LIMITE3,3,IF($D18&lt;1,4,5)))))</f>
        <v>#VALUE!</v>
      </c>
      <c r="F18" s="366"/>
      <c r="G18" s="366"/>
      <c r="H18" s="366"/>
      <c r="I18" s="366"/>
      <c r="J18" s="366"/>
      <c r="K18" s="366"/>
      <c r="P18" s="1" t="n">
        <v>5</v>
      </c>
      <c r="Q18" s="1" t="s">
        <v>622</v>
      </c>
    </row>
    <row r="19" customFormat="false" ht="39.75" hidden="false" customHeight="true" outlineLevel="0" collapsed="false">
      <c r="A19" s="362"/>
      <c r="B19" s="363"/>
      <c r="C19" s="280" t="s">
        <v>288</v>
      </c>
      <c r="D19" s="364" t="n">
        <f aca="false">'Estado deseado'!ID_GA_6</f>
        <v>0.65</v>
      </c>
      <c r="E19" s="365" t="e">
        <f aca="false">IF($D19=0,0,IF($D19&lt;LIMITE1,1,IF($D19&lt;LIMITE2,2,IF($D19&lt;LIMITE3,3,IF($D19&lt;1,4,5)))))</f>
        <v>#VALUE!</v>
      </c>
      <c r="F19" s="366"/>
      <c r="G19" s="367"/>
      <c r="H19" s="368"/>
      <c r="I19" s="368"/>
      <c r="J19" s="368"/>
      <c r="K19" s="368"/>
      <c r="M19" s="251" t="s">
        <v>925</v>
      </c>
      <c r="N19" s="251"/>
    </row>
    <row r="20" customFormat="false" ht="39.75" hidden="false" customHeight="true" outlineLevel="0" collapsed="false">
      <c r="A20" s="362"/>
      <c r="B20" s="363" t="s">
        <v>926</v>
      </c>
      <c r="C20" s="280" t="s">
        <v>290</v>
      </c>
      <c r="D20" s="364" t="n">
        <f aca="false">'Estado deseado'!ID_AN_1</f>
        <v>0.65</v>
      </c>
      <c r="E20" s="365" t="e">
        <f aca="false">IF($D20=0,0,IF($D20&lt;LIMITE1,1,IF($D20&lt;LIMITE2,2,IF($D20&lt;LIMITE3,3,IF($D20&lt;1,4,5)))))</f>
        <v>#VALUE!</v>
      </c>
      <c r="F20" s="372" t="e">
        <f aca="false">AVERAGE(E20:E24)</f>
        <v>#VALUE!</v>
      </c>
      <c r="G20" s="367" t="e">
        <f aca="false" t="array" ref="G20:G20">IF($F20&lt;1,"Muy primario",INDEX($Q$14:$Q$18,ROUNDDOWN($F$20,0))&amp;IF($F$20-ROUNDDOWN($F$20,0)&lt;0.5,""," con tendencia a "&amp;INDEX($Q$14:$Q$18,ROUNDDOWN($F$20,0)+1)))</f>
        <v>#VALUE!</v>
      </c>
      <c r="H20" s="368"/>
      <c r="I20" s="368"/>
      <c r="J20" s="368"/>
      <c r="K20" s="368"/>
      <c r="M20" s="251" t="s">
        <v>927</v>
      </c>
      <c r="N20" s="373" t="e">
        <f aca="false">H14</f>
        <v>#VALUE!</v>
      </c>
    </row>
    <row r="21" customFormat="false" ht="39.75" hidden="false" customHeight="true" outlineLevel="0" collapsed="false">
      <c r="A21" s="362"/>
      <c r="B21" s="363"/>
      <c r="C21" s="280" t="s">
        <v>291</v>
      </c>
      <c r="D21" s="364" t="n">
        <f aca="false">'Estado deseado'!ID_AN_2</f>
        <v>0.65</v>
      </c>
      <c r="E21" s="365" t="e">
        <f aca="false">IF($D21=0,0,IF($D21&lt;LIMITE1,1,IF($D21&lt;LIMITE2,2,IF($D21&lt;LIMITE3,3,IF($D21&lt;1,4,5)))))</f>
        <v>#VALUE!</v>
      </c>
      <c r="F21" s="372"/>
      <c r="G21" s="372"/>
      <c r="H21" s="372"/>
      <c r="I21" s="372"/>
      <c r="J21" s="372"/>
      <c r="K21" s="372"/>
      <c r="M21" s="251" t="s">
        <v>928</v>
      </c>
      <c r="N21" s="373" t="e">
        <f aca="false">H44</f>
        <v>#VALUE!</v>
      </c>
    </row>
    <row r="22" customFormat="false" ht="39.75" hidden="false" customHeight="true" outlineLevel="0" collapsed="false">
      <c r="A22" s="362"/>
      <c r="B22" s="363"/>
      <c r="C22" s="280" t="s">
        <v>292</v>
      </c>
      <c r="D22" s="364" t="n">
        <f aca="false">'Estado deseado'!ID_AN_3</f>
        <v>0.65</v>
      </c>
      <c r="E22" s="365" t="e">
        <f aca="false">IF($D22=0,0,IF($D22&lt;LIMITE1,1,IF($D22&lt;LIMITE2,2,IF($D22&lt;LIMITE3,3,IF($D22&lt;1,4,5)))))</f>
        <v>#VALUE!</v>
      </c>
      <c r="F22" s="372"/>
      <c r="G22" s="372"/>
      <c r="H22" s="372"/>
      <c r="I22" s="372"/>
      <c r="J22" s="372"/>
      <c r="K22" s="372"/>
      <c r="M22" s="251" t="s">
        <v>929</v>
      </c>
      <c r="N22" s="373" t="e">
        <f aca="false">H84</f>
        <v>#VALUE!</v>
      </c>
    </row>
    <row r="23" customFormat="false" ht="39.75" hidden="false" customHeight="true" outlineLevel="0" collapsed="false">
      <c r="A23" s="362"/>
      <c r="B23" s="363"/>
      <c r="C23" s="280" t="s">
        <v>293</v>
      </c>
      <c r="D23" s="364" t="n">
        <f aca="false">'Estado deseado'!ID_AN_4</f>
        <v>0.65</v>
      </c>
      <c r="E23" s="365" t="e">
        <f aca="false">IF($D23=0,0,IF($D23&lt;LIMITE1,1,IF($D23&lt;LIMITE2,2,IF($D23&lt;LIMITE3,3,IF($D23&lt;1,4,5)))))</f>
        <v>#VALUE!</v>
      </c>
      <c r="F23" s="372"/>
      <c r="G23" s="372"/>
      <c r="H23" s="372"/>
      <c r="I23" s="372"/>
      <c r="J23" s="372"/>
      <c r="K23" s="372"/>
      <c r="M23" s="251" t="s">
        <v>930</v>
      </c>
      <c r="N23" s="373" t="e">
        <f aca="false">H103</f>
        <v>#VALUE!</v>
      </c>
    </row>
    <row r="24" customFormat="false" ht="42" hidden="false" customHeight="true" outlineLevel="0" collapsed="false">
      <c r="A24" s="362"/>
      <c r="B24" s="363"/>
      <c r="C24" s="280" t="s">
        <v>294</v>
      </c>
      <c r="D24" s="364" t="n">
        <f aca="false">'Estado deseado'!ID_AN_5</f>
        <v>0.65</v>
      </c>
      <c r="E24" s="365" t="e">
        <f aca="false">IF($D24=0,0,IF($D24&lt;LIMITE1,1,IF($D24&lt;LIMITE2,2,IF($D24&lt;LIMITE3,3,IF($D24&lt;1,4,5)))))</f>
        <v>#VALUE!</v>
      </c>
      <c r="F24" s="372"/>
      <c r="G24" s="372"/>
      <c r="H24" s="368"/>
      <c r="I24" s="368"/>
      <c r="J24" s="368"/>
      <c r="K24" s="368"/>
      <c r="M24" s="251" t="s">
        <v>931</v>
      </c>
      <c r="N24" s="373" t="e">
        <f aca="false">H120</f>
        <v>#VALUE!</v>
      </c>
    </row>
    <row r="25" customFormat="false" ht="39.75" hidden="false" customHeight="true" outlineLevel="0" collapsed="false">
      <c r="A25" s="362"/>
      <c r="B25" s="363" t="s">
        <v>932</v>
      </c>
      <c r="C25" s="280" t="s">
        <v>296</v>
      </c>
      <c r="D25" s="364" t="n">
        <f aca="false">'Estado deseado'!ID_GO_1</f>
        <v>0.65</v>
      </c>
      <c r="E25" s="365" t="e">
        <f aca="false">IF($D25=0,0,IF($D25&lt;LIMITE1,1,IF($D25&lt;LIMITE2,2,IF($D25&lt;LIMITE3,3,IF($D25&lt;1,4,5)))))</f>
        <v>#VALUE!</v>
      </c>
      <c r="F25" s="372" t="e">
        <f aca="false">AVERAGE(E25:E28)</f>
        <v>#VALUE!</v>
      </c>
      <c r="G25" s="374" t="e">
        <f aca="false" t="array" ref="G25:G25">IF($F25&lt;1,"Muy primario",INDEX($Q$14:$Q$18,ROUNDDOWN($F$25,0))&amp;IF($F$25-ROUNDDOWN($F$25,0)&lt;0.5," "," con tendencia a "&amp;INDEX($Q$14:$Q$18,ROUNDDOWN($F$25,0)+1)))</f>
        <v>#VALUE!</v>
      </c>
      <c r="H25" s="368"/>
      <c r="I25" s="368"/>
      <c r="J25" s="368"/>
      <c r="K25" s="368"/>
    </row>
    <row r="26" customFormat="false" ht="39.75" hidden="false" customHeight="true" outlineLevel="0" collapsed="false">
      <c r="A26" s="362"/>
      <c r="B26" s="363"/>
      <c r="C26" s="280" t="s">
        <v>297</v>
      </c>
      <c r="D26" s="364" t="n">
        <f aca="false">'Estado deseado'!ID_GO_2</f>
        <v>0.65</v>
      </c>
      <c r="E26" s="365" t="e">
        <f aca="false">IF($D26=0,0,IF($D26&lt;LIMITE1,1,IF($D26&lt;LIMITE2,2,IF($D26&lt;LIMITE3,3,IF($D26&lt;1,4,5)))))</f>
        <v>#VALUE!</v>
      </c>
      <c r="F26" s="372"/>
      <c r="G26" s="372"/>
      <c r="H26" s="372"/>
      <c r="I26" s="372"/>
      <c r="J26" s="372"/>
      <c r="K26" s="372"/>
      <c r="M26" s="373" t="s">
        <v>9</v>
      </c>
      <c r="N26" s="373"/>
    </row>
    <row r="27" customFormat="false" ht="39.75" hidden="false" customHeight="true" outlineLevel="0" collapsed="false">
      <c r="A27" s="362"/>
      <c r="B27" s="363"/>
      <c r="C27" s="280" t="s">
        <v>298</v>
      </c>
      <c r="D27" s="364" t="n">
        <f aca="false">'Estado deseado'!ID_GO_3</f>
        <v>0.65</v>
      </c>
      <c r="E27" s="365" t="e">
        <f aca="false">IF($D27=0,0,IF($D27&lt;LIMITE1,1,IF($D27&lt;LIMITE2,2,IF($D27&lt;LIMITE3,3,IF($D27&lt;1,4,5)))))</f>
        <v>#VALUE!</v>
      </c>
      <c r="F27" s="372"/>
      <c r="G27" s="372"/>
      <c r="H27" s="372"/>
      <c r="I27" s="372"/>
      <c r="J27" s="372"/>
      <c r="K27" s="372"/>
      <c r="M27" s="251" t="s">
        <v>933</v>
      </c>
      <c r="N27" s="373" t="e">
        <f aca="false">F14</f>
        <v>#VALUE!</v>
      </c>
    </row>
    <row r="28" customFormat="false" ht="39.75" hidden="false" customHeight="true" outlineLevel="0" collapsed="false">
      <c r="A28" s="362"/>
      <c r="B28" s="363"/>
      <c r="C28" s="280" t="s">
        <v>299</v>
      </c>
      <c r="D28" s="364" t="n">
        <f aca="false">'Estado deseado'!ID_GO_4</f>
        <v>0.65</v>
      </c>
      <c r="E28" s="365" t="e">
        <f aca="false">IF($D28=0,0,IF($D28&lt;LIMITE1,1,IF($D28&lt;LIMITE2,2,IF($D28&lt;LIMITE3,3,IF($D28&lt;1,4,5)))))</f>
        <v>#VALUE!</v>
      </c>
      <c r="F28" s="372"/>
      <c r="G28" s="374"/>
      <c r="H28" s="374"/>
      <c r="I28" s="374"/>
      <c r="J28" s="374"/>
      <c r="K28" s="374"/>
      <c r="M28" s="251" t="s">
        <v>934</v>
      </c>
      <c r="N28" s="373" t="e">
        <f aca="false">F20</f>
        <v>#VALUE!</v>
      </c>
    </row>
    <row r="29" customFormat="false" ht="39.75" hidden="false" customHeight="true" outlineLevel="0" collapsed="false">
      <c r="A29" s="362"/>
      <c r="B29" s="363" t="s">
        <v>935</v>
      </c>
      <c r="C29" s="280" t="s">
        <v>301</v>
      </c>
      <c r="D29" s="364" t="n">
        <f aca="false">'Estado deseado'!ID_ER_1</f>
        <v>0.6375</v>
      </c>
      <c r="E29" s="365" t="e">
        <f aca="false">IF($D29=0,0,IF($D29&lt;LIMITE1,1,IF($D29&lt;LIMITE2,2,IF($D29&lt;LIMITE3,3,IF($D29&lt;1,4,5)))))</f>
        <v>#VALUE!</v>
      </c>
      <c r="F29" s="372" t="e">
        <f aca="false">AVERAGE(E29:E34)</f>
        <v>#VALUE!</v>
      </c>
      <c r="G29" s="367" t="e">
        <f aca="false" t="array" ref="G29:G29">IF($F29&lt;1,"Muy primario",INDEX($Q$14:$Q$18,ROUNDDOWN($F$29,0))&amp;IF($F$29-ROUNDDOWN($F$29,0)&lt;0.5,""," con tendencia a "&amp;INDEX($Q$14:$Q$18,ROUNDDOWN($F$29,0)+1)))</f>
        <v>#VALUE!</v>
      </c>
      <c r="H29" s="368"/>
      <c r="I29" s="368"/>
      <c r="J29" s="368"/>
      <c r="K29" s="368"/>
      <c r="M29" s="251" t="s">
        <v>936</v>
      </c>
      <c r="N29" s="373" t="e">
        <f aca="false">F25</f>
        <v>#VALUE!</v>
      </c>
    </row>
    <row r="30" customFormat="false" ht="39.75" hidden="false" customHeight="true" outlineLevel="0" collapsed="false">
      <c r="A30" s="362"/>
      <c r="B30" s="363"/>
      <c r="C30" s="280" t="s">
        <v>302</v>
      </c>
      <c r="D30" s="364" t="n">
        <f aca="false">'Estado deseado'!ID_ER_2</f>
        <v>0.65</v>
      </c>
      <c r="E30" s="365" t="e">
        <f aca="false">IF($D30=0,0,IF($D30&lt;LIMITE1,1,IF($D30&lt;LIMITE2,2,IF($D30&lt;LIMITE3,3,IF($D30&lt;1,4,5)))))</f>
        <v>#VALUE!</v>
      </c>
      <c r="F30" s="372"/>
      <c r="G30" s="372"/>
      <c r="H30" s="372"/>
      <c r="I30" s="372"/>
      <c r="J30" s="372"/>
      <c r="K30" s="372"/>
      <c r="M30" s="251" t="s">
        <v>937</v>
      </c>
      <c r="N30" s="373" t="e">
        <f aca="false">F29</f>
        <v>#VALUE!</v>
      </c>
    </row>
    <row r="31" customFormat="false" ht="39.75" hidden="false" customHeight="true" outlineLevel="0" collapsed="false">
      <c r="A31" s="362"/>
      <c r="B31" s="363"/>
      <c r="C31" s="280" t="s">
        <v>303</v>
      </c>
      <c r="D31" s="364" t="n">
        <f aca="false">'Estado deseado'!ID_ER_3</f>
        <v>0.6375</v>
      </c>
      <c r="E31" s="365" t="e">
        <f aca="false">IF($D31=0,0,IF($D31&lt;LIMITE1,1,IF($D31&lt;LIMITE2,2,IF($D31&lt;LIMITE3,3,IF($D31&lt;1,4,5)))))</f>
        <v>#VALUE!</v>
      </c>
      <c r="F31" s="372"/>
      <c r="G31" s="372"/>
      <c r="H31" s="372"/>
      <c r="I31" s="372"/>
      <c r="J31" s="372"/>
      <c r="K31" s="372"/>
      <c r="M31" s="251" t="s">
        <v>938</v>
      </c>
      <c r="N31" s="373" t="e">
        <f aca="false">F35</f>
        <v>#VALUE!</v>
      </c>
    </row>
    <row r="32" customFormat="false" ht="39.75" hidden="false" customHeight="true" outlineLevel="0" collapsed="false">
      <c r="A32" s="362"/>
      <c r="B32" s="363"/>
      <c r="C32" s="280" t="s">
        <v>304</v>
      </c>
      <c r="D32" s="364" t="n">
        <f aca="false">'Estado deseado'!ID_ER_4</f>
        <v>0.65</v>
      </c>
      <c r="E32" s="365" t="e">
        <f aca="false">IF($D32=0,0,IF($D32&lt;LIMITE1,1,IF($D32&lt;LIMITE2,2,IF($D32&lt;LIMITE3,3,IF($D32&lt;1,4,5)))))</f>
        <v>#VALUE!</v>
      </c>
      <c r="F32" s="372"/>
      <c r="G32" s="372"/>
      <c r="H32" s="372"/>
      <c r="I32" s="372"/>
      <c r="J32" s="372"/>
      <c r="K32" s="372"/>
      <c r="M32" s="251" t="s">
        <v>939</v>
      </c>
      <c r="N32" s="373" t="e">
        <f aca="false">F38</f>
        <v>#VALUE!</v>
      </c>
    </row>
    <row r="33" customFormat="false" ht="39.75" hidden="false" customHeight="true" outlineLevel="0" collapsed="false">
      <c r="A33" s="362"/>
      <c r="B33" s="363"/>
      <c r="C33" s="280" t="s">
        <v>305</v>
      </c>
      <c r="D33" s="364" t="n">
        <f aca="false">'Estado deseado'!ID_ER_5</f>
        <v>0.65</v>
      </c>
      <c r="E33" s="365" t="e">
        <f aca="false">IF($D33=0,0,IF($D33&lt;LIMITE1,1,IF($D33&lt;LIMITE2,2,IF($D33&lt;LIMITE3,3,IF($D33&lt;1,4,5)))))</f>
        <v>#VALUE!</v>
      </c>
      <c r="F33" s="372"/>
      <c r="G33" s="372"/>
      <c r="H33" s="372"/>
      <c r="I33" s="372"/>
      <c r="J33" s="372"/>
      <c r="K33" s="372"/>
    </row>
    <row r="34" customFormat="false" ht="39.75" hidden="false" customHeight="true" outlineLevel="0" collapsed="false">
      <c r="A34" s="362"/>
      <c r="B34" s="363"/>
      <c r="C34" s="280" t="s">
        <v>306</v>
      </c>
      <c r="D34" s="364" t="n">
        <f aca="false">'Estado deseado'!ID_ER_6</f>
        <v>0.65</v>
      </c>
      <c r="E34" s="365" t="e">
        <f aca="false">IF($D34=0,0,IF($D34&lt;LIMITE1,1,IF($D34&lt;LIMITE2,2,IF($D34&lt;LIMITE3,3,IF($D34&lt;1,4,5)))))</f>
        <v>#VALUE!</v>
      </c>
      <c r="F34" s="372"/>
      <c r="G34" s="372"/>
      <c r="H34" s="368"/>
      <c r="I34" s="368"/>
      <c r="J34" s="368"/>
      <c r="K34" s="368"/>
    </row>
    <row r="35" customFormat="false" ht="39.75" hidden="false" customHeight="true" outlineLevel="0" collapsed="false">
      <c r="A35" s="362"/>
      <c r="B35" s="363" t="s">
        <v>940</v>
      </c>
      <c r="C35" s="280" t="s">
        <v>308</v>
      </c>
      <c r="D35" s="364" t="n">
        <f aca="false">'Estado deseado'!ID_GR_1</f>
        <v>0.65</v>
      </c>
      <c r="E35" s="365" t="e">
        <f aca="false">IF($D35=0,0,IF($D35&lt;LIMITE1,1,IF($D35&lt;LIMITE2,2,IF($D35&lt;LIMITE3,3,IF($D35&lt;1,4,5)))))</f>
        <v>#VALUE!</v>
      </c>
      <c r="F35" s="372" t="e">
        <f aca="false">AVERAGE(E35:E37)</f>
        <v>#VALUE!</v>
      </c>
      <c r="G35" s="367" t="e">
        <f aca="false" t="array" ref="G35:G35">IF($F35&lt;1,"Muy primario",INDEX($Q$14:$Q$18,ROUNDDOWN($F$35,0))&amp;IF($F$35-ROUNDDOWN($F$35,0)&lt;0.5,""," con tendencia a "&amp;INDEX($Q$14:$Q$18,ROUNDDOWN($F$35,0)+1)))</f>
        <v>#VALUE!</v>
      </c>
      <c r="H35" s="368"/>
      <c r="I35" s="368"/>
      <c r="J35" s="368"/>
      <c r="K35" s="368"/>
    </row>
    <row r="36" customFormat="false" ht="39.75" hidden="false" customHeight="true" outlineLevel="0" collapsed="false">
      <c r="A36" s="362"/>
      <c r="B36" s="363"/>
      <c r="C36" s="280" t="s">
        <v>309</v>
      </c>
      <c r="D36" s="364" t="n">
        <f aca="false">'Estado deseado'!ID_GR_2</f>
        <v>0.65</v>
      </c>
      <c r="E36" s="365" t="e">
        <f aca="false">IF($D36=0,0,IF($D36&lt;LIMITE1,1,IF($D36&lt;LIMITE2,2,IF($D36&lt;LIMITE3,3,IF($D36&lt;1,4,5)))))</f>
        <v>#VALUE!</v>
      </c>
      <c r="F36" s="372"/>
      <c r="G36" s="372"/>
      <c r="H36" s="372"/>
      <c r="I36" s="372"/>
      <c r="J36" s="372"/>
      <c r="K36" s="372"/>
    </row>
    <row r="37" customFormat="false" ht="39.75" hidden="false" customHeight="true" outlineLevel="0" collapsed="false">
      <c r="A37" s="362"/>
      <c r="B37" s="363"/>
      <c r="C37" s="280" t="s">
        <v>310</v>
      </c>
      <c r="D37" s="364" t="n">
        <f aca="false">'Estado deseado'!ID_GR_3</f>
        <v>0.65</v>
      </c>
      <c r="E37" s="365" t="e">
        <f aca="false">IF($D37=0,0,IF($D37&lt;LIMITE1,1,IF($D37&lt;LIMITE2,2,IF($D37&lt;LIMITE3,3,IF($D37&lt;1,4,5)))))</f>
        <v>#VALUE!</v>
      </c>
      <c r="F37" s="372"/>
      <c r="G37" s="372"/>
      <c r="H37" s="368"/>
      <c r="I37" s="368"/>
      <c r="J37" s="368"/>
      <c r="K37" s="368"/>
    </row>
    <row r="38" customFormat="false" ht="39.75" hidden="false" customHeight="true" outlineLevel="0" collapsed="false">
      <c r="A38" s="375"/>
      <c r="B38" s="363" t="s">
        <v>941</v>
      </c>
      <c r="C38" s="280" t="s">
        <v>312</v>
      </c>
      <c r="D38" s="364" t="n">
        <f aca="false">'Estado deseado'!ID_CS_1</f>
        <v>0.65</v>
      </c>
      <c r="E38" s="365" t="e">
        <f aca="false">IF($D38=0,0,IF($D38&lt;LIMITE1,1,IF($D38&lt;LIMITE2,2,IF($D38&lt;LIMITE3,3,IF($D38&lt;1,4,5)))))</f>
        <v>#VALUE!</v>
      </c>
      <c r="F38" s="372" t="e">
        <f aca="false">AVERAGE(E38:E42)</f>
        <v>#VALUE!</v>
      </c>
      <c r="G38" s="367" t="e">
        <f aca="false" t="array" ref="G38:G38">IF($F38&lt;1,"Muy primario",INDEX($Q$14:$Q$18,ROUNDDOWN($F$38,0))&amp;IF($F$38-ROUNDDOWN($F$38,0)&lt;0.5,""," con tendencia a "&amp;INDEX($Q$14:$Q$18,ROUNDDOWN($F$38,0)+1)))</f>
        <v>#VALUE!</v>
      </c>
      <c r="H38" s="368"/>
      <c r="I38" s="368"/>
      <c r="J38" s="368"/>
      <c r="K38" s="368"/>
    </row>
    <row r="39" customFormat="false" ht="51.75" hidden="false" customHeight="true" outlineLevel="0" collapsed="false">
      <c r="A39" s="375"/>
      <c r="B39" s="363"/>
      <c r="C39" s="280" t="s">
        <v>313</v>
      </c>
      <c r="D39" s="364" t="n">
        <f aca="false">'Estado deseado'!ID_CS_2</f>
        <v>0.65</v>
      </c>
      <c r="E39" s="365" t="e">
        <f aca="false">IF($D39=0,0,IF($D39&lt;LIMITE1,1,IF($D39&lt;LIMITE2,2,IF($D39&lt;LIMITE3,3,IF($D39&lt;1,4,5)))))</f>
        <v>#VALUE!</v>
      </c>
      <c r="F39" s="372"/>
      <c r="G39" s="372"/>
      <c r="H39" s="372"/>
      <c r="I39" s="372"/>
      <c r="J39" s="372"/>
      <c r="K39" s="372"/>
    </row>
    <row r="40" customFormat="false" ht="51" hidden="false" customHeight="true" outlineLevel="0" collapsed="false">
      <c r="A40" s="375"/>
      <c r="B40" s="363"/>
      <c r="C40" s="280" t="s">
        <v>314</v>
      </c>
      <c r="D40" s="364" t="n">
        <f aca="false">'Estado deseado'!ID_CS_3</f>
        <v>0.65</v>
      </c>
      <c r="E40" s="365" t="e">
        <f aca="false">IF($D40=0,0,IF($D40&lt;LIMITE1,1,IF($D40&lt;LIMITE2,2,IF($D40&lt;LIMITE3,3,IF($D40&lt;1,4,5)))))</f>
        <v>#VALUE!</v>
      </c>
      <c r="F40" s="372"/>
      <c r="G40" s="372"/>
      <c r="H40" s="372"/>
      <c r="I40" s="372"/>
      <c r="J40" s="372"/>
      <c r="K40" s="372"/>
    </row>
    <row r="41" customFormat="false" ht="52.5" hidden="false" customHeight="true" outlineLevel="0" collapsed="false">
      <c r="A41" s="375"/>
      <c r="B41" s="363"/>
      <c r="C41" s="280" t="s">
        <v>315</v>
      </c>
      <c r="D41" s="364" t="n">
        <f aca="false">'Estado deseado'!ID_CS_4</f>
        <v>0.65</v>
      </c>
      <c r="E41" s="365" t="e">
        <f aca="false">IF($D41=0,0,IF($D41&lt;LIMITE1,1,IF($D41&lt;LIMITE2,2,IF($D41&lt;LIMITE3,3,IF($D41&lt;1,4,5)))))</f>
        <v>#VALUE!</v>
      </c>
      <c r="F41" s="372"/>
      <c r="G41" s="372"/>
      <c r="H41" s="372"/>
      <c r="I41" s="372"/>
      <c r="J41" s="372"/>
      <c r="K41" s="372"/>
    </row>
    <row r="42" customFormat="false" ht="39.75" hidden="false" customHeight="true" outlineLevel="0" collapsed="false">
      <c r="A42" s="375"/>
      <c r="B42" s="363"/>
      <c r="C42" s="280" t="s">
        <v>316</v>
      </c>
      <c r="D42" s="364" t="n">
        <f aca="false">'Estado deseado'!ID_CS_5</f>
        <v>0.65</v>
      </c>
      <c r="E42" s="365" t="e">
        <f aca="false">IF($D42=0,0,IF($D42&lt;LIMITE1,1,IF($D42&lt;LIMITE2,2,IF($D42&lt;LIMITE3,3,IF($D42&lt;1,4,5)))))</f>
        <v>#VALUE!</v>
      </c>
      <c r="F42" s="372"/>
      <c r="G42" s="372"/>
      <c r="H42" s="372"/>
      <c r="I42" s="372"/>
      <c r="J42" s="370"/>
      <c r="K42" s="370"/>
    </row>
    <row r="43" customFormat="false" ht="39.75" hidden="false" customHeight="true" outlineLevel="0" collapsed="false">
      <c r="A43" s="376"/>
      <c r="B43" s="376"/>
      <c r="C43" s="376"/>
      <c r="D43" s="376"/>
      <c r="E43" s="376"/>
      <c r="F43" s="376"/>
      <c r="G43" s="376"/>
      <c r="H43" s="376"/>
      <c r="I43" s="376"/>
      <c r="J43" s="370"/>
      <c r="K43" s="370"/>
    </row>
    <row r="44" customFormat="false" ht="39.75" hidden="false" customHeight="true" outlineLevel="0" collapsed="false">
      <c r="A44" s="377" t="s">
        <v>4</v>
      </c>
      <c r="B44" s="378" t="s">
        <v>942</v>
      </c>
      <c r="C44" s="303" t="s">
        <v>318</v>
      </c>
      <c r="D44" s="379" t="n">
        <f aca="false">'Estado deseado'!PR_CA_1</f>
        <v>0.65</v>
      </c>
      <c r="E44" s="365" t="e">
        <f aca="false">IF($D44=0,0,IF($D44&lt;LIMITE1,1,IF($D44&lt;LIMITE2,2,IF($D44&lt;LIMITE3,3,IF($D44&lt;1,4,5)))))</f>
        <v>#VALUE!</v>
      </c>
      <c r="F44" s="380" t="e">
        <f aca="false">AVERAGE(E44:E50)</f>
        <v>#VALUE!</v>
      </c>
      <c r="G44" s="381" t="e">
        <f aca="false" t="array" ref="G44:G44">IF($F44&lt;1,"Muy primario",INDEX($Q$14:$Q$18,ROUNDDOWN($F$44,0))&amp;IF($F$44-ROUNDDOWN($F$44,0)&lt;0.5,""," con tendencia a "&amp;INDEX($Q$14:$Q$18,ROUNDDOWN($F$44,0)+1)))</f>
        <v>#VALUE!</v>
      </c>
      <c r="H44" s="382" t="e">
        <f aca="false">AVERAGE(F44:F81)</f>
        <v>#VALUE!</v>
      </c>
      <c r="I44" s="383" t="e">
        <f aca="false" t="array" ref="I44:I44">IF($H$44&lt;1,"Muy primario",INDEX($Q$14:$Q$18,ROUNDDOWN($H$44,0))&amp;IF($H$44-ROUNDDOWN($H$44,0)&lt;0.5,""," con tendencia a "&amp;INDEX($Q$14:$Q$18,ROUNDDOWN($H$44,0)+1)))</f>
        <v>#VALUE!</v>
      </c>
      <c r="J44" s="370"/>
      <c r="K44" s="370"/>
    </row>
    <row r="45" customFormat="false" ht="39.75" hidden="false" customHeight="true" outlineLevel="0" collapsed="false">
      <c r="A45" s="377"/>
      <c r="B45" s="378"/>
      <c r="C45" s="303" t="s">
        <v>319</v>
      </c>
      <c r="D45" s="379" t="n">
        <f aca="false">'Estado deseado'!PR_CA_2</f>
        <v>0.65</v>
      </c>
      <c r="E45" s="365" t="e">
        <f aca="false">IF($D45=0,0,IF($D45&lt;LIMITE1,1,IF($D45&lt;LIMITE2,2,IF($D45&lt;LIMITE3,3,IF($D45&lt;1,4,5)))))</f>
        <v>#VALUE!</v>
      </c>
      <c r="F45" s="380"/>
      <c r="G45" s="380"/>
      <c r="H45" s="380"/>
      <c r="I45" s="380"/>
      <c r="J45" s="380"/>
      <c r="K45" s="380"/>
    </row>
    <row r="46" customFormat="false" ht="39.75" hidden="false" customHeight="true" outlineLevel="0" collapsed="false">
      <c r="A46" s="377"/>
      <c r="B46" s="378"/>
      <c r="C46" s="303" t="s">
        <v>320</v>
      </c>
      <c r="D46" s="379" t="n">
        <f aca="false">'Estado deseado'!PR_CA_3</f>
        <v>0.65</v>
      </c>
      <c r="E46" s="365" t="e">
        <f aca="false">IF($D46=0,0,IF($D46&lt;LIMITE1,1,IF($D46&lt;LIMITE2,2,IF($D46&lt;LIMITE3,3,IF($D46&lt;1,4,5)))))</f>
        <v>#VALUE!</v>
      </c>
      <c r="F46" s="380"/>
      <c r="G46" s="380"/>
      <c r="H46" s="380"/>
      <c r="I46" s="380"/>
      <c r="J46" s="380"/>
      <c r="K46" s="380"/>
    </row>
    <row r="47" customFormat="false" ht="39.75" hidden="false" customHeight="true" outlineLevel="0" collapsed="false">
      <c r="A47" s="377"/>
      <c r="B47" s="378"/>
      <c r="C47" s="303" t="s">
        <v>321</v>
      </c>
      <c r="D47" s="379" t="n">
        <f aca="false">'Estado deseado'!PR_CA_4</f>
        <v>0.65</v>
      </c>
      <c r="E47" s="365" t="e">
        <f aca="false">IF($D47=0,0,IF($D47&lt;LIMITE1,1,IF($D47&lt;LIMITE2,2,IF($D47&lt;LIMITE3,3,IF($D47&lt;1,4,5)))))</f>
        <v>#VALUE!</v>
      </c>
      <c r="F47" s="380"/>
      <c r="G47" s="380"/>
      <c r="H47" s="380"/>
      <c r="I47" s="380"/>
      <c r="J47" s="380"/>
      <c r="K47" s="380"/>
    </row>
    <row r="48" customFormat="false" ht="39.75" hidden="false" customHeight="true" outlineLevel="0" collapsed="false">
      <c r="A48" s="377"/>
      <c r="B48" s="378"/>
      <c r="C48" s="303" t="s">
        <v>322</v>
      </c>
      <c r="D48" s="379" t="n">
        <f aca="false">'Estado deseado'!PR_CA_5</f>
        <v>0.65</v>
      </c>
      <c r="E48" s="365" t="e">
        <f aca="false">IF($D48=0,0,IF($D48&lt;LIMITE1,1,IF($D48&lt;LIMITE2,2,IF($D48&lt;LIMITE3,3,IF($D48&lt;1,4,5)))))</f>
        <v>#VALUE!</v>
      </c>
      <c r="F48" s="380"/>
      <c r="G48" s="380"/>
      <c r="H48" s="380"/>
      <c r="I48" s="380"/>
      <c r="J48" s="380"/>
      <c r="K48" s="380"/>
    </row>
    <row r="49" customFormat="false" ht="39.75" hidden="false" customHeight="true" outlineLevel="0" collapsed="false">
      <c r="A49" s="377"/>
      <c r="B49" s="378"/>
      <c r="C49" s="303" t="s">
        <v>323</v>
      </c>
      <c r="D49" s="379" t="n">
        <f aca="false">'Estado deseado'!PR_CA_6</f>
        <v>0.65</v>
      </c>
      <c r="E49" s="365" t="e">
        <f aca="false">IF($D49=0,0,IF($D49&lt;LIMITE1,1,IF($D49&lt;LIMITE2,2,IF($D49&lt;LIMITE3,3,IF($D49&lt;1,4,5)))))</f>
        <v>#VALUE!</v>
      </c>
      <c r="F49" s="380"/>
      <c r="G49" s="380"/>
      <c r="H49" s="380"/>
      <c r="I49" s="380"/>
      <c r="J49" s="380"/>
      <c r="K49" s="380"/>
    </row>
    <row r="50" customFormat="false" ht="39.75" hidden="false" customHeight="true" outlineLevel="0" collapsed="false">
      <c r="A50" s="377"/>
      <c r="B50" s="378"/>
      <c r="C50" s="303" t="s">
        <v>324</v>
      </c>
      <c r="D50" s="379" t="n">
        <f aca="false">'Estado deseado'!PR_CA_7</f>
        <v>0.6</v>
      </c>
      <c r="E50" s="365" t="e">
        <f aca="false">IF($D50=0,0,IF($D50&lt;LIMITE1,1,IF($D50&lt;LIMITE2,2,IF($D50&lt;LIMITE3,3,IF($D50&lt;1,4,5)))))</f>
        <v>#VALUE!</v>
      </c>
      <c r="F50" s="380"/>
      <c r="G50" s="380"/>
      <c r="H50" s="382"/>
      <c r="I50" s="382"/>
      <c r="J50" s="382"/>
      <c r="K50" s="382"/>
    </row>
    <row r="51" customFormat="false" ht="39.75" hidden="false" customHeight="true" outlineLevel="0" collapsed="false">
      <c r="A51" s="377"/>
      <c r="B51" s="378" t="s">
        <v>943</v>
      </c>
      <c r="C51" s="303" t="s">
        <v>326</v>
      </c>
      <c r="D51" s="379" t="n">
        <f aca="false">'Estado deseado'!PR_CF_1</f>
        <v>0.65</v>
      </c>
      <c r="E51" s="365" t="e">
        <f aca="false">IF($D51=0,0,IF($D51&lt;LIMITE1,1,IF($D51&lt;LIMITE2,2,IF($D51&lt;LIMITE3,3,IF($D51&lt;1,4,5)))))</f>
        <v>#VALUE!</v>
      </c>
      <c r="F51" s="380" t="e">
        <f aca="false">AVERAGE(E51:E55)</f>
        <v>#VALUE!</v>
      </c>
      <c r="G51" s="381" t="e">
        <f aca="false" t="array" ref="G51:G51">IF($F51&lt;1,"Muy primario",INDEX($Q$14:$Q$18,ROUNDDOWN($F$51,0))&amp;IF($F$51-ROUNDDOWN($F$51,0)&lt;0.5,""," con tendencia a "&amp;INDEX($Q$14:$Q$18,ROUNDDOWN($F$51,0)+1)))</f>
        <v>#VALUE!</v>
      </c>
      <c r="H51" s="382"/>
      <c r="I51" s="382"/>
      <c r="J51" s="382"/>
      <c r="K51" s="382"/>
    </row>
    <row r="52" customFormat="false" ht="39.75" hidden="false" customHeight="true" outlineLevel="0" collapsed="false">
      <c r="A52" s="377"/>
      <c r="B52" s="378"/>
      <c r="C52" s="303" t="s">
        <v>327</v>
      </c>
      <c r="D52" s="379" t="n">
        <f aca="false">'Estado deseado'!PR_CF_2</f>
        <v>0.65</v>
      </c>
      <c r="E52" s="365" t="e">
        <f aca="false">IF($D52=0,0,IF($D52&lt;LIMITE1,1,IF($D52&lt;LIMITE2,2,IF($D52&lt;LIMITE3,3,IF($D52&lt;1,4,5)))))</f>
        <v>#VALUE!</v>
      </c>
      <c r="F52" s="380"/>
      <c r="G52" s="380"/>
      <c r="H52" s="380"/>
      <c r="I52" s="380"/>
      <c r="J52" s="380"/>
      <c r="K52" s="380"/>
    </row>
    <row r="53" customFormat="false" ht="39.75" hidden="false" customHeight="true" outlineLevel="0" collapsed="false">
      <c r="A53" s="377"/>
      <c r="B53" s="378"/>
      <c r="C53" s="303" t="s">
        <v>328</v>
      </c>
      <c r="D53" s="379" t="n">
        <f aca="false">'Estado deseado'!PR_CF_3</f>
        <v>0.65</v>
      </c>
      <c r="E53" s="365" t="e">
        <f aca="false">IF($D53=0,0,IF($D53&lt;LIMITE1,1,IF($D53&lt;LIMITE2,2,IF($D53&lt;LIMITE3,3,IF($D53&lt;1,4,5)))))</f>
        <v>#VALUE!</v>
      </c>
      <c r="F53" s="380"/>
      <c r="G53" s="380"/>
      <c r="H53" s="380"/>
      <c r="I53" s="380"/>
      <c r="J53" s="380"/>
      <c r="K53" s="380"/>
    </row>
    <row r="54" customFormat="false" ht="39.75" hidden="false" customHeight="true" outlineLevel="0" collapsed="false">
      <c r="A54" s="377"/>
      <c r="B54" s="378"/>
      <c r="C54" s="303" t="s">
        <v>329</v>
      </c>
      <c r="D54" s="379" t="n">
        <f aca="false">'Estado deseado'!PR_CF_4</f>
        <v>0.65</v>
      </c>
      <c r="E54" s="365" t="e">
        <f aca="false">IF($D54=0,0,IF($D54&lt;LIMITE1,1,IF($D54&lt;LIMITE2,2,IF($D54&lt;LIMITE3,3,IF($D54&lt;1,4,5)))))</f>
        <v>#VALUE!</v>
      </c>
      <c r="F54" s="380"/>
      <c r="G54" s="380"/>
      <c r="H54" s="380"/>
      <c r="I54" s="380"/>
      <c r="J54" s="380"/>
      <c r="K54" s="380"/>
      <c r="M54" s="251" t="s">
        <v>16</v>
      </c>
      <c r="N54" s="251"/>
    </row>
    <row r="55" customFormat="false" ht="39.75" hidden="false" customHeight="true" outlineLevel="0" collapsed="false">
      <c r="A55" s="377"/>
      <c r="B55" s="378"/>
      <c r="C55" s="303" t="s">
        <v>330</v>
      </c>
      <c r="D55" s="379" t="n">
        <f aca="false">'Estado deseado'!PR_CF_5</f>
        <v>0.65</v>
      </c>
      <c r="E55" s="365" t="e">
        <f aca="false">IF($D55=0,0,IF($D55&lt;LIMITE1,1,IF($D55&lt;LIMITE2,2,IF($D55&lt;LIMITE3,3,IF($D55&lt;1,4,5)))))</f>
        <v>#VALUE!</v>
      </c>
      <c r="F55" s="380"/>
      <c r="G55" s="380"/>
      <c r="H55" s="382"/>
      <c r="I55" s="382"/>
      <c r="J55" s="382"/>
      <c r="K55" s="382"/>
      <c r="M55" s="251" t="s">
        <v>944</v>
      </c>
      <c r="N55" s="373" t="e">
        <f aca="false">F44</f>
        <v>#VALUE!</v>
      </c>
    </row>
    <row r="56" customFormat="false" ht="39.75" hidden="false" customHeight="true" outlineLevel="0" collapsed="false">
      <c r="A56" s="377"/>
      <c r="B56" s="378" t="s">
        <v>945</v>
      </c>
      <c r="C56" s="303" t="s">
        <v>502</v>
      </c>
      <c r="D56" s="379" t="n">
        <f aca="false">'Estado deseado'!PR_SD_1</f>
        <v>0.65</v>
      </c>
      <c r="E56" s="365" t="e">
        <f aca="false">IF($D56=0,0,IF($D56&lt;LIMITE1,1,IF($D56&lt;LIMITE2,2,IF($D56&lt;LIMITE3,3,IF($D56&lt;1,4,5)))))</f>
        <v>#VALUE!</v>
      </c>
      <c r="F56" s="380" t="e">
        <f aca="false">AVERAGE(E56:E63)</f>
        <v>#VALUE!</v>
      </c>
      <c r="G56" s="381" t="e">
        <f aca="false" t="array" ref="G56:G56">IF($F56&lt;1,"Muy primario",INDEX($Q$14:$Q$18,ROUNDDOWN($F$56,0))&amp;IF($F$56-ROUNDDOWN($F$56,0)&lt;0.5,""," con tendencia a "&amp;INDEX($Q$14:$Q$18,ROUNDDOWN($F$56,0)+1)))</f>
        <v>#VALUE!</v>
      </c>
      <c r="H56" s="382"/>
      <c r="I56" s="382"/>
      <c r="J56" s="382"/>
      <c r="K56" s="382"/>
      <c r="M56" s="251" t="s">
        <v>946</v>
      </c>
      <c r="N56" s="373" t="e">
        <f aca="false">F51</f>
        <v>#VALUE!</v>
      </c>
    </row>
    <row r="57" customFormat="false" ht="39.75" hidden="false" customHeight="true" outlineLevel="0" collapsed="false">
      <c r="A57" s="377"/>
      <c r="B57" s="378"/>
      <c r="C57" s="303" t="s">
        <v>333</v>
      </c>
      <c r="D57" s="379" t="n">
        <f aca="false">'Estado deseado'!PR_SD_2</f>
        <v>0.65</v>
      </c>
      <c r="E57" s="365" t="e">
        <f aca="false">IF($D57=0,0,IF($D57&lt;LIMITE1,1,IF($D57&lt;LIMITE2,2,IF($D57&lt;LIMITE3,3,IF($D57&lt;1,4,5)))))</f>
        <v>#VALUE!</v>
      </c>
      <c r="F57" s="380"/>
      <c r="G57" s="380"/>
      <c r="H57" s="380"/>
      <c r="I57" s="380"/>
      <c r="J57" s="380"/>
      <c r="K57" s="380"/>
      <c r="M57" s="251" t="s">
        <v>947</v>
      </c>
      <c r="N57" s="373" t="e">
        <f aca="false">F56</f>
        <v>#VALUE!</v>
      </c>
    </row>
    <row r="58" customFormat="false" ht="39.75" hidden="false" customHeight="true" outlineLevel="0" collapsed="false">
      <c r="A58" s="377"/>
      <c r="B58" s="378"/>
      <c r="C58" s="303" t="s">
        <v>334</v>
      </c>
      <c r="D58" s="379" t="n">
        <f aca="false">'Estado deseado'!PR_SD_3</f>
        <v>0.65</v>
      </c>
      <c r="E58" s="365" t="e">
        <f aca="false">IF($D58=0,0,IF($D58&lt;LIMITE1,1,IF($D58&lt;LIMITE2,2,IF($D58&lt;LIMITE3,3,IF($D58&lt;1,4,5)))))</f>
        <v>#VALUE!</v>
      </c>
      <c r="F58" s="380"/>
      <c r="G58" s="380"/>
      <c r="H58" s="380"/>
      <c r="I58" s="380"/>
      <c r="J58" s="380"/>
      <c r="K58" s="380"/>
      <c r="M58" s="251" t="s">
        <v>948</v>
      </c>
      <c r="N58" s="373" t="e">
        <f aca="false">F64</f>
        <v>#VALUE!</v>
      </c>
    </row>
    <row r="59" customFormat="false" ht="39.75" hidden="false" customHeight="true" outlineLevel="0" collapsed="false">
      <c r="A59" s="377"/>
      <c r="B59" s="378"/>
      <c r="C59" s="303" t="s">
        <v>335</v>
      </c>
      <c r="D59" s="379" t="n">
        <f aca="false">'Estado deseado'!PR_SD_4</f>
        <v>0.65</v>
      </c>
      <c r="E59" s="365" t="e">
        <f aca="false">IF($D59=0,0,IF($D59&lt;LIMITE1,1,IF($D59&lt;LIMITE2,2,IF($D59&lt;LIMITE3,3,IF($D59&lt;1,4,5)))))</f>
        <v>#VALUE!</v>
      </c>
      <c r="F59" s="380"/>
      <c r="G59" s="380"/>
      <c r="H59" s="380"/>
      <c r="I59" s="380"/>
      <c r="J59" s="380"/>
      <c r="K59" s="380"/>
      <c r="M59" s="251" t="s">
        <v>949</v>
      </c>
      <c r="N59" s="373" t="e">
        <f aca="false">F76</f>
        <v>#VALUE!</v>
      </c>
    </row>
    <row r="60" customFormat="false" ht="39.75" hidden="false" customHeight="true" outlineLevel="0" collapsed="false">
      <c r="A60" s="377"/>
      <c r="B60" s="378"/>
      <c r="C60" s="303" t="s">
        <v>336</v>
      </c>
      <c r="D60" s="379" t="n">
        <f aca="false">'Estado deseado'!PR_SD_5</f>
        <v>0.65</v>
      </c>
      <c r="E60" s="365" t="e">
        <f aca="false">IF($D60=0,0,IF($D60&lt;LIMITE1,1,IF($D60&lt;LIMITE2,2,IF($D60&lt;LIMITE3,3,IF($D60&lt;1,4,5)))))</f>
        <v>#VALUE!</v>
      </c>
      <c r="F60" s="380"/>
      <c r="G60" s="380"/>
      <c r="H60" s="380"/>
      <c r="I60" s="380"/>
      <c r="J60" s="380"/>
      <c r="K60" s="380"/>
      <c r="M60" s="251" t="s">
        <v>950</v>
      </c>
      <c r="N60" s="373" t="e">
        <f aca="false">F78</f>
        <v>#VALUE!</v>
      </c>
    </row>
    <row r="61" customFormat="false" ht="39.75" hidden="false" customHeight="true" outlineLevel="0" collapsed="false">
      <c r="A61" s="377"/>
      <c r="B61" s="378"/>
      <c r="C61" s="303" t="s">
        <v>337</v>
      </c>
      <c r="D61" s="379" t="n">
        <f aca="false">'Estado deseado'!PR_SD_6</f>
        <v>0.6</v>
      </c>
      <c r="E61" s="365" t="e">
        <f aca="false">IF($D61=0,0,IF($D61&lt;LIMITE1,1,IF($D61&lt;LIMITE2,2,IF($D61&lt;LIMITE3,3,IF($D61&lt;1,4,5)))))</f>
        <v>#VALUE!</v>
      </c>
      <c r="F61" s="380"/>
      <c r="G61" s="380"/>
      <c r="H61" s="380"/>
      <c r="I61" s="380"/>
      <c r="J61" s="380"/>
      <c r="K61" s="380"/>
    </row>
    <row r="62" customFormat="false" ht="39.75" hidden="false" customHeight="true" outlineLevel="0" collapsed="false">
      <c r="A62" s="377"/>
      <c r="B62" s="378"/>
      <c r="C62" s="303" t="s">
        <v>338</v>
      </c>
      <c r="D62" s="379" t="n">
        <f aca="false">'Estado deseado'!PR_SD_7</f>
        <v>0.65</v>
      </c>
      <c r="E62" s="365" t="e">
        <f aca="false">IF($D62=0,0,IF($D62&lt;LIMITE1,1,IF($D62&lt;LIMITE2,2,IF($D62&lt;LIMITE3,3,IF($D62&lt;1,4,5)))))</f>
        <v>#VALUE!</v>
      </c>
      <c r="F62" s="380"/>
      <c r="G62" s="380"/>
      <c r="H62" s="380"/>
      <c r="I62" s="380"/>
      <c r="J62" s="380"/>
      <c r="K62" s="380"/>
    </row>
    <row r="63" customFormat="false" ht="39.75" hidden="false" customHeight="true" outlineLevel="0" collapsed="false">
      <c r="A63" s="377"/>
      <c r="B63" s="378"/>
      <c r="C63" s="303" t="s">
        <v>339</v>
      </c>
      <c r="D63" s="379" t="n">
        <f aca="false">'Estado deseado'!PR_SD_8</f>
        <v>0.65</v>
      </c>
      <c r="E63" s="365" t="e">
        <f aca="false">IF($D63=0,0,IF($D63&lt;LIMITE1,1,IF($D63&lt;LIMITE2,2,IF($D63&lt;LIMITE3,3,IF($D63&lt;1,4,5)))))</f>
        <v>#VALUE!</v>
      </c>
      <c r="F63" s="380"/>
      <c r="G63" s="380"/>
      <c r="H63" s="382"/>
      <c r="I63" s="382"/>
      <c r="J63" s="382"/>
      <c r="K63" s="382"/>
    </row>
    <row r="64" customFormat="false" ht="39.75" hidden="false" customHeight="true" outlineLevel="0" collapsed="false">
      <c r="A64" s="377"/>
      <c r="B64" s="378" t="s">
        <v>951</v>
      </c>
      <c r="C64" s="303" t="s">
        <v>341</v>
      </c>
      <c r="D64" s="379" t="n">
        <f aca="false">'Estado deseado'!PR_PI_1</f>
        <v>0.65</v>
      </c>
      <c r="E64" s="365" t="e">
        <f aca="false">IF($D64=0,0,IF($D64&lt;LIMITE1,1,IF($D64&lt;LIMITE2,2,IF($D64&lt;LIMITE3,3,IF($D64&lt;1,4,5)))))</f>
        <v>#VALUE!</v>
      </c>
      <c r="F64" s="380" t="e">
        <f aca="false">AVERAGE(E64:E75)</f>
        <v>#VALUE!</v>
      </c>
      <c r="G64" s="381" t="e">
        <f aca="false" t="array" ref="G64:G64">IF($F64&lt;1,"Muy primario",INDEX($Q$14:$Q$18,ROUNDDOWN($F$64,0))&amp;IF($F$64-ROUNDDOWN($F$64,0)&lt;0.5,""," con tendencia a "&amp;INDEX($Q$14:$Q$18,ROUNDDOWN($F$64,0)+1)))</f>
        <v>#VALUE!</v>
      </c>
      <c r="H64" s="382"/>
      <c r="I64" s="382"/>
      <c r="J64" s="382"/>
      <c r="K64" s="382"/>
    </row>
    <row r="65" customFormat="false" ht="39.75" hidden="false" customHeight="true" outlineLevel="0" collapsed="false">
      <c r="A65" s="377"/>
      <c r="B65" s="378"/>
      <c r="C65" s="303" t="s">
        <v>342</v>
      </c>
      <c r="D65" s="379" t="n">
        <f aca="false">'Estado deseado'!PR_PI_2</f>
        <v>0.65</v>
      </c>
      <c r="E65" s="365" t="e">
        <f aca="false">IF($D65=0,0,IF($D65&lt;LIMITE1,1,IF($D65&lt;LIMITE2,2,IF($D65&lt;LIMITE3,3,IF($D65&lt;1,4,5)))))</f>
        <v>#VALUE!</v>
      </c>
      <c r="F65" s="380"/>
      <c r="G65" s="380"/>
      <c r="H65" s="380"/>
      <c r="I65" s="380"/>
      <c r="J65" s="380"/>
      <c r="K65" s="380"/>
    </row>
    <row r="66" customFormat="false" ht="39.75" hidden="false" customHeight="true" outlineLevel="0" collapsed="false">
      <c r="A66" s="377"/>
      <c r="B66" s="378"/>
      <c r="C66" s="303" t="s">
        <v>343</v>
      </c>
      <c r="D66" s="379" t="n">
        <f aca="false">'Estado deseado'!PR_PI_3</f>
        <v>0.625</v>
      </c>
      <c r="E66" s="365" t="e">
        <f aca="false">IF($D66=0,0,IF($D66&lt;LIMITE1,1,IF($D66&lt;LIMITE2,2,IF($D66&lt;LIMITE3,3,IF($D66&lt;1,4,5)))))</f>
        <v>#VALUE!</v>
      </c>
      <c r="F66" s="380"/>
      <c r="G66" s="380"/>
      <c r="H66" s="380"/>
      <c r="I66" s="380"/>
      <c r="J66" s="380"/>
      <c r="K66" s="380"/>
    </row>
    <row r="67" customFormat="false" ht="39.75" hidden="false" customHeight="true" outlineLevel="0" collapsed="false">
      <c r="A67" s="377"/>
      <c r="B67" s="378"/>
      <c r="C67" s="303" t="s">
        <v>344</v>
      </c>
      <c r="D67" s="379" t="n">
        <f aca="false">'Estado deseado'!PR_PI_4</f>
        <v>0.65</v>
      </c>
      <c r="E67" s="365" t="e">
        <f aca="false">IF($D67=0,0,IF($D67&lt;LIMITE1,1,IF($D67&lt;LIMITE2,2,IF($D67&lt;LIMITE3,3,IF($D67&lt;1,4,5)))))</f>
        <v>#VALUE!</v>
      </c>
      <c r="F67" s="380"/>
      <c r="G67" s="380"/>
      <c r="H67" s="380"/>
      <c r="I67" s="380"/>
      <c r="J67" s="380"/>
      <c r="K67" s="380"/>
    </row>
    <row r="68" customFormat="false" ht="39.75" hidden="false" customHeight="true" outlineLevel="0" collapsed="false">
      <c r="A68" s="377"/>
      <c r="B68" s="378"/>
      <c r="C68" s="303" t="s">
        <v>345</v>
      </c>
      <c r="D68" s="379" t="n">
        <f aca="false">'Estado deseado'!PR_PI_5</f>
        <v>0.65</v>
      </c>
      <c r="E68" s="365" t="e">
        <f aca="false">IF($D68=0,0,IF($D68&lt;LIMITE1,1,IF($D68&lt;LIMITE2,2,IF($D68&lt;LIMITE3,3,IF($D68&lt;1,4,5)))))</f>
        <v>#VALUE!</v>
      </c>
      <c r="F68" s="380"/>
      <c r="G68" s="380"/>
      <c r="H68" s="380"/>
      <c r="I68" s="380"/>
      <c r="J68" s="380"/>
      <c r="K68" s="380"/>
    </row>
    <row r="69" customFormat="false" ht="39.75" hidden="false" customHeight="true" outlineLevel="0" collapsed="false">
      <c r="A69" s="377"/>
      <c r="B69" s="378"/>
      <c r="C69" s="303" t="s">
        <v>346</v>
      </c>
      <c r="D69" s="379" t="n">
        <f aca="false">'Estado deseado'!PR_PI_6</f>
        <v>0.65</v>
      </c>
      <c r="E69" s="365" t="e">
        <f aca="false">IF($D69=0,0,IF($D69&lt;LIMITE1,1,IF($D69&lt;LIMITE2,2,IF($D69&lt;LIMITE3,3,IF($D69&lt;1,4,5)))))</f>
        <v>#VALUE!</v>
      </c>
      <c r="F69" s="380"/>
      <c r="G69" s="380"/>
      <c r="H69" s="380"/>
      <c r="I69" s="380"/>
      <c r="J69" s="380"/>
      <c r="K69" s="380"/>
    </row>
    <row r="70" customFormat="false" ht="39.75" hidden="false" customHeight="true" outlineLevel="0" collapsed="false">
      <c r="A70" s="377"/>
      <c r="B70" s="378"/>
      <c r="C70" s="303" t="s">
        <v>347</v>
      </c>
      <c r="D70" s="379" t="n">
        <f aca="false">'Estado deseado'!PR_PI_7</f>
        <v>0.65</v>
      </c>
      <c r="E70" s="365" t="e">
        <f aca="false">IF($D70=0,0,IF($D70&lt;LIMITE1,1,IF($D70&lt;LIMITE2,2,IF($D70&lt;LIMITE3,3,IF($D70&lt;1,4,5)))))</f>
        <v>#VALUE!</v>
      </c>
      <c r="F70" s="380"/>
      <c r="G70" s="380"/>
      <c r="H70" s="380"/>
      <c r="I70" s="380"/>
      <c r="J70" s="380"/>
      <c r="K70" s="380"/>
    </row>
    <row r="71" customFormat="false" ht="39.75" hidden="false" customHeight="true" outlineLevel="0" collapsed="false">
      <c r="A71" s="377"/>
      <c r="B71" s="378"/>
      <c r="C71" s="303" t="s">
        <v>348</v>
      </c>
      <c r="D71" s="379" t="n">
        <f aca="false">'Estado deseado'!PR_PI_8</f>
        <v>0.4</v>
      </c>
      <c r="E71" s="365" t="e">
        <f aca="false">IF($D71=0,0,IF($D71&lt;LIMITE1,1,IF($D71&lt;LIMITE2,2,IF($D71&lt;LIMITE3,3,IF($D71&lt;1,4,5)))))</f>
        <v>#VALUE!</v>
      </c>
      <c r="F71" s="380"/>
      <c r="G71" s="380"/>
      <c r="H71" s="380"/>
      <c r="I71" s="380"/>
      <c r="J71" s="380"/>
      <c r="K71" s="380"/>
    </row>
    <row r="72" customFormat="false" ht="39.75" hidden="false" customHeight="true" outlineLevel="0" collapsed="false">
      <c r="A72" s="377"/>
      <c r="B72" s="378"/>
      <c r="C72" s="303" t="s">
        <v>349</v>
      </c>
      <c r="D72" s="379" t="n">
        <f aca="false">'Estado deseado'!PR_PI_9</f>
        <v>0.65</v>
      </c>
      <c r="E72" s="365" t="e">
        <f aca="false">IF($D72=0,0,IF($D72&lt;LIMITE1,1,IF($D72&lt;LIMITE2,2,IF($D72&lt;LIMITE3,3,IF($D72&lt;1,4,5)))))</f>
        <v>#VALUE!</v>
      </c>
      <c r="F72" s="380"/>
      <c r="G72" s="380"/>
      <c r="H72" s="380"/>
      <c r="I72" s="380"/>
      <c r="J72" s="380"/>
      <c r="K72" s="380"/>
    </row>
    <row r="73" customFormat="false" ht="39.75" hidden="false" customHeight="true" outlineLevel="0" collapsed="false">
      <c r="A73" s="377"/>
      <c r="B73" s="378"/>
      <c r="C73" s="303" t="s">
        <v>350</v>
      </c>
      <c r="D73" s="379" t="n">
        <f aca="false">'Estado deseado'!PR_PI_10</f>
        <v>0.65</v>
      </c>
      <c r="E73" s="365" t="e">
        <f aca="false">IF($D73=0,0,IF($D73&lt;LIMITE1,1,IF($D73&lt;LIMITE2,2,IF($D73&lt;LIMITE3,3,IF($D73&lt;1,4,5)))))</f>
        <v>#VALUE!</v>
      </c>
      <c r="F73" s="380"/>
      <c r="G73" s="380"/>
      <c r="H73" s="380"/>
      <c r="I73" s="380"/>
      <c r="J73" s="380"/>
      <c r="K73" s="380"/>
    </row>
    <row r="74" customFormat="false" ht="39.75" hidden="false" customHeight="true" outlineLevel="0" collapsed="false">
      <c r="A74" s="377"/>
      <c r="B74" s="378"/>
      <c r="C74" s="303" t="s">
        <v>351</v>
      </c>
      <c r="D74" s="379" t="n">
        <f aca="false">'Estado deseado'!PR_PI_11</f>
        <v>0.59</v>
      </c>
      <c r="E74" s="365" t="e">
        <f aca="false">IF($D74=0,0,IF($D74&lt;LIMITE1,1,IF($D74&lt;LIMITE2,2,IF($D74&lt;LIMITE3,3,IF($D74&lt;1,4,5)))))</f>
        <v>#VALUE!</v>
      </c>
      <c r="F74" s="380"/>
      <c r="G74" s="380"/>
      <c r="H74" s="380"/>
      <c r="I74" s="380"/>
      <c r="J74" s="380"/>
      <c r="K74" s="380"/>
    </row>
    <row r="75" customFormat="false" ht="39.75" hidden="false" customHeight="true" outlineLevel="0" collapsed="false">
      <c r="A75" s="377"/>
      <c r="B75" s="378"/>
      <c r="C75" s="303" t="s">
        <v>352</v>
      </c>
      <c r="D75" s="379" t="n">
        <f aca="false">'Estado deseado'!PR_PI_12</f>
        <v>0.65</v>
      </c>
      <c r="E75" s="365" t="e">
        <f aca="false">IF($D75=0,0,IF($D75&lt;LIMITE1,1,IF($D75&lt;LIMITE2,2,IF($D75&lt;LIMITE3,3,IF($D75&lt;1,4,5)))))</f>
        <v>#VALUE!</v>
      </c>
      <c r="F75" s="380"/>
      <c r="G75" s="380"/>
      <c r="H75" s="382"/>
      <c r="I75" s="382"/>
      <c r="J75" s="382"/>
      <c r="K75" s="382"/>
    </row>
    <row r="76" customFormat="false" ht="39.75" hidden="false" customHeight="true" outlineLevel="0" collapsed="false">
      <c r="A76" s="377"/>
      <c r="B76" s="378" t="s">
        <v>952</v>
      </c>
      <c r="C76" s="303" t="s">
        <v>514</v>
      </c>
      <c r="D76" s="379" t="n">
        <f aca="false">'Estado deseado'!PR_MA_1</f>
        <v>0.65</v>
      </c>
      <c r="E76" s="365" t="e">
        <f aca="false">IF($D76=0,0,IF($D76&lt;LIMITE1,1,IF($D76&lt;LIMITE2,2,IF($D76&lt;LIMITE3,3,IF($D76&lt;1,4,5)))))</f>
        <v>#VALUE!</v>
      </c>
      <c r="F76" s="380" t="e">
        <f aca="false">AVERAGE(E76:E77)</f>
        <v>#VALUE!</v>
      </c>
      <c r="G76" s="384" t="e">
        <f aca="false" t="array" ref="G76:G76">IF($F76&lt;1,"Muy primario",INDEX($Q$14:$Q$18,ROUNDDOWN($F$76,0))&amp;IF($F$76-ROUNDDOWN($F$76,0)&lt;0.5,""," con tendencia a "&amp;INDEX($Q$14:$Q$18,ROUNDDOWN($F$76,0)+1)))</f>
        <v>#VALUE!</v>
      </c>
      <c r="H76" s="382"/>
      <c r="I76" s="382"/>
      <c r="J76" s="382"/>
      <c r="K76" s="382"/>
    </row>
    <row r="77" customFormat="false" ht="39.75" hidden="false" customHeight="true" outlineLevel="0" collapsed="false">
      <c r="A77" s="377"/>
      <c r="B77" s="378"/>
      <c r="C77" s="303" t="s">
        <v>355</v>
      </c>
      <c r="D77" s="379" t="n">
        <f aca="false">'Estado deseado'!PR_MA_2</f>
        <v>0.65</v>
      </c>
      <c r="E77" s="365" t="e">
        <f aca="false">IF($D77=0,0,IF($D77&lt;LIMITE1,1,IF($D77&lt;LIMITE2,2,IF($D77&lt;LIMITE3,3,IF($D77&lt;1,4,5)))))</f>
        <v>#VALUE!</v>
      </c>
      <c r="F77" s="380"/>
      <c r="G77" s="384"/>
      <c r="H77" s="384"/>
      <c r="I77" s="384"/>
      <c r="J77" s="384"/>
      <c r="K77" s="384"/>
    </row>
    <row r="78" customFormat="false" ht="39.75" hidden="false" customHeight="true" outlineLevel="0" collapsed="false">
      <c r="A78" s="377"/>
      <c r="B78" s="378" t="s">
        <v>953</v>
      </c>
      <c r="C78" s="303" t="s">
        <v>357</v>
      </c>
      <c r="D78" s="379" t="n">
        <f aca="false">'Estado deseado'!PR_TP_1</f>
        <v>0.425</v>
      </c>
      <c r="E78" s="365" t="e">
        <f aca="false">IF($D78=0,0,IF($D78&lt;LIMITE1,1,IF($D78&lt;LIMITE2,2,IF($D78&lt;LIMITE3,3,IF($D78&lt;1,4,5)))))</f>
        <v>#VALUE!</v>
      </c>
      <c r="F78" s="380" t="e">
        <f aca="false">AVERAGE(E78:E82)</f>
        <v>#VALUE!</v>
      </c>
      <c r="G78" s="381" t="e">
        <f aca="false" t="array" ref="G78:G78">IF($F76&lt;1,"Muy primario",INDEX($Q$14:$Q$18,ROUNDDOWN($F$76,0))&amp;IF($F$76-ROUNDDOWN($F$76,0)&lt;0.5,""," con tendencia a "&amp;INDEX($Q$14:$Q$18,ROUNDDOWN($F$76,0)+1)))</f>
        <v>#VALUE!</v>
      </c>
      <c r="H78" s="382"/>
      <c r="I78" s="382"/>
      <c r="J78" s="382"/>
      <c r="K78" s="382"/>
    </row>
    <row r="79" customFormat="false" ht="39.75" hidden="false" customHeight="true" outlineLevel="0" collapsed="false">
      <c r="A79" s="377"/>
      <c r="B79" s="378"/>
      <c r="C79" s="303" t="s">
        <v>358</v>
      </c>
      <c r="D79" s="379" t="n">
        <f aca="false">'Estado deseado'!PR_TP_2</f>
        <v>0.65</v>
      </c>
      <c r="E79" s="365" t="e">
        <f aca="false">IF($D79=0,0,IF($D79&lt;LIMITE1,1,IF($D79&lt;LIMITE2,2,IF($D79&lt;LIMITE3,3,IF($D79&lt;1,4,5)))))</f>
        <v>#VALUE!</v>
      </c>
      <c r="F79" s="380"/>
      <c r="G79" s="380"/>
      <c r="H79" s="380"/>
      <c r="I79" s="380"/>
      <c r="J79" s="380"/>
      <c r="K79" s="380"/>
    </row>
    <row r="80" customFormat="false" ht="39.75" hidden="false" customHeight="true" outlineLevel="0" collapsed="false">
      <c r="A80" s="377"/>
      <c r="B80" s="378"/>
      <c r="C80" s="303" t="s">
        <v>359</v>
      </c>
      <c r="D80" s="379" t="n">
        <f aca="false">'Estado deseado'!PR_TP_3</f>
        <v>0.65</v>
      </c>
      <c r="E80" s="365" t="e">
        <f aca="false">IF($D80=0,0,IF($D80&lt;LIMITE1,1,IF($D80&lt;LIMITE2,2,IF($D80&lt;LIMITE3,3,IF($D80&lt;1,4,5)))))</f>
        <v>#VALUE!</v>
      </c>
      <c r="F80" s="380"/>
      <c r="G80" s="380"/>
      <c r="H80" s="380"/>
      <c r="I80" s="380"/>
      <c r="J80" s="380"/>
      <c r="K80" s="380"/>
    </row>
    <row r="81" customFormat="false" ht="39.75" hidden="false" customHeight="true" outlineLevel="0" collapsed="false">
      <c r="A81" s="377"/>
      <c r="B81" s="378"/>
      <c r="C81" s="303" t="s">
        <v>360</v>
      </c>
      <c r="D81" s="379" t="n">
        <f aca="false">'Estado deseado'!PR_TP_4</f>
        <v>0.65</v>
      </c>
      <c r="E81" s="365" t="e">
        <f aca="false">IF($D81=0,0,IF($D81&lt;LIMITE1,1,IF($D81&lt;LIMITE2,2,IF($D81&lt;LIMITE3,3,IF($D81&lt;1,4,5)))))</f>
        <v>#VALUE!</v>
      </c>
      <c r="F81" s="380"/>
      <c r="G81" s="380"/>
      <c r="H81" s="380"/>
      <c r="I81" s="380"/>
      <c r="J81" s="380"/>
      <c r="K81" s="380"/>
    </row>
    <row r="82" customFormat="false" ht="39.75" hidden="false" customHeight="true" outlineLevel="0" collapsed="false">
      <c r="A82" s="385"/>
      <c r="B82" s="378"/>
      <c r="C82" s="303" t="s">
        <v>361</v>
      </c>
      <c r="D82" s="379" t="n">
        <f aca="false">'Estado deseado'!PR_TP_5</f>
        <v>0.425</v>
      </c>
      <c r="E82" s="365" t="e">
        <f aca="false">IF($D82=0,0,IF($D82&lt;LIMITE1,1,IF($D82&lt;LIMITE2,2,IF($D82&lt;LIMITE3,3,IF($D82&lt;1,4,5)))))</f>
        <v>#VALUE!</v>
      </c>
      <c r="F82" s="380"/>
      <c r="G82" s="380"/>
      <c r="H82" s="380"/>
      <c r="I82" s="380"/>
      <c r="J82" s="370"/>
      <c r="K82" s="370"/>
    </row>
    <row r="83" customFormat="false" ht="39.75" hidden="false" customHeight="true" outlineLevel="0" collapsed="false">
      <c r="A83" s="386"/>
      <c r="B83" s="386"/>
      <c r="C83" s="386"/>
      <c r="D83" s="386"/>
      <c r="E83" s="386"/>
      <c r="F83" s="386"/>
      <c r="G83" s="386"/>
      <c r="H83" s="386"/>
      <c r="I83" s="386"/>
      <c r="J83" s="370"/>
      <c r="K83" s="370"/>
    </row>
    <row r="84" customFormat="false" ht="39.75" hidden="false" customHeight="true" outlineLevel="0" collapsed="false">
      <c r="A84" s="387" t="s">
        <v>5</v>
      </c>
      <c r="B84" s="388" t="s">
        <v>954</v>
      </c>
      <c r="C84" s="389" t="s">
        <v>363</v>
      </c>
      <c r="D84" s="390" t="n">
        <f aca="false">'Estado deseado'!DE_AE_1</f>
        <v>0.65</v>
      </c>
      <c r="E84" s="365" t="e">
        <f aca="false">IF($D84=0,0,IF($D84&lt;LIMITE1,1,IF($D84&lt;LIMITE2,2,IF($D84&lt;LIMITE3,3,IF($D84&lt;1,4,5)))))</f>
        <v>#VALUE!</v>
      </c>
      <c r="F84" s="391" t="e">
        <f aca="false">AVERAGE(E84:E88)</f>
        <v>#VALUE!</v>
      </c>
      <c r="G84" s="392" t="e">
        <f aca="false" t="array" ref="G84:G84">IF($F84&lt;1,"Muy primario",INDEX($Q$14:$Q$18,ROUNDDOWN($F$84,0))&amp;IF($F$84-ROUNDDOWN($F$84,0)&lt;0.5,""," con tendencia a "&amp;INDEX($Q$14:$Q$18,ROUNDDOWN($F$84,0)+1)))</f>
        <v>#VALUE!</v>
      </c>
      <c r="H84" s="393" t="e">
        <f aca="false">AVERAGE(F84:F101)</f>
        <v>#VALUE!</v>
      </c>
      <c r="I84" s="394" t="e">
        <f aca="false" t="array" ref="I84:I84">IF($H$84&lt;1,"Muy primario",INDEX($Q$14:$Q$18,ROUNDDOWN($H$84,0))&amp;IF($H$84-ROUNDDOWN($H$84,0)&lt;0.5,""," con tendencia a "&amp;INDEX($Q$14:$Q$18,ROUNDDOWN($H$84,0)+1)))</f>
        <v>#VALUE!</v>
      </c>
      <c r="J84" s="370"/>
      <c r="K84" s="370"/>
    </row>
    <row r="85" customFormat="false" ht="39.75" hidden="false" customHeight="true" outlineLevel="0" collapsed="false">
      <c r="A85" s="387"/>
      <c r="B85" s="388"/>
      <c r="C85" s="389" t="s">
        <v>364</v>
      </c>
      <c r="D85" s="390" t="n">
        <f aca="false">'Estado deseado'!DE_AE_2</f>
        <v>0.65</v>
      </c>
      <c r="E85" s="365" t="e">
        <f aca="false">IF($D85=0,0,IF($D85&lt;LIMITE1,1,IF($D85&lt;LIMITE2,2,IF($D85&lt;LIMITE3,3,IF($D85&lt;1,4,5)))))</f>
        <v>#VALUE!</v>
      </c>
      <c r="F85" s="391"/>
      <c r="G85" s="391"/>
      <c r="H85" s="391"/>
      <c r="I85" s="391"/>
      <c r="J85" s="391"/>
      <c r="K85" s="391"/>
    </row>
    <row r="86" customFormat="false" ht="39.75" hidden="false" customHeight="true" outlineLevel="0" collapsed="false">
      <c r="A86" s="387"/>
      <c r="B86" s="388"/>
      <c r="C86" s="389" t="s">
        <v>365</v>
      </c>
      <c r="D86" s="390" t="n">
        <f aca="false">'Estado deseado'!DE_AE_3</f>
        <v>0.4</v>
      </c>
      <c r="E86" s="365" t="e">
        <f aca="false">IF($D86=0,0,IF($D86&lt;LIMITE1,1,IF($D86&lt;LIMITE2,2,IF($D86&lt;LIMITE3,3,IF($D86&lt;1,4,5)))))</f>
        <v>#VALUE!</v>
      </c>
      <c r="F86" s="391"/>
      <c r="G86" s="391"/>
      <c r="H86" s="391"/>
      <c r="I86" s="391"/>
      <c r="J86" s="391"/>
      <c r="K86" s="391"/>
    </row>
    <row r="87" customFormat="false" ht="39.75" hidden="false" customHeight="true" outlineLevel="0" collapsed="false">
      <c r="A87" s="387"/>
      <c r="B87" s="388"/>
      <c r="C87" s="389" t="s">
        <v>366</v>
      </c>
      <c r="D87" s="390" t="n">
        <f aca="false">DE_AE_4</f>
        <v>1</v>
      </c>
      <c r="E87" s="365" t="e">
        <f aca="false">IF($D87=0,0,IF($D87&lt;LIMITE1,1,IF($D87&lt;LIMITE2,2,IF($D87&lt;LIMITE3,3,IF($D87&lt;1,4,5)))))</f>
        <v>#VALUE!</v>
      </c>
      <c r="F87" s="391"/>
      <c r="G87" s="391"/>
      <c r="H87" s="391"/>
      <c r="I87" s="391"/>
      <c r="J87" s="391"/>
      <c r="K87" s="391"/>
    </row>
    <row r="88" customFormat="false" ht="39.75" hidden="false" customHeight="true" outlineLevel="0" collapsed="false">
      <c r="A88" s="387"/>
      <c r="B88" s="388"/>
      <c r="C88" s="389" t="s">
        <v>367</v>
      </c>
      <c r="D88" s="390" t="n">
        <f aca="false">'Estado deseado'!DE_AE_5</f>
        <v>0.425</v>
      </c>
      <c r="E88" s="365" t="e">
        <f aca="false">IF($D88=0,0,IF($D88&lt;LIMITE1,1,IF($D88&lt;LIMITE2,2,IF($D88&lt;LIMITE3,3,IF($D88&lt;1,4,5)))))</f>
        <v>#VALUE!</v>
      </c>
      <c r="F88" s="391"/>
      <c r="G88" s="391"/>
      <c r="H88" s="393"/>
      <c r="I88" s="393"/>
      <c r="J88" s="393"/>
      <c r="K88" s="393"/>
    </row>
    <row r="89" customFormat="false" ht="39.75" hidden="false" customHeight="true" outlineLevel="0" collapsed="false">
      <c r="A89" s="387"/>
      <c r="B89" s="388" t="s">
        <v>955</v>
      </c>
      <c r="C89" s="389" t="s">
        <v>369</v>
      </c>
      <c r="D89" s="390" t="n">
        <f aca="false">'Estado deseado'!DE_MC_1</f>
        <v>0.65</v>
      </c>
      <c r="E89" s="365" t="e">
        <f aca="false">IF($D89=0,0,IF($D89&lt;LIMITE1,1,IF($D89&lt;LIMITE2,2,IF($D89&lt;LIMITE3,3,IF($D89&lt;1,4,5)))))</f>
        <v>#VALUE!</v>
      </c>
      <c r="F89" s="391" t="e">
        <f aca="false">AVERAGE(E89:E96)</f>
        <v>#VALUE!</v>
      </c>
      <c r="G89" s="392" t="e">
        <f aca="false" t="array" ref="G89:G89">IF($F89&lt;1,"Muy primario",INDEX($Q$14:$Q$18,ROUNDDOWN($F$89,0))&amp;IF($F$89-ROUNDDOWN($F$89,0)&lt;0.5,""," con tendencia a "&amp;INDEX($Q$14:$Q$18,ROUNDDOWN($F$89,0)+1)))</f>
        <v>#VALUE!</v>
      </c>
      <c r="H89" s="393"/>
      <c r="I89" s="393"/>
      <c r="J89" s="393"/>
      <c r="K89" s="393"/>
    </row>
    <row r="90" customFormat="false" ht="39.75" hidden="false" customHeight="true" outlineLevel="0" collapsed="false">
      <c r="A90" s="387"/>
      <c r="B90" s="388"/>
      <c r="C90" s="389" t="s">
        <v>370</v>
      </c>
      <c r="D90" s="390" t="n">
        <f aca="false">'Estado deseado'!DE_MC_2</f>
        <v>0.65</v>
      </c>
      <c r="E90" s="365" t="e">
        <f aca="false">IF($D90=0,0,IF($D90&lt;LIMITE1,1,IF($D90&lt;LIMITE2,2,IF($D90&lt;LIMITE3,3,IF($D90&lt;1,4,5)))))</f>
        <v>#VALUE!</v>
      </c>
      <c r="F90" s="391"/>
      <c r="G90" s="391"/>
      <c r="H90" s="391"/>
      <c r="I90" s="391"/>
      <c r="J90" s="391"/>
      <c r="K90" s="391"/>
      <c r="M90" s="251" t="s">
        <v>24</v>
      </c>
      <c r="N90" s="251"/>
    </row>
    <row r="91" customFormat="false" ht="39.75" hidden="false" customHeight="true" outlineLevel="0" collapsed="false">
      <c r="A91" s="387"/>
      <c r="B91" s="388"/>
      <c r="C91" s="389" t="s">
        <v>371</v>
      </c>
      <c r="D91" s="390" t="n">
        <f aca="false">'Estado deseado'!DE_MC_3</f>
        <v>0.65</v>
      </c>
      <c r="E91" s="365" t="e">
        <f aca="false">IF($D91=0,0,IF($D91&lt;LIMITE1,1,IF($D91&lt;LIMITE2,2,IF($D91&lt;LIMITE3,3,IF($D91&lt;1,4,5)))))</f>
        <v>#VALUE!</v>
      </c>
      <c r="F91" s="391"/>
      <c r="G91" s="391"/>
      <c r="H91" s="391"/>
      <c r="I91" s="391"/>
      <c r="J91" s="391"/>
      <c r="K91" s="391"/>
      <c r="M91" s="251" t="s">
        <v>956</v>
      </c>
      <c r="N91" s="373" t="e">
        <f aca="false">F84</f>
        <v>#VALUE!</v>
      </c>
    </row>
    <row r="92" customFormat="false" ht="39.75" hidden="false" customHeight="true" outlineLevel="0" collapsed="false">
      <c r="A92" s="387"/>
      <c r="B92" s="388"/>
      <c r="C92" s="389" t="s">
        <v>372</v>
      </c>
      <c r="D92" s="390" t="n">
        <f aca="false">'Estado deseado'!DE_MC_4</f>
        <v>0.65</v>
      </c>
      <c r="E92" s="365" t="e">
        <f aca="false">IF($D92=0,0,IF($D92&lt;LIMITE1,1,IF($D92&lt;LIMITE2,2,IF($D92&lt;LIMITE3,3,IF($D92&lt;1,4,5)))))</f>
        <v>#VALUE!</v>
      </c>
      <c r="F92" s="391"/>
      <c r="G92" s="391"/>
      <c r="H92" s="391"/>
      <c r="I92" s="391"/>
      <c r="J92" s="391"/>
      <c r="K92" s="391"/>
      <c r="M92" s="251" t="s">
        <v>957</v>
      </c>
      <c r="N92" s="373" t="e">
        <f aca="false">F89</f>
        <v>#VALUE!</v>
      </c>
    </row>
    <row r="93" customFormat="false" ht="39.75" hidden="false" customHeight="true" outlineLevel="0" collapsed="false">
      <c r="A93" s="387"/>
      <c r="B93" s="388"/>
      <c r="C93" s="389" t="s">
        <v>373</v>
      </c>
      <c r="D93" s="390" t="n">
        <f aca="false">'Estado deseado'!DE_MC_5</f>
        <v>0.4</v>
      </c>
      <c r="E93" s="365" t="e">
        <f aca="false">IF($D93=0,0,IF($D93&lt;LIMITE1,1,IF($D93&lt;LIMITE2,2,IF($D93&lt;LIMITE3,3,IF($D93&lt;1,4,5)))))</f>
        <v>#VALUE!</v>
      </c>
      <c r="F93" s="391"/>
      <c r="G93" s="391"/>
      <c r="H93" s="391"/>
      <c r="I93" s="391"/>
      <c r="J93" s="391"/>
      <c r="K93" s="391"/>
      <c r="M93" s="251" t="s">
        <v>958</v>
      </c>
      <c r="N93" s="373" t="e">
        <f aca="false">F97</f>
        <v>#VALUE!</v>
      </c>
    </row>
    <row r="94" customFormat="false" ht="39.75" hidden="false" customHeight="true" outlineLevel="0" collapsed="false">
      <c r="A94" s="387"/>
      <c r="B94" s="388"/>
      <c r="C94" s="389" t="s">
        <v>374</v>
      </c>
      <c r="D94" s="390" t="n">
        <f aca="false">'Estado deseado'!DE_MC_6</f>
        <v>0.65</v>
      </c>
      <c r="E94" s="365" t="e">
        <f aca="false">IF($D94=0,0,IF($D94&lt;LIMITE1,1,IF($D94&lt;LIMITE2,2,IF($D94&lt;LIMITE3,3,IF($D94&lt;1,4,5)))))</f>
        <v>#VALUE!</v>
      </c>
      <c r="F94" s="391"/>
      <c r="G94" s="391"/>
      <c r="H94" s="391"/>
      <c r="I94" s="391"/>
      <c r="J94" s="391"/>
      <c r="K94" s="391"/>
    </row>
    <row r="95" customFormat="false" ht="39.75" hidden="false" customHeight="true" outlineLevel="0" collapsed="false">
      <c r="A95" s="387"/>
      <c r="B95" s="388"/>
      <c r="C95" s="389" t="s">
        <v>375</v>
      </c>
      <c r="D95" s="390" t="n">
        <f aca="false">'Estado deseado'!DE_MC_7</f>
        <v>0.4</v>
      </c>
      <c r="E95" s="365" t="e">
        <f aca="false">IF($D95=0,0,IF($D95&lt;LIMITE1,1,IF($D95&lt;LIMITE2,2,IF($D95&lt;LIMITE3,3,IF($D95&lt;1,4,5)))))</f>
        <v>#VALUE!</v>
      </c>
      <c r="F95" s="391"/>
      <c r="G95" s="391"/>
      <c r="H95" s="391"/>
      <c r="I95" s="391"/>
      <c r="J95" s="391"/>
      <c r="K95" s="391"/>
    </row>
    <row r="96" customFormat="false" ht="39.75" hidden="false" customHeight="true" outlineLevel="0" collapsed="false">
      <c r="A96" s="387"/>
      <c r="B96" s="388"/>
      <c r="C96" s="389" t="s">
        <v>376</v>
      </c>
      <c r="D96" s="390" t="n">
        <f aca="false">'Estado deseado'!DE_MC_8</f>
        <v>0.65</v>
      </c>
      <c r="E96" s="365" t="e">
        <f aca="false">IF($D96=0,0,IF($D96&lt;LIMITE1,1,IF($D96&lt;LIMITE2,2,IF($D96&lt;LIMITE3,3,IF($D96&lt;1,4,5)))))</f>
        <v>#VALUE!</v>
      </c>
      <c r="F96" s="391"/>
      <c r="G96" s="391"/>
      <c r="H96" s="393"/>
      <c r="I96" s="393"/>
      <c r="J96" s="393"/>
      <c r="K96" s="393"/>
    </row>
    <row r="97" customFormat="false" ht="39.75" hidden="false" customHeight="true" outlineLevel="0" collapsed="false">
      <c r="A97" s="387"/>
      <c r="B97" s="388" t="s">
        <v>959</v>
      </c>
      <c r="C97" s="389" t="s">
        <v>378</v>
      </c>
      <c r="D97" s="390" t="n">
        <f aca="false">'Estado deseado'!DE_PD_1</f>
        <v>0.65</v>
      </c>
      <c r="E97" s="365" t="e">
        <f aca="false">IF($D97=0,0,IF($D97&lt;LIMITE1,1,IF($D97&lt;LIMITE2,2,IF($D97&lt;LIMITE3,3,IF($D97&lt;1,4,5)))))</f>
        <v>#VALUE!</v>
      </c>
      <c r="F97" s="391" t="e">
        <f aca="false">AVERAGE(E97:E101)</f>
        <v>#VALUE!</v>
      </c>
      <c r="G97" s="392" t="e">
        <f aca="false" t="array" ref="G97:G97">IF($F97&lt;1,"Muy primario",INDEX($Q$14:$Q$18,ROUNDDOWN($F$97,0))&amp;IF($F$97-ROUNDDOWN($F$97,0)&lt;0.5,""," con tendencia a "&amp;INDEX($Q$14:$Q$18,ROUNDDOWN($F$97,0)+1)))</f>
        <v>#VALUE!</v>
      </c>
      <c r="H97" s="393"/>
      <c r="I97" s="393"/>
      <c r="J97" s="393"/>
      <c r="K97" s="393"/>
    </row>
    <row r="98" customFormat="false" ht="39.75" hidden="false" customHeight="true" outlineLevel="0" collapsed="false">
      <c r="A98" s="387"/>
      <c r="B98" s="388"/>
      <c r="C98" s="389" t="s">
        <v>379</v>
      </c>
      <c r="D98" s="390" t="n">
        <f aca="false">'Estado deseado'!DE_PD_2</f>
        <v>0.65</v>
      </c>
      <c r="E98" s="365" t="e">
        <f aca="false">IF($D98=0,0,IF($D98&lt;LIMITE1,1,IF($D98&lt;LIMITE2,2,IF($D98&lt;LIMITE3,3,IF($D98&lt;1,4,5)))))</f>
        <v>#VALUE!</v>
      </c>
      <c r="F98" s="391"/>
      <c r="G98" s="391"/>
      <c r="H98" s="391"/>
      <c r="I98" s="391"/>
      <c r="J98" s="391"/>
      <c r="K98" s="391"/>
    </row>
    <row r="99" customFormat="false" ht="39.75" hidden="false" customHeight="true" outlineLevel="0" collapsed="false">
      <c r="A99" s="387"/>
      <c r="B99" s="388"/>
      <c r="C99" s="389" t="s">
        <v>380</v>
      </c>
      <c r="D99" s="390" t="n">
        <f aca="false">'Estado deseado'!DE_PD_3</f>
        <v>0.65</v>
      </c>
      <c r="E99" s="365" t="e">
        <f aca="false">IF($D99=0,0,IF($D99&lt;LIMITE1,1,IF($D99&lt;LIMITE2,2,IF($D99&lt;LIMITE3,3,IF($D99&lt;1,4,5)))))</f>
        <v>#VALUE!</v>
      </c>
      <c r="F99" s="391"/>
      <c r="G99" s="391"/>
      <c r="H99" s="391"/>
      <c r="I99" s="391"/>
      <c r="J99" s="391"/>
      <c r="K99" s="391"/>
    </row>
    <row r="100" customFormat="false" ht="39.75" hidden="false" customHeight="true" outlineLevel="0" collapsed="false">
      <c r="A100" s="387"/>
      <c r="B100" s="388"/>
      <c r="C100" s="389" t="s">
        <v>381</v>
      </c>
      <c r="D100" s="390" t="n">
        <f aca="false">'Estado deseado'!DE_PD_4</f>
        <v>0.65</v>
      </c>
      <c r="E100" s="365" t="e">
        <f aca="false">IF($D100=0,0,IF($D100&lt;LIMITE1,1,IF($D100&lt;LIMITE2,2,IF($D100&lt;LIMITE3,3,IF($D100&lt;1,4,5)))))</f>
        <v>#VALUE!</v>
      </c>
      <c r="F100" s="391"/>
      <c r="G100" s="391"/>
      <c r="H100" s="391"/>
      <c r="I100" s="391"/>
      <c r="J100" s="391"/>
      <c r="K100" s="391"/>
    </row>
    <row r="101" customFormat="false" ht="39.75" hidden="false" customHeight="true" outlineLevel="0" collapsed="false">
      <c r="A101" s="387"/>
      <c r="B101" s="388"/>
      <c r="C101" s="389" t="s">
        <v>382</v>
      </c>
      <c r="D101" s="390" t="n">
        <f aca="false">'Estado deseado'!DE_PD_5</f>
        <v>0.65</v>
      </c>
      <c r="E101" s="365" t="e">
        <f aca="false">IF($D101=0,0,IF($D101&lt;LIMITE1,1,IF($D101&lt;LIMITE2,2,IF($D101&lt;LIMITE3,3,IF($D101&lt;1,4,5)))))</f>
        <v>#VALUE!</v>
      </c>
      <c r="F101" s="391"/>
      <c r="G101" s="391"/>
      <c r="H101" s="393"/>
      <c r="I101" s="394"/>
      <c r="J101" s="370"/>
      <c r="K101" s="370"/>
    </row>
    <row r="102" customFormat="false" ht="39.75" hidden="false" customHeight="true" outlineLevel="0" collapsed="false">
      <c r="A102" s="386"/>
      <c r="B102" s="386"/>
      <c r="C102" s="386"/>
      <c r="D102" s="386"/>
      <c r="E102" s="386"/>
      <c r="F102" s="386"/>
      <c r="G102" s="386"/>
      <c r="H102" s="386"/>
      <c r="I102" s="386"/>
      <c r="J102" s="370"/>
      <c r="K102" s="370"/>
    </row>
    <row r="103" customFormat="false" ht="66" hidden="false" customHeight="true" outlineLevel="0" collapsed="false">
      <c r="A103" s="395" t="s">
        <v>6</v>
      </c>
      <c r="B103" s="396" t="s">
        <v>960</v>
      </c>
      <c r="C103" s="397" t="s">
        <v>384</v>
      </c>
      <c r="D103" s="398" t="n">
        <f aca="false">'Estado deseado'!RE_PR_1</f>
        <v>0.65</v>
      </c>
      <c r="E103" s="365" t="e">
        <f aca="false">IF($D103=0,0,IF($D103&lt;LIMITE1,1,IF($D103&lt;LIMITE2,2,IF($D103&lt;LIMITE3,3,IF($D103&lt;1,4,5)))))</f>
        <v>#VALUE!</v>
      </c>
      <c r="F103" s="399" t="e">
        <f aca="false">AVERAGE(E103)</f>
        <v>#VALUE!</v>
      </c>
      <c r="G103" s="400" t="e">
        <f aca="false" t="array" ref="G103:G103">IF($F103&lt;1,"Muy primario",INDEX($Q$14:$Q$18,ROUNDDOWN($F$103,0))&amp;IF($F$103-ROUNDDOWN($F$103,0)&lt;0.5,""," con tendencia a "&amp;INDEX($Q$14:$Q$18,ROUNDDOWN($F$103,0)+1)))</f>
        <v>#VALUE!</v>
      </c>
      <c r="H103" s="401" t="e">
        <f aca="false">AVERAGE(F103:F118)</f>
        <v>#VALUE!</v>
      </c>
      <c r="I103" s="402" t="e">
        <f aca="false" t="array" ref="I103:I103">IF($H$103&lt;1,"Muy primario",INDEX($Q$14:$Q$18,ROUNDDOWN($H$103,0))&amp;IF($H$103-ROUNDDOWN($H$103,0)&lt;0.5,""," con tendencia a "&amp;INDEX($Q$14:$Q$18,ROUNDDOWN($H$103,0)+1)))</f>
        <v>#VALUE!</v>
      </c>
      <c r="J103" s="370"/>
      <c r="K103" s="370"/>
    </row>
    <row r="104" customFormat="false" ht="39.75" hidden="false" customHeight="true" outlineLevel="0" collapsed="false">
      <c r="A104" s="395"/>
      <c r="B104" s="403" t="s">
        <v>961</v>
      </c>
      <c r="C104" s="397" t="s">
        <v>386</v>
      </c>
      <c r="D104" s="398" t="n">
        <f aca="false">'Estado deseado'!RE_CO_1</f>
        <v>0.65</v>
      </c>
      <c r="E104" s="365" t="e">
        <f aca="false">IF($D104=0,0,IF($D104&lt;LIMITE1,1,IF($D104&lt;LIMITE2,2,IF($D104&lt;LIMITE3,3,IF($D104&lt;1,4,5)))))</f>
        <v>#VALUE!</v>
      </c>
      <c r="F104" s="399" t="e">
        <f aca="false">AVERAGE(E104:E108)</f>
        <v>#VALUE!</v>
      </c>
      <c r="G104" s="400" t="e">
        <f aca="false" t="array" ref="G104:G104">IF($F104&lt;1,"Muy primario",INDEX($Q$14:$Q$18,ROUNDDOWN($F$104,0))&amp;IF($F$104-ROUNDDOWN($F$104,0)&lt;0.5,""," con tendencia a "&amp;INDEX($Q$14:$Q$18,ROUNDDOWN($F$104,0)+1)))</f>
        <v>#VALUE!</v>
      </c>
      <c r="H104" s="401"/>
      <c r="I104" s="401"/>
      <c r="J104" s="401"/>
      <c r="K104" s="401"/>
    </row>
    <row r="105" customFormat="false" ht="39.75" hidden="false" customHeight="true" outlineLevel="0" collapsed="false">
      <c r="A105" s="395"/>
      <c r="B105" s="403"/>
      <c r="C105" s="397" t="s">
        <v>387</v>
      </c>
      <c r="D105" s="398" t="n">
        <f aca="false">'Estado deseado'!RE_CO_2</f>
        <v>0.65</v>
      </c>
      <c r="E105" s="365" t="e">
        <f aca="false">IF($D105=0,0,IF($D105&lt;LIMITE1,1,IF($D105&lt;LIMITE2,2,IF($D105&lt;LIMITE3,3,IF($D105&lt;1,4,5)))))</f>
        <v>#VALUE!</v>
      </c>
      <c r="F105" s="399"/>
      <c r="G105" s="399"/>
      <c r="H105" s="399"/>
      <c r="I105" s="399"/>
      <c r="J105" s="399"/>
      <c r="K105" s="399"/>
    </row>
    <row r="106" customFormat="false" ht="39.75" hidden="false" customHeight="true" outlineLevel="0" collapsed="false">
      <c r="A106" s="395"/>
      <c r="B106" s="403"/>
      <c r="C106" s="397" t="s">
        <v>388</v>
      </c>
      <c r="D106" s="398" t="n">
        <f aca="false">'Estado deseado'!RE_CO_3</f>
        <v>0.65</v>
      </c>
      <c r="E106" s="365" t="e">
        <f aca="false">IF($D106=0,0,IF($D106&lt;LIMITE1,1,IF($D106&lt;LIMITE2,2,IF($D106&lt;LIMITE3,3,IF($D106&lt;1,4,5)))))</f>
        <v>#VALUE!</v>
      </c>
      <c r="F106" s="399"/>
      <c r="G106" s="399"/>
      <c r="H106" s="399"/>
      <c r="I106" s="399"/>
      <c r="J106" s="399"/>
      <c r="K106" s="399"/>
      <c r="M106" s="251" t="s">
        <v>28</v>
      </c>
      <c r="N106" s="251"/>
    </row>
    <row r="107" customFormat="false" ht="39.75" hidden="false" customHeight="true" outlineLevel="0" collapsed="false">
      <c r="A107" s="395"/>
      <c r="B107" s="403"/>
      <c r="C107" s="397" t="s">
        <v>389</v>
      </c>
      <c r="D107" s="398" t="n">
        <f aca="false">'Estado deseado'!RE_CO_4</f>
        <v>0.65</v>
      </c>
      <c r="E107" s="365" t="e">
        <f aca="false">IF($D107=0,0,IF($D107&lt;LIMITE1,1,IF($D107&lt;LIMITE2,2,IF($D107&lt;LIMITE3,3,IF($D107&lt;1,4,5)))))</f>
        <v>#VALUE!</v>
      </c>
      <c r="F107" s="399"/>
      <c r="G107" s="399"/>
      <c r="H107" s="399"/>
      <c r="I107" s="399"/>
      <c r="J107" s="399"/>
      <c r="K107" s="399"/>
      <c r="M107" s="251" t="s">
        <v>962</v>
      </c>
      <c r="N107" s="373" t="e">
        <f aca="false">F103</f>
        <v>#VALUE!</v>
      </c>
    </row>
    <row r="108" customFormat="false" ht="39.75" hidden="false" customHeight="true" outlineLevel="0" collapsed="false">
      <c r="A108" s="395"/>
      <c r="B108" s="403"/>
      <c r="C108" s="397" t="s">
        <v>390</v>
      </c>
      <c r="D108" s="398" t="n">
        <f aca="false">'Estado deseado'!RE_CO_5</f>
        <v>0.425</v>
      </c>
      <c r="E108" s="365" t="e">
        <f aca="false">IF($D108=0,0,IF($D108&lt;LIMITE1,1,IF($D108&lt;LIMITE2,2,IF($D108&lt;LIMITE3,3,IF($D108&lt;1,4,5)))))</f>
        <v>#VALUE!</v>
      </c>
      <c r="F108" s="399"/>
      <c r="G108" s="399"/>
      <c r="H108" s="401"/>
      <c r="I108" s="401"/>
      <c r="J108" s="401"/>
      <c r="K108" s="401"/>
      <c r="M108" s="251" t="s">
        <v>963</v>
      </c>
      <c r="N108" s="373" t="e">
        <f aca="false">F104</f>
        <v>#VALUE!</v>
      </c>
    </row>
    <row r="109" customFormat="false" ht="39.75" hidden="false" customHeight="true" outlineLevel="0" collapsed="false">
      <c r="A109" s="395"/>
      <c r="B109" s="403" t="s">
        <v>964</v>
      </c>
      <c r="C109" s="397" t="s">
        <v>392</v>
      </c>
      <c r="D109" s="398" t="n">
        <f aca="false">'Estado deseado'!RE_AN_1</f>
        <v>0.5</v>
      </c>
      <c r="E109" s="365" t="e">
        <f aca="false">IF($D109=0,0,IF($D109&lt;LIMITE1,1,IF($D109&lt;LIMITE2,2,IF($D109&lt;LIMITE3,3,IF($D109&lt;1,4,5)))))</f>
        <v>#VALUE!</v>
      </c>
      <c r="F109" s="399" t="e">
        <f aca="false">AVERAGE(E109:E113)</f>
        <v>#VALUE!</v>
      </c>
      <c r="G109" s="400" t="e">
        <f aca="false" t="array" ref="G109:G109">IF($F109&lt;1,"Muy primario",INDEX($Q$14:$Q$18,ROUNDDOWN($F$109,0))&amp;IF($F$109-ROUNDDOWN($F$109,0)&lt;0.5,""," con tendencia a "&amp;INDEX($Q$14:$Q$18,ROUNDDOWN($F$109,0)+1)))</f>
        <v>#VALUE!</v>
      </c>
      <c r="H109" s="401"/>
      <c r="I109" s="401"/>
      <c r="J109" s="401"/>
      <c r="K109" s="401"/>
      <c r="M109" s="251" t="s">
        <v>965</v>
      </c>
      <c r="N109" s="373" t="e">
        <f aca="false">F109</f>
        <v>#VALUE!</v>
      </c>
    </row>
    <row r="110" customFormat="false" ht="39.75" hidden="false" customHeight="true" outlineLevel="0" collapsed="false">
      <c r="A110" s="395"/>
      <c r="B110" s="403"/>
      <c r="C110" s="397" t="s">
        <v>393</v>
      </c>
      <c r="D110" s="398" t="n">
        <f aca="false">'Estado deseado'!RE_AN_2</f>
        <v>0.65</v>
      </c>
      <c r="E110" s="365" t="e">
        <f aca="false">IF($D110=0,0,IF($D110&lt;LIMITE1,1,IF($D110&lt;LIMITE2,2,IF($D110&lt;LIMITE3,3,IF($D110&lt;1,4,5)))))</f>
        <v>#VALUE!</v>
      </c>
      <c r="F110" s="399"/>
      <c r="G110" s="399"/>
      <c r="H110" s="399"/>
      <c r="I110" s="399"/>
      <c r="J110" s="399"/>
      <c r="K110" s="399"/>
      <c r="M110" s="251" t="s">
        <v>966</v>
      </c>
      <c r="N110" s="373" t="e">
        <f aca="false">F114</f>
        <v>#VALUE!</v>
      </c>
    </row>
    <row r="111" customFormat="false" ht="39.75" hidden="false" customHeight="true" outlineLevel="0" collapsed="false">
      <c r="A111" s="395"/>
      <c r="B111" s="403"/>
      <c r="C111" s="397" t="s">
        <v>394</v>
      </c>
      <c r="D111" s="398" t="n">
        <f aca="false">'Estado deseado'!RE_AN_3</f>
        <v>0.65</v>
      </c>
      <c r="E111" s="365" t="e">
        <f aca="false">IF($D111=0,0,IF($D111&lt;LIMITE1,1,IF($D111&lt;LIMITE2,2,IF($D111&lt;LIMITE3,3,IF($D111&lt;1,4,5)))))</f>
        <v>#VALUE!</v>
      </c>
      <c r="F111" s="399"/>
      <c r="G111" s="399"/>
      <c r="H111" s="399"/>
      <c r="I111" s="399"/>
      <c r="J111" s="399"/>
      <c r="K111" s="399"/>
      <c r="M111" s="251" t="s">
        <v>967</v>
      </c>
      <c r="N111" s="373" t="e">
        <f aca="false">F117</f>
        <v>#VALUE!</v>
      </c>
    </row>
    <row r="112" customFormat="false" ht="39.75" hidden="false" customHeight="true" outlineLevel="0" collapsed="false">
      <c r="A112" s="395"/>
      <c r="B112" s="403"/>
      <c r="C112" s="397" t="s">
        <v>395</v>
      </c>
      <c r="D112" s="398" t="n">
        <f aca="false">'Estado deseado'!RE_AN_4</f>
        <v>0.65</v>
      </c>
      <c r="E112" s="365" t="e">
        <f aca="false">IF($D112=0,0,IF($D112&lt;LIMITE1,1,IF($D112&lt;LIMITE2,2,IF($D112&lt;LIMITE3,3,IF($D112&lt;1,4,5)))))</f>
        <v>#VALUE!</v>
      </c>
      <c r="F112" s="399"/>
      <c r="G112" s="399"/>
      <c r="H112" s="399"/>
      <c r="I112" s="399"/>
      <c r="J112" s="399"/>
      <c r="K112" s="399"/>
    </row>
    <row r="113" customFormat="false" ht="39.75" hidden="false" customHeight="true" outlineLevel="0" collapsed="false">
      <c r="A113" s="395"/>
      <c r="B113" s="403"/>
      <c r="C113" s="397" t="s">
        <v>396</v>
      </c>
      <c r="D113" s="398" t="n">
        <f aca="false">'Estado deseado'!RE_AN_5</f>
        <v>0.65</v>
      </c>
      <c r="E113" s="365" t="e">
        <f aca="false">IF($D113=0,0,IF($D113&lt;LIMITE1,1,IF($D113&lt;LIMITE2,2,IF($D113&lt;LIMITE3,3,IF($D113&lt;1,4,5)))))</f>
        <v>#VALUE!</v>
      </c>
      <c r="F113" s="399"/>
      <c r="G113" s="399"/>
      <c r="H113" s="401"/>
      <c r="I113" s="401"/>
      <c r="J113" s="401"/>
      <c r="K113" s="401"/>
    </row>
    <row r="114" customFormat="false" ht="39.75" hidden="false" customHeight="true" outlineLevel="0" collapsed="false">
      <c r="A114" s="395"/>
      <c r="B114" s="403" t="s">
        <v>968</v>
      </c>
      <c r="C114" s="397" t="s">
        <v>398</v>
      </c>
      <c r="D114" s="398" t="n">
        <f aca="false">'Estado deseado'!RE_MI_1</f>
        <v>0.65</v>
      </c>
      <c r="E114" s="365" t="e">
        <f aca="false">IF($D114=0,0,IF($D114&lt;LIMITE1,1,IF($D114&lt;LIMITE2,2,IF($D114&lt;LIMITE3,3,IF($D114&lt;1,4,5)))))</f>
        <v>#VALUE!</v>
      </c>
      <c r="F114" s="399" t="e">
        <f aca="false">AVERAGE(E114:E116)</f>
        <v>#VALUE!</v>
      </c>
      <c r="G114" s="400" t="e">
        <f aca="false" t="array" ref="G114:G114">IF($F114&lt;1,"Muy primario",INDEX($Q$14:$Q$18,ROUNDDOWN($F$114,0))&amp;IF($F$114-ROUNDDOWN($F$114,0)&lt;0.5,""," con tendencia a "&amp;INDEX($Q$14:$Q$18,ROUNDDOWN($F$114,0)+1)))</f>
        <v>#VALUE!</v>
      </c>
      <c r="H114" s="401"/>
      <c r="I114" s="401"/>
      <c r="J114" s="401"/>
      <c r="K114" s="401"/>
    </row>
    <row r="115" customFormat="false" ht="39.75" hidden="false" customHeight="true" outlineLevel="0" collapsed="false">
      <c r="A115" s="395"/>
      <c r="B115" s="403"/>
      <c r="C115" s="397" t="s">
        <v>399</v>
      </c>
      <c r="D115" s="398" t="n">
        <f aca="false">'Estado deseado'!RE_MI_2</f>
        <v>0.65</v>
      </c>
      <c r="E115" s="365" t="e">
        <f aca="false">IF($D115=0,0,IF($D115&lt;LIMITE1,1,IF($D115&lt;LIMITE2,2,IF($D115&lt;LIMITE3,3,IF($D115&lt;1,4,5)))))</f>
        <v>#VALUE!</v>
      </c>
      <c r="F115" s="399"/>
      <c r="G115" s="399"/>
      <c r="H115" s="399"/>
      <c r="I115" s="399"/>
      <c r="J115" s="399"/>
      <c r="K115" s="399"/>
    </row>
    <row r="116" customFormat="false" ht="39.75" hidden="false" customHeight="true" outlineLevel="0" collapsed="false">
      <c r="A116" s="395"/>
      <c r="B116" s="403"/>
      <c r="C116" s="397" t="s">
        <v>400</v>
      </c>
      <c r="D116" s="398" t="n">
        <f aca="false">'Estado deseado'!RE_MI_3</f>
        <v>0.65</v>
      </c>
      <c r="E116" s="365" t="e">
        <f aca="false">IF($D116=0,0,IF($D116&lt;LIMITE1,1,IF($D116&lt;LIMITE2,2,IF($D116&lt;LIMITE3,3,IF($D116&lt;1,4,5)))))</f>
        <v>#VALUE!</v>
      </c>
      <c r="F116" s="399"/>
      <c r="G116" s="399"/>
      <c r="H116" s="401"/>
      <c r="I116" s="401"/>
      <c r="J116" s="401"/>
      <c r="K116" s="401"/>
    </row>
    <row r="117" customFormat="false" ht="39.75" hidden="false" customHeight="true" outlineLevel="0" collapsed="false">
      <c r="A117" s="395"/>
      <c r="B117" s="403" t="s">
        <v>969</v>
      </c>
      <c r="C117" s="397" t="s">
        <v>402</v>
      </c>
      <c r="D117" s="398" t="n">
        <f aca="false">'Estado deseado'!RE_ME_1</f>
        <v>0.65</v>
      </c>
      <c r="E117" s="365" t="e">
        <f aca="false">IF($D117=0,0,IF($D117&lt;LIMITE1,1,IF($D117&lt;LIMITE2,2,IF($D117&lt;LIMITE3,3,IF($D117&lt;1,4,5)))))</f>
        <v>#VALUE!</v>
      </c>
      <c r="F117" s="399" t="e">
        <f aca="false">AVERAGE(E117:E118)</f>
        <v>#VALUE!</v>
      </c>
      <c r="G117" s="400" t="e">
        <f aca="false" t="array" ref="G117:G117">IF($F117&lt;1,"Muy primario",INDEX($Q$14:$Q$18,ROUNDDOWN($F$117,0))&amp;IF($F$117-ROUNDDOWN($F$117,0)&lt;0.5,""," con tendencia a "&amp;INDEX($Q$14:$Q$18,ROUNDDOWN($F$117,0)+1)))</f>
        <v>#VALUE!</v>
      </c>
      <c r="H117" s="401"/>
      <c r="I117" s="401"/>
      <c r="J117" s="401"/>
      <c r="K117" s="401"/>
    </row>
    <row r="118" customFormat="false" ht="39.75" hidden="false" customHeight="true" outlineLevel="0" collapsed="false">
      <c r="A118" s="395"/>
      <c r="B118" s="403"/>
      <c r="C118" s="397" t="s">
        <v>403</v>
      </c>
      <c r="D118" s="398" t="n">
        <f aca="false">'Estado deseado'!RE_ME_2</f>
        <v>0.65</v>
      </c>
      <c r="E118" s="365" t="e">
        <f aca="false">IF($D118=0,0,IF($D118&lt;LIMITE1,1,IF($D118&lt;LIMITE2,2,IF($D118&lt;LIMITE3,3,IF($D118&lt;1,4,5)))))</f>
        <v>#VALUE!</v>
      </c>
      <c r="F118" s="399"/>
      <c r="G118" s="399"/>
      <c r="H118" s="401"/>
      <c r="I118" s="402"/>
      <c r="J118" s="370"/>
      <c r="K118" s="370"/>
    </row>
    <row r="119" customFormat="false" ht="39.75" hidden="false" customHeight="true" outlineLevel="0" collapsed="false">
      <c r="A119" s="376"/>
      <c r="B119" s="376"/>
      <c r="C119" s="376"/>
      <c r="D119" s="376"/>
      <c r="E119" s="376"/>
      <c r="F119" s="376"/>
      <c r="G119" s="376"/>
      <c r="H119" s="376"/>
      <c r="I119" s="376"/>
      <c r="J119" s="370"/>
      <c r="K119" s="370"/>
    </row>
    <row r="120" customFormat="false" ht="79.5" hidden="false" customHeight="true" outlineLevel="0" collapsed="false">
      <c r="A120" s="404" t="s">
        <v>7</v>
      </c>
      <c r="B120" s="405" t="s">
        <v>970</v>
      </c>
      <c r="C120" s="406" t="s">
        <v>405</v>
      </c>
      <c r="D120" s="407" t="n">
        <f aca="false">'Estado deseado'!RC_PR_1</f>
        <v>0.65</v>
      </c>
      <c r="E120" s="365" t="e">
        <f aca="false">IF($D120=0,0,IF($D120&lt;LIMITE1,1,IF($D120&lt;LIMITE2,2,IF($D120&lt;LIMITE3,3,IF($D120&lt;1,4,5)))))</f>
        <v>#VALUE!</v>
      </c>
      <c r="F120" s="408" t="e">
        <f aca="false">AVERAGE(E120)</f>
        <v>#VALUE!</v>
      </c>
      <c r="G120" s="409" t="e">
        <f aca="false" t="array" ref="G120:G120">IF($F120&lt;1,"Muy primario",INDEX($Q$14:$Q$18,ROUNDDOWN($F$120,0))&amp;IF($F$120-ROUNDDOWN($F$120,0)&lt;0.5,""," con tendencia a "&amp;INDEX($Q$14:$Q$18,ROUNDDOWN($F$120,0)+1)))</f>
        <v>#VALUE!</v>
      </c>
      <c r="H120" s="410" t="e">
        <f aca="false">AVERAGE(F120:F125)</f>
        <v>#VALUE!</v>
      </c>
      <c r="I120" s="411" t="e">
        <f aca="false" t="array" ref="I120:I120">IF($H$120&lt;1,"Muy primario",INDEX($Q$14:$Q$18,ROUNDDOWN($H$120,0))&amp;IF($H$120-ROUNDDOWN($H$120,0)&lt;0.5,""," con tendencia a "&amp;INDEX($Q$14:$Q$18,ROUNDDOWN($H$120,0)+1)))</f>
        <v>#VALUE!</v>
      </c>
      <c r="J120" s="370"/>
      <c r="K120" s="370"/>
      <c r="M120" s="251" t="s">
        <v>34</v>
      </c>
      <c r="N120" s="251"/>
    </row>
    <row r="121" customFormat="false" ht="39.75" hidden="false" customHeight="true" outlineLevel="0" collapsed="false">
      <c r="A121" s="404"/>
      <c r="B121" s="412" t="s">
        <v>971</v>
      </c>
      <c r="C121" s="406" t="s">
        <v>407</v>
      </c>
      <c r="D121" s="407" t="n">
        <f aca="false">'Estado deseado'!RC_ME_1</f>
        <v>0.65</v>
      </c>
      <c r="E121" s="365" t="e">
        <f aca="false">IF($D121=0,0,IF($D121&lt;LIMITE1,1,IF($D121&lt;LIMITE2,2,IF($D121&lt;LIMITE3,3,IF($D121&lt;1,4,5)))))</f>
        <v>#VALUE!</v>
      </c>
      <c r="F121" s="408" t="e">
        <f aca="false">AVERAGE(E121:E122)</f>
        <v>#VALUE!</v>
      </c>
      <c r="G121" s="409" t="e">
        <f aca="false" t="array" ref="G121:G121">IF($F121&lt;1,"Muy primario",INDEX($Q$14:$Q$18,ROUNDDOWN($F$121,0))&amp;IF($F$121-ROUNDDOWN($F$121,0)&lt;0.5,""," con tendencia a "&amp;INDEX($Q$14:$Q$18,ROUNDDOWN($F$121,0)+1)))</f>
        <v>#VALUE!</v>
      </c>
      <c r="H121" s="410"/>
      <c r="I121" s="410"/>
      <c r="J121" s="410"/>
      <c r="K121" s="410"/>
      <c r="M121" s="251" t="s">
        <v>972</v>
      </c>
      <c r="N121" s="373" t="e">
        <f aca="false">F120</f>
        <v>#VALUE!</v>
      </c>
    </row>
    <row r="122" customFormat="false" ht="39.75" hidden="false" customHeight="true" outlineLevel="0" collapsed="false">
      <c r="A122" s="404"/>
      <c r="B122" s="412"/>
      <c r="C122" s="406" t="s">
        <v>408</v>
      </c>
      <c r="D122" s="407" t="n">
        <f aca="false">'Estado deseado'!RC_ME_2</f>
        <v>0.65</v>
      </c>
      <c r="E122" s="365" t="e">
        <f aca="false">IF($D122=0,0,IF($D122&lt;LIMITE1,1,IF($D122&lt;LIMITE2,2,IF($D122&lt;LIMITE3,3,IF($D122&lt;1,4,5)))))</f>
        <v>#VALUE!</v>
      </c>
      <c r="F122" s="408"/>
      <c r="G122" s="408"/>
      <c r="H122" s="410"/>
      <c r="I122" s="410"/>
      <c r="J122" s="410"/>
      <c r="K122" s="410"/>
      <c r="M122" s="251" t="s">
        <v>967</v>
      </c>
      <c r="N122" s="373" t="e">
        <f aca="false">F121</f>
        <v>#VALUE!</v>
      </c>
    </row>
    <row r="123" customFormat="false" ht="39.75" hidden="false" customHeight="true" outlineLevel="0" collapsed="false">
      <c r="A123" s="404"/>
      <c r="B123" s="412" t="s">
        <v>973</v>
      </c>
      <c r="C123" s="406" t="s">
        <v>410</v>
      </c>
      <c r="D123" s="407" t="n">
        <f aca="false">'Estado deseado'!RC_CO_1</f>
        <v>0.65</v>
      </c>
      <c r="E123" s="365" t="e">
        <f aca="false">IF($D123=0,0,IF($D123&lt;LIMITE1,1,IF($D123&lt;LIMITE2,2,IF($D123&lt;LIMITE3,3,IF($D123&lt;1,4,5)))))</f>
        <v>#VALUE!</v>
      </c>
      <c r="F123" s="408" t="e">
        <f aca="false">AVERAGE(E123:E125)</f>
        <v>#VALUE!</v>
      </c>
      <c r="G123" s="409" t="e">
        <f aca="false" t="array" ref="G123:G123">IF($F123&lt;1,"Muy primario",INDEX($Q$14:$Q$18,ROUNDDOWN($F$123,0))&amp;IF($F$123-ROUNDDOWN($F$123,0)&lt;0.5,""," con tendencia a "&amp;INDEX($Q$14:$Q$18,ROUNDDOWN($F$123,0)+1)))</f>
        <v>#VALUE!</v>
      </c>
      <c r="H123" s="410"/>
      <c r="I123" s="410"/>
      <c r="J123" s="410"/>
      <c r="K123" s="410"/>
      <c r="M123" s="251" t="s">
        <v>963</v>
      </c>
      <c r="N123" s="373" t="e">
        <f aca="false">F123</f>
        <v>#VALUE!</v>
      </c>
    </row>
    <row r="124" customFormat="false" ht="39.75" hidden="false" customHeight="true" outlineLevel="0" collapsed="false">
      <c r="A124" s="404"/>
      <c r="B124" s="404"/>
      <c r="C124" s="406" t="s">
        <v>411</v>
      </c>
      <c r="D124" s="407" t="n">
        <f aca="false">'Estado deseado'!RC_CO_2</f>
        <v>0.65</v>
      </c>
      <c r="E124" s="365" t="e">
        <f aca="false">IF($D124=0,0,IF($D124&lt;LIMITE1,1,IF($D124&lt;LIMITE2,2,IF($D124&lt;LIMITE3,3,IF($D124&lt;1,4,5)))))</f>
        <v>#VALUE!</v>
      </c>
      <c r="F124" s="408"/>
      <c r="G124" s="408"/>
      <c r="H124" s="408"/>
      <c r="I124" s="408"/>
      <c r="J124" s="408"/>
      <c r="K124" s="408"/>
    </row>
    <row r="125" customFormat="false" ht="39.75" hidden="false" customHeight="true" outlineLevel="0" collapsed="false">
      <c r="A125" s="404"/>
      <c r="B125" s="404"/>
      <c r="C125" s="413" t="s">
        <v>412</v>
      </c>
      <c r="D125" s="407" t="n">
        <f aca="false">'Estado deseado'!RC_CO_3</f>
        <v>0.65</v>
      </c>
      <c r="E125" s="365" t="e">
        <f aca="false">IF($D125=0,0,IF($D125&lt;LIMITE1,1,IF($D125&lt;LIMITE2,2,IF($D125&lt;LIMITE3,3,IF($D125&lt;1,4,5)))))</f>
        <v>#VALUE!</v>
      </c>
      <c r="F125" s="408"/>
      <c r="G125" s="408"/>
      <c r="H125" s="408"/>
      <c r="I125" s="408"/>
      <c r="J125" s="408"/>
      <c r="K125" s="408"/>
    </row>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96">
    <mergeCell ref="A1:K9"/>
    <mergeCell ref="A11:A13"/>
    <mergeCell ref="B11:B13"/>
    <mergeCell ref="C11:C13"/>
    <mergeCell ref="D11:E12"/>
    <mergeCell ref="F11:K13"/>
    <mergeCell ref="A14:A37"/>
    <mergeCell ref="B14:B19"/>
    <mergeCell ref="F14:F19"/>
    <mergeCell ref="G14:G19"/>
    <mergeCell ref="H14:H42"/>
    <mergeCell ref="I14:I42"/>
    <mergeCell ref="J14:J125"/>
    <mergeCell ref="K14:K125"/>
    <mergeCell ref="M19:N19"/>
    <mergeCell ref="B20:B24"/>
    <mergeCell ref="F20:F24"/>
    <mergeCell ref="G20:G24"/>
    <mergeCell ref="B25:B28"/>
    <mergeCell ref="F25:F28"/>
    <mergeCell ref="G25:G28"/>
    <mergeCell ref="M26:N26"/>
    <mergeCell ref="B29:B34"/>
    <mergeCell ref="F29:F34"/>
    <mergeCell ref="G29:G34"/>
    <mergeCell ref="B35:B37"/>
    <mergeCell ref="F35:F37"/>
    <mergeCell ref="G35:G37"/>
    <mergeCell ref="B38:B42"/>
    <mergeCell ref="F38:F42"/>
    <mergeCell ref="G38:G42"/>
    <mergeCell ref="A43:I43"/>
    <mergeCell ref="A44:A81"/>
    <mergeCell ref="B44:B50"/>
    <mergeCell ref="F44:F50"/>
    <mergeCell ref="G44:G50"/>
    <mergeCell ref="H44:H82"/>
    <mergeCell ref="I44:I82"/>
    <mergeCell ref="B51:B55"/>
    <mergeCell ref="F51:F55"/>
    <mergeCell ref="G51:G55"/>
    <mergeCell ref="M54:N54"/>
    <mergeCell ref="B56:B63"/>
    <mergeCell ref="F56:F63"/>
    <mergeCell ref="G56:G63"/>
    <mergeCell ref="B64:B75"/>
    <mergeCell ref="F64:F75"/>
    <mergeCell ref="G64:G75"/>
    <mergeCell ref="B76:B77"/>
    <mergeCell ref="F76:F77"/>
    <mergeCell ref="G76:G77"/>
    <mergeCell ref="B78:B82"/>
    <mergeCell ref="F78:F82"/>
    <mergeCell ref="G78:G82"/>
    <mergeCell ref="A83:I83"/>
    <mergeCell ref="A84:A101"/>
    <mergeCell ref="B84:B88"/>
    <mergeCell ref="F84:F88"/>
    <mergeCell ref="G84:G88"/>
    <mergeCell ref="H84:H101"/>
    <mergeCell ref="I84:I101"/>
    <mergeCell ref="B89:B96"/>
    <mergeCell ref="F89:F96"/>
    <mergeCell ref="G89:G96"/>
    <mergeCell ref="M90:N90"/>
    <mergeCell ref="B97:B101"/>
    <mergeCell ref="F97:F101"/>
    <mergeCell ref="G97:G101"/>
    <mergeCell ref="A102:I102"/>
    <mergeCell ref="A103:A118"/>
    <mergeCell ref="H103:H118"/>
    <mergeCell ref="I103:I118"/>
    <mergeCell ref="B104:B108"/>
    <mergeCell ref="F104:F108"/>
    <mergeCell ref="G104:G108"/>
    <mergeCell ref="M106:N106"/>
    <mergeCell ref="B109:B113"/>
    <mergeCell ref="F109:F113"/>
    <mergeCell ref="G109:G113"/>
    <mergeCell ref="B114:B116"/>
    <mergeCell ref="F114:F116"/>
    <mergeCell ref="G114:G116"/>
    <mergeCell ref="B117:B118"/>
    <mergeCell ref="F117:F118"/>
    <mergeCell ref="G117:G118"/>
    <mergeCell ref="A119:I119"/>
    <mergeCell ref="A120:A125"/>
    <mergeCell ref="H120:H125"/>
    <mergeCell ref="I120:I125"/>
    <mergeCell ref="M120:N120"/>
    <mergeCell ref="B121:B122"/>
    <mergeCell ref="F121:F122"/>
    <mergeCell ref="G121:G122"/>
    <mergeCell ref="B123:B125"/>
    <mergeCell ref="F123:F125"/>
    <mergeCell ref="G123:G125"/>
  </mergeCells>
  <dataValidations count="1">
    <dataValidation allowBlank="true" errorStyle="stop" operator="between" prompt="ERROR - Solo se pueden ingresar valores entre 1 (T1 - parcial) y 4 (T4 - Adaptable)" showDropDown="false" showErrorMessage="true" showInputMessage="true" sqref="E14:E42 E44:E82 E84:E101 E103:E118 E120:E125" type="decimal">
      <formula1>1</formula1>
      <formula2>4</formula2>
    </dataValidation>
  </dataValidation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true" outlineLevel="0" max="1" min="1" style="0" width="17.75"/>
    <col collapsed="false" customWidth="true" hidden="true" outlineLevel="0" max="2" min="2" style="0" width="37.75"/>
    <col collapsed="false" customWidth="true" hidden="false" outlineLevel="0" max="3" min="3" style="0" width="9.25"/>
    <col collapsed="false" customWidth="true" hidden="false" outlineLevel="0" max="4" min="4" style="0" width="13.25"/>
    <col collapsed="false" customWidth="true" hidden="false" outlineLevel="0" max="5" min="5" style="0" width="44.38"/>
    <col collapsed="false" customWidth="true" hidden="false" outlineLevel="0" max="6" min="6" style="0" width="7.63"/>
    <col collapsed="false" customWidth="true" hidden="false" outlineLevel="0" max="26" min="7" style="0" width="9.25"/>
  </cols>
  <sheetData>
    <row r="1" customFormat="false" ht="12.75" hidden="false" customHeight="true" outlineLevel="0" collapsed="false"/>
    <row r="2" customFormat="false" ht="12.75" hidden="false" customHeight="true" outlineLevel="0" collapsed="false"/>
    <row r="3" customFormat="false" ht="12.75" hidden="false" customHeight="true" outlineLevel="0" collapsed="false">
      <c r="A3" s="41" t="s">
        <v>277</v>
      </c>
      <c r="B3" s="41" t="s">
        <v>8</v>
      </c>
      <c r="C3" s="414" t="s">
        <v>451</v>
      </c>
      <c r="D3" s="414" t="s">
        <v>278</v>
      </c>
      <c r="E3" s="414" t="s">
        <v>39</v>
      </c>
      <c r="F3" s="414" t="s">
        <v>974</v>
      </c>
    </row>
    <row r="4" customFormat="false" ht="12.75" hidden="false" customHeight="true" outlineLevel="0" collapsed="false">
      <c r="A4" s="415" t="s">
        <v>3</v>
      </c>
      <c r="B4" s="416" t="s">
        <v>975</v>
      </c>
      <c r="C4" s="417" t="n">
        <v>1</v>
      </c>
      <c r="D4" s="417" t="s">
        <v>976</v>
      </c>
      <c r="E4" s="418" t="s">
        <v>977</v>
      </c>
      <c r="F4" s="419" t="n">
        <v>20</v>
      </c>
    </row>
    <row r="5" customFormat="false" ht="12.75" hidden="false" customHeight="true" outlineLevel="0" collapsed="false">
      <c r="A5" s="415"/>
      <c r="B5" s="416"/>
      <c r="C5" s="417" t="n">
        <v>1</v>
      </c>
      <c r="D5" s="417" t="s">
        <v>978</v>
      </c>
      <c r="E5" s="418" t="s">
        <v>979</v>
      </c>
      <c r="F5" s="419" t="n">
        <v>21</v>
      </c>
    </row>
    <row r="6" customFormat="false" ht="12.75" hidden="false" customHeight="true" outlineLevel="0" collapsed="false">
      <c r="A6" s="415"/>
      <c r="B6" s="416"/>
      <c r="C6" s="417" t="n">
        <v>1</v>
      </c>
      <c r="D6" s="417" t="s">
        <v>980</v>
      </c>
      <c r="E6" s="418" t="s">
        <v>981</v>
      </c>
      <c r="F6" s="419" t="n">
        <v>27</v>
      </c>
    </row>
    <row r="7" customFormat="false" ht="12.75" hidden="false" customHeight="true" outlineLevel="0" collapsed="false">
      <c r="A7" s="415"/>
      <c r="B7" s="416"/>
      <c r="C7" s="417" t="n">
        <v>1</v>
      </c>
      <c r="D7" s="417" t="s">
        <v>982</v>
      </c>
      <c r="E7" s="418" t="s">
        <v>983</v>
      </c>
      <c r="F7" s="419" t="n">
        <v>32</v>
      </c>
    </row>
    <row r="8" customFormat="false" ht="12.75" hidden="false" customHeight="true" outlineLevel="0" collapsed="false">
      <c r="A8" s="415"/>
      <c r="B8" s="416" t="s">
        <v>984</v>
      </c>
      <c r="C8" s="417" t="n">
        <v>1</v>
      </c>
      <c r="D8" s="417" t="s">
        <v>985</v>
      </c>
      <c r="E8" s="418" t="s">
        <v>986</v>
      </c>
      <c r="F8" s="419" t="n">
        <v>35</v>
      </c>
    </row>
    <row r="9" customFormat="false" ht="12.75" hidden="false" customHeight="true" outlineLevel="0" collapsed="false">
      <c r="A9" s="415"/>
      <c r="B9" s="416"/>
      <c r="C9" s="417" t="n">
        <v>1</v>
      </c>
      <c r="D9" s="417" t="s">
        <v>987</v>
      </c>
      <c r="E9" s="418" t="s">
        <v>988</v>
      </c>
      <c r="F9" s="419" t="n">
        <v>37</v>
      </c>
    </row>
    <row r="10" customFormat="false" ht="12.75" hidden="false" customHeight="true" outlineLevel="0" collapsed="false">
      <c r="A10" s="415"/>
      <c r="B10" s="416"/>
      <c r="C10" s="417" t="n">
        <v>1</v>
      </c>
      <c r="D10" s="417" t="s">
        <v>989</v>
      </c>
      <c r="E10" s="418" t="s">
        <v>990</v>
      </c>
      <c r="F10" s="419" t="n">
        <v>38</v>
      </c>
    </row>
    <row r="11" customFormat="false" ht="12.75" hidden="false" customHeight="true" outlineLevel="0" collapsed="false">
      <c r="A11" s="415"/>
      <c r="B11" s="416"/>
      <c r="C11" s="417" t="n">
        <v>1</v>
      </c>
      <c r="D11" s="417" t="s">
        <v>991</v>
      </c>
      <c r="E11" s="418" t="s">
        <v>992</v>
      </c>
      <c r="F11" s="419" t="n">
        <v>42</v>
      </c>
    </row>
    <row r="12" customFormat="false" ht="12.75" hidden="false" customHeight="true" outlineLevel="0" collapsed="false">
      <c r="A12" s="415"/>
      <c r="B12" s="416"/>
      <c r="C12" s="417" t="n">
        <v>1</v>
      </c>
      <c r="D12" s="417" t="s">
        <v>993</v>
      </c>
      <c r="E12" s="418" t="s">
        <v>994</v>
      </c>
      <c r="F12" s="419" t="n">
        <v>45</v>
      </c>
    </row>
    <row r="13" customFormat="false" ht="12.75" hidden="false" customHeight="true" outlineLevel="0" collapsed="false">
      <c r="A13" s="415"/>
      <c r="B13" s="416"/>
      <c r="C13" s="417" t="n">
        <v>1</v>
      </c>
      <c r="D13" s="417" t="s">
        <v>995</v>
      </c>
      <c r="E13" s="418" t="s">
        <v>996</v>
      </c>
      <c r="F13" s="419" t="n">
        <v>45</v>
      </c>
    </row>
    <row r="14" customFormat="false" ht="26.25" hidden="false" customHeight="true" outlineLevel="0" collapsed="false">
      <c r="A14" s="415"/>
      <c r="B14" s="416"/>
      <c r="C14" s="417" t="n">
        <v>1</v>
      </c>
      <c r="D14" s="417" t="s">
        <v>997</v>
      </c>
      <c r="E14" s="418" t="s">
        <v>998</v>
      </c>
      <c r="F14" s="419" t="n">
        <v>46</v>
      </c>
    </row>
    <row r="15" customFormat="false" ht="12.75" hidden="false" customHeight="true" outlineLevel="0" collapsed="false">
      <c r="A15" s="420" t="s">
        <v>4</v>
      </c>
      <c r="B15" s="421" t="s">
        <v>999</v>
      </c>
      <c r="C15" s="422" t="n">
        <v>1</v>
      </c>
      <c r="D15" s="422" t="s">
        <v>1000</v>
      </c>
      <c r="E15" s="423" t="s">
        <v>1001</v>
      </c>
      <c r="F15" s="424" t="n">
        <v>57</v>
      </c>
    </row>
    <row r="16" customFormat="false" ht="12.75" hidden="false" customHeight="true" outlineLevel="0" collapsed="false">
      <c r="A16" s="420"/>
      <c r="B16" s="421"/>
      <c r="C16" s="422" t="n">
        <v>1</v>
      </c>
      <c r="D16" s="422" t="s">
        <v>1002</v>
      </c>
      <c r="E16" s="423" t="s">
        <v>1003</v>
      </c>
      <c r="F16" s="424" t="n">
        <v>58</v>
      </c>
    </row>
    <row r="17" customFormat="false" ht="12.75" hidden="false" customHeight="true" outlineLevel="0" collapsed="false">
      <c r="A17" s="420"/>
      <c r="B17" s="421"/>
      <c r="C17" s="422" t="n">
        <v>1</v>
      </c>
      <c r="D17" s="422" t="s">
        <v>1004</v>
      </c>
      <c r="E17" s="423" t="s">
        <v>1005</v>
      </c>
      <c r="F17" s="424" t="n">
        <v>59</v>
      </c>
    </row>
    <row r="18" customFormat="false" ht="12.75" hidden="false" customHeight="true" outlineLevel="0" collapsed="false">
      <c r="A18" s="420"/>
      <c r="B18" s="421"/>
      <c r="C18" s="422" t="n">
        <v>1</v>
      </c>
      <c r="D18" s="422" t="s">
        <v>1006</v>
      </c>
      <c r="E18" s="423" t="s">
        <v>1007</v>
      </c>
      <c r="F18" s="424" t="n">
        <v>61</v>
      </c>
    </row>
    <row r="19" customFormat="false" ht="12.75" hidden="false" customHeight="true" outlineLevel="0" collapsed="false">
      <c r="A19" s="420"/>
      <c r="B19" s="421" t="s">
        <v>1008</v>
      </c>
      <c r="C19" s="422" t="n">
        <v>1</v>
      </c>
      <c r="D19" s="422" t="s">
        <v>1009</v>
      </c>
      <c r="E19" s="423" t="s">
        <v>1010</v>
      </c>
      <c r="F19" s="424" t="n">
        <v>64</v>
      </c>
    </row>
    <row r="20" customFormat="false" ht="21.75" hidden="false" customHeight="true" outlineLevel="0" collapsed="false">
      <c r="A20" s="420"/>
      <c r="B20" s="421"/>
      <c r="C20" s="422" t="n">
        <v>1</v>
      </c>
      <c r="D20" s="422" t="s">
        <v>1011</v>
      </c>
      <c r="E20" s="423" t="s">
        <v>1012</v>
      </c>
      <c r="F20" s="424" t="n">
        <v>68</v>
      </c>
    </row>
    <row r="21" customFormat="false" ht="12.75" hidden="false" customHeight="true" outlineLevel="0" collapsed="false">
      <c r="A21" s="420"/>
      <c r="B21" s="421"/>
      <c r="C21" s="422" t="n">
        <v>1</v>
      </c>
      <c r="D21" s="422" t="s">
        <v>1013</v>
      </c>
      <c r="E21" s="423" t="s">
        <v>1014</v>
      </c>
      <c r="F21" s="424" t="n">
        <v>76</v>
      </c>
    </row>
    <row r="22" customFormat="false" ht="12.75" hidden="false" customHeight="true" outlineLevel="0" collapsed="false">
      <c r="A22" s="420"/>
      <c r="B22" s="421"/>
      <c r="C22" s="422" t="n">
        <v>1</v>
      </c>
      <c r="D22" s="422" t="s">
        <v>1015</v>
      </c>
      <c r="E22" s="423" t="s">
        <v>1016</v>
      </c>
      <c r="F22" s="424" t="n">
        <v>84</v>
      </c>
    </row>
    <row r="23" customFormat="false" ht="12.75" hidden="false" customHeight="true" outlineLevel="0" collapsed="false">
      <c r="A23" s="420"/>
      <c r="B23" s="421"/>
      <c r="C23" s="422" t="n">
        <v>1</v>
      </c>
      <c r="D23" s="422" t="s">
        <v>1017</v>
      </c>
      <c r="E23" s="423" t="s">
        <v>1018</v>
      </c>
      <c r="F23" s="424" t="n">
        <v>84</v>
      </c>
    </row>
    <row r="24" customFormat="false" ht="12.75" hidden="false" customHeight="true" outlineLevel="0" collapsed="false">
      <c r="A24" s="420"/>
      <c r="B24" s="421" t="s">
        <v>1019</v>
      </c>
      <c r="C24" s="422" t="n">
        <v>1</v>
      </c>
      <c r="D24" s="422" t="s">
        <v>1020</v>
      </c>
      <c r="E24" s="423" t="s">
        <v>1021</v>
      </c>
      <c r="F24" s="424" t="n">
        <v>95</v>
      </c>
    </row>
    <row r="25" customFormat="false" ht="12.75" hidden="false" customHeight="true" outlineLevel="0" collapsed="false">
      <c r="A25" s="420"/>
      <c r="B25" s="421"/>
      <c r="C25" s="422" t="n">
        <v>1</v>
      </c>
      <c r="D25" s="422" t="s">
        <v>1022</v>
      </c>
      <c r="E25" s="423" t="s">
        <v>1023</v>
      </c>
      <c r="F25" s="424" t="n">
        <v>97</v>
      </c>
    </row>
    <row r="26" customFormat="false" ht="22.5" hidden="false" customHeight="true" outlineLevel="0" collapsed="false">
      <c r="A26" s="420"/>
      <c r="B26" s="421"/>
      <c r="C26" s="422" t="n">
        <v>1</v>
      </c>
      <c r="D26" s="422" t="s">
        <v>1024</v>
      </c>
      <c r="E26" s="423" t="s">
        <v>1025</v>
      </c>
      <c r="F26" s="424" t="n">
        <v>98</v>
      </c>
    </row>
    <row r="27" customFormat="false" ht="12.75" hidden="false" customHeight="true" outlineLevel="0" collapsed="false">
      <c r="A27" s="415"/>
      <c r="B27" s="416"/>
      <c r="C27" s="425" t="n">
        <v>1</v>
      </c>
      <c r="D27" s="425" t="s">
        <v>1026</v>
      </c>
      <c r="E27" s="426" t="s">
        <v>1027</v>
      </c>
      <c r="F27" s="427" t="n">
        <v>101</v>
      </c>
    </row>
    <row r="28" customFormat="false" ht="12.75" hidden="false" customHeight="true" outlineLevel="0" collapsed="false">
      <c r="A28" s="428"/>
      <c r="B28" s="429"/>
      <c r="C28" s="425" t="n">
        <v>1</v>
      </c>
      <c r="D28" s="425" t="s">
        <v>1028</v>
      </c>
      <c r="E28" s="426" t="s">
        <v>1029</v>
      </c>
      <c r="F28" s="427" t="n">
        <v>102</v>
      </c>
    </row>
    <row r="29" customFormat="false" ht="12.75" hidden="false" customHeight="true" outlineLevel="0" collapsed="false">
      <c r="A29" s="428"/>
      <c r="B29" s="429"/>
      <c r="C29" s="425" t="n">
        <v>1</v>
      </c>
      <c r="D29" s="425" t="s">
        <v>1030</v>
      </c>
      <c r="E29" s="426" t="s">
        <v>1031</v>
      </c>
      <c r="F29" s="425" t="n">
        <v>102</v>
      </c>
    </row>
    <row r="30" customFormat="false" ht="12.75" hidden="false" customHeight="true" outlineLevel="0" collapsed="false">
      <c r="A30" s="428"/>
      <c r="B30" s="429"/>
      <c r="C30" s="425" t="n">
        <v>1</v>
      </c>
      <c r="D30" s="425" t="s">
        <v>1032</v>
      </c>
      <c r="E30" s="426" t="s">
        <v>1033</v>
      </c>
      <c r="F30" s="427" t="n">
        <v>107</v>
      </c>
    </row>
    <row r="31" customFormat="false" ht="12.75" hidden="false" customHeight="true" outlineLevel="0" collapsed="false">
      <c r="A31" s="428"/>
      <c r="B31" s="429"/>
      <c r="C31" s="425" t="n">
        <v>1</v>
      </c>
      <c r="D31" s="425" t="s">
        <v>1034</v>
      </c>
      <c r="E31" s="426" t="s">
        <v>1035</v>
      </c>
      <c r="F31" s="427" t="n">
        <v>108</v>
      </c>
    </row>
    <row r="32" customFormat="false" ht="12.75" hidden="false" customHeight="true" outlineLevel="0" collapsed="false">
      <c r="A32" s="430" t="s">
        <v>6</v>
      </c>
      <c r="B32" s="431" t="s">
        <v>1036</v>
      </c>
      <c r="C32" s="432" t="n">
        <v>1</v>
      </c>
      <c r="D32" s="432" t="s">
        <v>1037</v>
      </c>
      <c r="E32" s="433" t="s">
        <v>1038</v>
      </c>
      <c r="F32" s="434" t="n">
        <v>117</v>
      </c>
    </row>
    <row r="33" customFormat="false" ht="12.75" hidden="false" customHeight="true" outlineLevel="0" collapsed="false">
      <c r="A33" s="430"/>
      <c r="B33" s="435" t="s">
        <v>1039</v>
      </c>
      <c r="C33" s="432" t="n">
        <v>1</v>
      </c>
      <c r="D33" s="432" t="s">
        <v>1040</v>
      </c>
      <c r="E33" s="433" t="s">
        <v>1041</v>
      </c>
      <c r="F33" s="434" t="n">
        <v>118</v>
      </c>
    </row>
    <row r="34" customFormat="false" ht="12.75" hidden="false" customHeight="true" outlineLevel="0" collapsed="false">
      <c r="A34" s="430"/>
      <c r="B34" s="431"/>
      <c r="C34" s="432" t="n">
        <v>1</v>
      </c>
      <c r="D34" s="432" t="s">
        <v>1042</v>
      </c>
      <c r="E34" s="433" t="s">
        <v>1043</v>
      </c>
      <c r="F34" s="434" t="n">
        <v>123</v>
      </c>
    </row>
    <row r="35" customFormat="false" ht="12.75" hidden="false" customHeight="true" outlineLevel="0" collapsed="false">
      <c r="A35" s="430"/>
      <c r="B35" s="435" t="s">
        <v>1044</v>
      </c>
      <c r="C35" s="432" t="n">
        <v>1</v>
      </c>
      <c r="D35" s="432" t="s">
        <v>1045</v>
      </c>
      <c r="E35" s="433" t="s">
        <v>1046</v>
      </c>
      <c r="F35" s="434" t="n">
        <v>127</v>
      </c>
    </row>
    <row r="36" customFormat="false" ht="12.75" hidden="false" customHeight="true" outlineLevel="0" collapsed="false">
      <c r="A36" s="430"/>
      <c r="B36" s="431"/>
      <c r="C36" s="432" t="n">
        <v>1</v>
      </c>
      <c r="D36" s="432" t="s">
        <v>1047</v>
      </c>
      <c r="E36" s="433" t="s">
        <v>1048</v>
      </c>
      <c r="F36" s="434" t="n">
        <v>128</v>
      </c>
    </row>
    <row r="37" customFormat="false" ht="12.75" hidden="false" customHeight="true" outlineLevel="0" collapsed="false">
      <c r="A37" s="415"/>
      <c r="B37" s="416" t="s">
        <v>1049</v>
      </c>
      <c r="C37" s="417" t="n">
        <v>2</v>
      </c>
      <c r="D37" s="417" t="s">
        <v>1050</v>
      </c>
      <c r="E37" s="418" t="s">
        <v>1051</v>
      </c>
      <c r="F37" s="419" t="n">
        <v>25</v>
      </c>
    </row>
    <row r="38" customFormat="false" ht="12.75" hidden="false" customHeight="true" outlineLevel="0" collapsed="false">
      <c r="A38" s="415"/>
      <c r="B38" s="416"/>
      <c r="C38" s="417" t="n">
        <v>2</v>
      </c>
      <c r="D38" s="417" t="s">
        <v>1052</v>
      </c>
      <c r="E38" s="418" t="s">
        <v>1053</v>
      </c>
      <c r="F38" s="419" t="n">
        <v>34</v>
      </c>
    </row>
    <row r="39" customFormat="false" ht="12.75" hidden="false" customHeight="true" outlineLevel="0" collapsed="false">
      <c r="A39" s="420"/>
      <c r="B39" s="421"/>
      <c r="C39" s="417" t="n">
        <v>2</v>
      </c>
      <c r="D39" s="417" t="s">
        <v>1054</v>
      </c>
      <c r="E39" s="418" t="s">
        <v>1055</v>
      </c>
      <c r="F39" s="419" t="n">
        <v>40</v>
      </c>
    </row>
    <row r="40" customFormat="false" ht="12.75" hidden="false" customHeight="true" outlineLevel="0" collapsed="false">
      <c r="A40" s="420"/>
      <c r="B40" s="421"/>
      <c r="C40" s="417" t="n">
        <v>2</v>
      </c>
      <c r="D40" s="417" t="s">
        <v>1056</v>
      </c>
      <c r="E40" s="418" t="s">
        <v>1057</v>
      </c>
      <c r="F40" s="419" t="n">
        <v>42</v>
      </c>
    </row>
    <row r="41" customFormat="false" ht="12.75" hidden="false" customHeight="true" outlineLevel="0" collapsed="false">
      <c r="A41" s="420"/>
      <c r="B41" s="421"/>
      <c r="C41" s="422" t="n">
        <v>2</v>
      </c>
      <c r="D41" s="422" t="s">
        <v>1058</v>
      </c>
      <c r="E41" s="423" t="s">
        <v>1059</v>
      </c>
      <c r="F41" s="424" t="n">
        <v>61</v>
      </c>
    </row>
    <row r="42" customFormat="false" ht="12.75" hidden="false" customHeight="true" outlineLevel="0" collapsed="false">
      <c r="A42" s="420"/>
      <c r="B42" s="421"/>
      <c r="C42" s="422" t="n">
        <v>2</v>
      </c>
      <c r="D42" s="422" t="s">
        <v>1060</v>
      </c>
      <c r="E42" s="423" t="s">
        <v>1061</v>
      </c>
      <c r="F42" s="424" t="n">
        <v>62</v>
      </c>
    </row>
    <row r="43" customFormat="false" ht="12.75" hidden="false" customHeight="true" outlineLevel="0" collapsed="false">
      <c r="A43" s="420"/>
      <c r="B43" s="421"/>
      <c r="C43" s="422" t="n">
        <v>2</v>
      </c>
      <c r="D43" s="422" t="s">
        <v>1062</v>
      </c>
      <c r="E43" s="423" t="s">
        <v>1063</v>
      </c>
      <c r="F43" s="424" t="n">
        <v>63</v>
      </c>
    </row>
    <row r="44" customFormat="false" ht="12.75" hidden="false" customHeight="true" outlineLevel="0" collapsed="false">
      <c r="A44" s="420"/>
      <c r="B44" s="421" t="s">
        <v>1064</v>
      </c>
      <c r="C44" s="422" t="n">
        <v>2</v>
      </c>
      <c r="D44" s="422" t="s">
        <v>1065</v>
      </c>
      <c r="E44" s="423" t="s">
        <v>1066</v>
      </c>
      <c r="F44" s="424" t="n">
        <v>64</v>
      </c>
    </row>
    <row r="45" customFormat="false" ht="12.75" hidden="false" customHeight="true" outlineLevel="0" collapsed="false">
      <c r="A45" s="420"/>
      <c r="B45" s="421"/>
      <c r="C45" s="422" t="n">
        <v>2</v>
      </c>
      <c r="D45" s="422" t="s">
        <v>1067</v>
      </c>
      <c r="E45" s="423" t="s">
        <v>1068</v>
      </c>
      <c r="F45" s="424" t="n">
        <v>68</v>
      </c>
    </row>
    <row r="46" customFormat="false" ht="12.75" hidden="false" customHeight="true" outlineLevel="0" collapsed="false">
      <c r="A46" s="420"/>
      <c r="B46" s="421"/>
      <c r="C46" s="422" t="n">
        <v>2</v>
      </c>
      <c r="D46" s="422" t="s">
        <v>1069</v>
      </c>
      <c r="E46" s="423" t="s">
        <v>1070</v>
      </c>
      <c r="F46" s="424" t="n">
        <v>70</v>
      </c>
    </row>
    <row r="47" customFormat="false" ht="12.75" hidden="false" customHeight="true" outlineLevel="0" collapsed="false">
      <c r="A47" s="420"/>
      <c r="B47" s="421"/>
      <c r="C47" s="422" t="n">
        <v>2</v>
      </c>
      <c r="D47" s="422" t="s">
        <v>1071</v>
      </c>
      <c r="E47" s="423" t="s">
        <v>1072</v>
      </c>
      <c r="F47" s="424" t="n">
        <v>72</v>
      </c>
    </row>
    <row r="48" customFormat="false" ht="12.75" hidden="false" customHeight="true" outlineLevel="0" collapsed="false">
      <c r="A48" s="420"/>
      <c r="B48" s="421"/>
      <c r="C48" s="422" t="n">
        <v>2</v>
      </c>
      <c r="D48" s="422" t="s">
        <v>1073</v>
      </c>
      <c r="E48" s="423" t="s">
        <v>1074</v>
      </c>
      <c r="F48" s="424" t="n">
        <v>74</v>
      </c>
    </row>
    <row r="49" customFormat="false" ht="12.75" hidden="false" customHeight="true" outlineLevel="0" collapsed="false">
      <c r="A49" s="420"/>
      <c r="B49" s="421"/>
      <c r="C49" s="422" t="n">
        <v>2</v>
      </c>
      <c r="D49" s="422" t="s">
        <v>1075</v>
      </c>
      <c r="E49" s="423" t="s">
        <v>1076</v>
      </c>
      <c r="F49" s="424" t="n">
        <v>78</v>
      </c>
    </row>
    <row r="50" customFormat="false" ht="12.75" hidden="false" customHeight="true" outlineLevel="0" collapsed="false">
      <c r="A50" s="420"/>
      <c r="B50" s="421"/>
      <c r="C50" s="422" t="n">
        <v>2</v>
      </c>
      <c r="D50" s="422" t="s">
        <v>1077</v>
      </c>
      <c r="E50" s="423" t="s">
        <v>1078</v>
      </c>
      <c r="F50" s="424" t="n">
        <v>78</v>
      </c>
    </row>
    <row r="51" customFormat="false" ht="12.75" hidden="false" customHeight="true" outlineLevel="0" collapsed="false">
      <c r="A51" s="420"/>
      <c r="B51" s="421"/>
      <c r="C51" s="422" t="n">
        <v>2</v>
      </c>
      <c r="D51" s="422" t="s">
        <v>1079</v>
      </c>
      <c r="E51" s="423" t="s">
        <v>1080</v>
      </c>
      <c r="F51" s="424" t="n">
        <v>82</v>
      </c>
    </row>
    <row r="52" customFormat="false" ht="12.75" hidden="false" customHeight="true" outlineLevel="0" collapsed="false">
      <c r="A52" s="420"/>
      <c r="B52" s="421"/>
      <c r="C52" s="422" t="n">
        <v>2</v>
      </c>
      <c r="D52" s="422" t="s">
        <v>1081</v>
      </c>
      <c r="E52" s="423" t="s">
        <v>1082</v>
      </c>
      <c r="F52" s="424" t="n">
        <v>82</v>
      </c>
    </row>
    <row r="53" customFormat="false" ht="12.75" hidden="false" customHeight="true" outlineLevel="0" collapsed="false">
      <c r="A53" s="420"/>
      <c r="B53" s="421"/>
      <c r="C53" s="422" t="n">
        <v>2</v>
      </c>
      <c r="D53" s="422" t="s">
        <v>1083</v>
      </c>
      <c r="E53" s="423" t="s">
        <v>1084</v>
      </c>
      <c r="F53" s="424" t="n">
        <v>88</v>
      </c>
    </row>
    <row r="54" customFormat="false" ht="12.75" hidden="false" customHeight="true" outlineLevel="0" collapsed="false">
      <c r="A54" s="420"/>
      <c r="B54" s="421"/>
      <c r="C54" s="422" t="n">
        <v>2</v>
      </c>
      <c r="D54" s="422" t="s">
        <v>1085</v>
      </c>
      <c r="E54" s="423" t="s">
        <v>1086</v>
      </c>
      <c r="F54" s="424" t="n">
        <v>88</v>
      </c>
    </row>
    <row r="55" customFormat="false" ht="12.75" hidden="false" customHeight="true" outlineLevel="0" collapsed="false">
      <c r="A55" s="420"/>
      <c r="B55" s="421"/>
      <c r="C55" s="422" t="n">
        <v>2</v>
      </c>
      <c r="D55" s="422" t="s">
        <v>1087</v>
      </c>
      <c r="E55" s="423" t="s">
        <v>1088</v>
      </c>
      <c r="F55" s="424" t="n">
        <v>89</v>
      </c>
    </row>
    <row r="56" customFormat="false" ht="12.75" hidden="false" customHeight="true" outlineLevel="0" collapsed="false">
      <c r="A56" s="420"/>
      <c r="B56" s="421"/>
      <c r="C56" s="422" t="n">
        <v>2</v>
      </c>
      <c r="D56" s="422" t="s">
        <v>1089</v>
      </c>
      <c r="E56" s="423" t="s">
        <v>1090</v>
      </c>
      <c r="F56" s="424" t="n">
        <v>92</v>
      </c>
    </row>
    <row r="57" customFormat="false" ht="12.75" hidden="false" customHeight="true" outlineLevel="0" collapsed="false">
      <c r="A57" s="428"/>
      <c r="B57" s="429" t="s">
        <v>1091</v>
      </c>
      <c r="C57" s="422" t="n">
        <v>2</v>
      </c>
      <c r="D57" s="422" t="s">
        <v>1092</v>
      </c>
      <c r="E57" s="423" t="s">
        <v>1093</v>
      </c>
      <c r="F57" s="424" t="n">
        <v>94</v>
      </c>
    </row>
    <row r="58" customFormat="false" ht="12.75" hidden="false" customHeight="true" outlineLevel="0" collapsed="false">
      <c r="A58" s="428"/>
      <c r="B58" s="429"/>
      <c r="C58" s="422" t="n">
        <v>2</v>
      </c>
      <c r="D58" s="422" t="s">
        <v>1094</v>
      </c>
      <c r="E58" s="423" t="s">
        <v>1095</v>
      </c>
      <c r="F58" s="424" t="n">
        <v>96</v>
      </c>
    </row>
    <row r="59" customFormat="false" ht="12.75" hidden="false" customHeight="true" outlineLevel="0" collapsed="false">
      <c r="A59" s="428"/>
      <c r="B59" s="429"/>
      <c r="C59" s="425" t="n">
        <v>2</v>
      </c>
      <c r="D59" s="425" t="s">
        <v>1096</v>
      </c>
      <c r="E59" s="426" t="s">
        <v>1097</v>
      </c>
      <c r="F59" s="427" t="n">
        <v>105</v>
      </c>
    </row>
    <row r="60" customFormat="false" ht="12.75" hidden="false" customHeight="true" outlineLevel="0" collapsed="false">
      <c r="A60" s="428"/>
      <c r="B60" s="429"/>
      <c r="C60" s="425" t="n">
        <v>2</v>
      </c>
      <c r="D60" s="425" t="s">
        <v>1098</v>
      </c>
      <c r="E60" s="426" t="s">
        <v>1099</v>
      </c>
      <c r="F60" s="427" t="n">
        <v>106</v>
      </c>
    </row>
    <row r="61" customFormat="false" ht="12.75" hidden="false" customHeight="true" outlineLevel="0" collapsed="false">
      <c r="A61" s="428"/>
      <c r="B61" s="429"/>
      <c r="C61" s="425" t="n">
        <v>2</v>
      </c>
      <c r="D61" s="425" t="s">
        <v>1100</v>
      </c>
      <c r="E61" s="426" t="s">
        <v>1101</v>
      </c>
      <c r="F61" s="427" t="n">
        <v>107</v>
      </c>
    </row>
    <row r="62" customFormat="false" ht="12.75" hidden="false" customHeight="true" outlineLevel="0" collapsed="false">
      <c r="A62" s="430"/>
      <c r="B62" s="431"/>
      <c r="C62" s="425" t="n">
        <v>2</v>
      </c>
      <c r="D62" s="425" t="s">
        <v>1102</v>
      </c>
      <c r="E62" s="426" t="s">
        <v>1103</v>
      </c>
      <c r="F62" s="427" t="n">
        <v>110</v>
      </c>
    </row>
    <row r="63" customFormat="false" ht="12.75" hidden="false" customHeight="true" outlineLevel="0" collapsed="false">
      <c r="A63" s="430"/>
      <c r="B63" s="431" t="s">
        <v>1104</v>
      </c>
      <c r="C63" s="425" t="n">
        <v>2</v>
      </c>
      <c r="D63" s="425" t="s">
        <v>1105</v>
      </c>
      <c r="E63" s="426" t="s">
        <v>1106</v>
      </c>
      <c r="F63" s="427" t="n">
        <v>114</v>
      </c>
    </row>
    <row r="64" customFormat="false" ht="12.75" hidden="false" customHeight="true" outlineLevel="0" collapsed="false">
      <c r="A64" s="436" t="s">
        <v>7</v>
      </c>
      <c r="B64" s="437" t="s">
        <v>1107</v>
      </c>
      <c r="C64" s="432" t="n">
        <v>2</v>
      </c>
      <c r="D64" s="432" t="s">
        <v>1108</v>
      </c>
      <c r="E64" s="433" t="s">
        <v>1109</v>
      </c>
      <c r="F64" s="434" t="n">
        <v>119</v>
      </c>
    </row>
    <row r="65" customFormat="false" ht="12.75" hidden="false" customHeight="true" outlineLevel="0" collapsed="false">
      <c r="A65" s="436"/>
      <c r="B65" s="437" t="s">
        <v>1110</v>
      </c>
      <c r="C65" s="432" t="n">
        <v>2</v>
      </c>
      <c r="D65" s="432" t="s">
        <v>1111</v>
      </c>
      <c r="E65" s="433" t="s">
        <v>1112</v>
      </c>
      <c r="F65" s="434" t="n">
        <v>123</v>
      </c>
    </row>
    <row r="66" customFormat="false" ht="15.75" hidden="false" customHeight="true" outlineLevel="0" collapsed="false">
      <c r="A66" s="415"/>
      <c r="B66" s="416"/>
      <c r="C66" s="438" t="n">
        <v>2</v>
      </c>
      <c r="D66" s="438" t="s">
        <v>1113</v>
      </c>
      <c r="E66" s="439" t="s">
        <v>1114</v>
      </c>
      <c r="F66" s="438" t="n">
        <v>133</v>
      </c>
    </row>
    <row r="67" customFormat="false" ht="12.75" hidden="false" customHeight="true" outlineLevel="0" collapsed="false">
      <c r="A67" s="415"/>
      <c r="B67" s="416" t="s">
        <v>1115</v>
      </c>
      <c r="C67" s="438" t="n">
        <v>2</v>
      </c>
      <c r="D67" s="438" t="s">
        <v>1116</v>
      </c>
      <c r="E67" s="439" t="s">
        <v>1117</v>
      </c>
      <c r="F67" s="438" t="n">
        <v>137</v>
      </c>
    </row>
    <row r="68" customFormat="false" ht="12.75" hidden="false" customHeight="true" outlineLevel="0" collapsed="false">
      <c r="A68" s="415"/>
      <c r="B68" s="416"/>
      <c r="C68" s="417" t="n">
        <v>3</v>
      </c>
      <c r="D68" s="417" t="s">
        <v>1118</v>
      </c>
      <c r="E68" s="418" t="s">
        <v>1119</v>
      </c>
      <c r="F68" s="417" t="n">
        <v>23</v>
      </c>
    </row>
    <row r="69" customFormat="false" ht="26.25" hidden="false" customHeight="true" outlineLevel="0" collapsed="false">
      <c r="A69" s="420"/>
      <c r="B69" s="421"/>
      <c r="C69" s="417" t="n">
        <v>3</v>
      </c>
      <c r="D69" s="417" t="s">
        <v>1120</v>
      </c>
      <c r="E69" s="418" t="s">
        <v>1121</v>
      </c>
      <c r="F69" s="417" t="n">
        <v>29</v>
      </c>
    </row>
    <row r="70" customFormat="false" ht="12.75" hidden="false" customHeight="true" outlineLevel="0" collapsed="false">
      <c r="A70" s="420"/>
      <c r="B70" s="421"/>
      <c r="C70" s="417" t="n">
        <v>3</v>
      </c>
      <c r="D70" s="417" t="s">
        <v>1122</v>
      </c>
      <c r="E70" s="418" t="s">
        <v>1123</v>
      </c>
      <c r="F70" s="417" t="n">
        <v>31</v>
      </c>
    </row>
    <row r="71" customFormat="false" ht="12.75" hidden="false" customHeight="true" outlineLevel="0" collapsed="false">
      <c r="A71" s="420"/>
      <c r="B71" s="421" t="s">
        <v>1124</v>
      </c>
      <c r="C71" s="422" t="n">
        <v>3</v>
      </c>
      <c r="D71" s="422" t="s">
        <v>1125</v>
      </c>
      <c r="E71" s="423" t="s">
        <v>1126</v>
      </c>
      <c r="F71" s="422" t="n">
        <v>75</v>
      </c>
    </row>
    <row r="72" customFormat="false" ht="12.75" hidden="false" customHeight="true" outlineLevel="0" collapsed="false">
      <c r="A72" s="420"/>
      <c r="B72" s="421"/>
      <c r="C72" s="422" t="n">
        <v>3</v>
      </c>
      <c r="D72" s="422" t="s">
        <v>1127</v>
      </c>
      <c r="E72" s="423" t="s">
        <v>1128</v>
      </c>
      <c r="F72" s="422" t="n">
        <v>77</v>
      </c>
    </row>
    <row r="73" customFormat="false" ht="12.75" hidden="false" customHeight="true" outlineLevel="0" collapsed="false">
      <c r="A73" s="420"/>
      <c r="B73" s="421" t="s">
        <v>1129</v>
      </c>
      <c r="C73" s="422" t="n">
        <v>3</v>
      </c>
      <c r="D73" s="422" t="s">
        <v>1130</v>
      </c>
      <c r="E73" s="423" t="s">
        <v>1131</v>
      </c>
      <c r="F73" s="422" t="n">
        <v>80</v>
      </c>
    </row>
    <row r="74" customFormat="false" ht="12.75" hidden="false" customHeight="true" outlineLevel="0" collapsed="false">
      <c r="A74" s="428"/>
      <c r="B74" s="429"/>
      <c r="C74" s="422" t="n">
        <v>3</v>
      </c>
      <c r="D74" s="422" t="s">
        <v>1132</v>
      </c>
      <c r="E74" s="423" t="s">
        <v>1133</v>
      </c>
      <c r="F74" s="422" t="n">
        <v>85</v>
      </c>
    </row>
    <row r="75" customFormat="false" ht="12.75" hidden="false" customHeight="true" outlineLevel="0" collapsed="false">
      <c r="A75" s="428"/>
      <c r="B75" s="429"/>
      <c r="C75" s="422" t="n">
        <v>3</v>
      </c>
      <c r="D75" s="422" t="s">
        <v>1134</v>
      </c>
      <c r="E75" s="423" t="s">
        <v>1135</v>
      </c>
      <c r="F75" s="422" t="n">
        <v>93</v>
      </c>
    </row>
    <row r="76" customFormat="false" ht="12.75" hidden="false" customHeight="true" outlineLevel="0" collapsed="false">
      <c r="A76" s="428"/>
      <c r="B76" s="429"/>
      <c r="C76" s="425" t="n">
        <v>3</v>
      </c>
      <c r="D76" s="425" t="s">
        <v>1136</v>
      </c>
      <c r="E76" s="426" t="s">
        <v>1137</v>
      </c>
      <c r="F76" s="425" t="n">
        <v>103</v>
      </c>
    </row>
    <row r="77" customFormat="false" ht="12.75" hidden="false" customHeight="true" outlineLevel="0" collapsed="false">
      <c r="A77" s="428"/>
      <c r="B77" s="429" t="s">
        <v>1138</v>
      </c>
      <c r="C77" s="425" t="n">
        <v>3</v>
      </c>
      <c r="D77" s="425" t="s">
        <v>1139</v>
      </c>
      <c r="E77" s="426" t="s">
        <v>1140</v>
      </c>
      <c r="F77" s="425" t="n">
        <v>104</v>
      </c>
    </row>
    <row r="78" customFormat="false" ht="12.75" hidden="false" customHeight="true" outlineLevel="0" collapsed="false">
      <c r="A78" s="430"/>
      <c r="B78" s="431"/>
      <c r="C78" s="425" t="n">
        <v>3</v>
      </c>
      <c r="D78" s="425" t="s">
        <v>1141</v>
      </c>
      <c r="E78" s="426" t="s">
        <v>1142</v>
      </c>
      <c r="F78" s="425" t="n">
        <v>108</v>
      </c>
    </row>
    <row r="79" customFormat="false" ht="12.75" hidden="false" customHeight="true" outlineLevel="0" collapsed="false">
      <c r="A79" s="430"/>
      <c r="B79" s="431"/>
      <c r="C79" s="425" t="n">
        <v>3</v>
      </c>
      <c r="D79" s="425" t="s">
        <v>1143</v>
      </c>
      <c r="E79" s="426" t="s">
        <v>1144</v>
      </c>
      <c r="F79" s="425" t="n">
        <v>111</v>
      </c>
    </row>
    <row r="80" customFormat="false" ht="12.75" hidden="false" customHeight="true" outlineLevel="0" collapsed="false">
      <c r="A80" s="430"/>
      <c r="B80" s="435" t="s">
        <v>1145</v>
      </c>
      <c r="C80" s="432" t="n">
        <v>3</v>
      </c>
      <c r="D80" s="432" t="s">
        <v>1146</v>
      </c>
      <c r="E80" s="433" t="s">
        <v>1147</v>
      </c>
      <c r="F80" s="432" t="n">
        <v>121</v>
      </c>
    </row>
    <row r="81" customFormat="false" ht="12.75" hidden="false" customHeight="true" outlineLevel="0" collapsed="false">
      <c r="A81" s="430"/>
      <c r="B81" s="431"/>
      <c r="C81" s="432" t="n">
        <v>3</v>
      </c>
      <c r="D81" s="432" t="s">
        <v>1148</v>
      </c>
      <c r="E81" s="433" t="s">
        <v>1149</v>
      </c>
      <c r="F81" s="432" t="n">
        <v>128</v>
      </c>
    </row>
    <row r="82" customFormat="false" ht="12.75" hidden="false" customHeight="true" outlineLevel="0" collapsed="false">
      <c r="A82" s="436"/>
      <c r="B82" s="437" t="s">
        <v>1150</v>
      </c>
      <c r="C82" s="432" t="n">
        <v>3</v>
      </c>
      <c r="D82" s="432" t="s">
        <v>1151</v>
      </c>
      <c r="E82" s="433" t="s">
        <v>1152</v>
      </c>
      <c r="F82" s="432" t="n">
        <v>130</v>
      </c>
    </row>
    <row r="83" customFormat="false" ht="12.75" hidden="false" customHeight="true" outlineLevel="0" collapsed="false">
      <c r="A83" s="436"/>
      <c r="B83" s="437"/>
      <c r="C83" s="432" t="n">
        <v>3</v>
      </c>
      <c r="D83" s="432" t="s">
        <v>1153</v>
      </c>
      <c r="E83" s="433" t="s">
        <v>1154</v>
      </c>
      <c r="F83" s="432" t="n">
        <v>131</v>
      </c>
    </row>
    <row r="84" customFormat="false" ht="12.75" hidden="false" customHeight="true" outlineLevel="0" collapsed="false">
      <c r="A84" s="436"/>
      <c r="B84" s="437"/>
      <c r="C84" s="438" t="n">
        <v>3</v>
      </c>
      <c r="D84" s="438" t="s">
        <v>1155</v>
      </c>
      <c r="E84" s="440" t="s">
        <v>1156</v>
      </c>
      <c r="F84" s="438" t="n">
        <v>135</v>
      </c>
    </row>
    <row r="85" customFormat="false" ht="12.75" hidden="false" customHeight="true" outlineLevel="0" collapsed="false">
      <c r="A85" s="415"/>
      <c r="B85" s="416"/>
      <c r="C85" s="438" t="n">
        <v>3</v>
      </c>
      <c r="D85" s="438" t="s">
        <v>1157</v>
      </c>
      <c r="E85" s="440" t="s">
        <v>1158</v>
      </c>
      <c r="F85" s="438" t="n">
        <v>136</v>
      </c>
    </row>
    <row r="86" customFormat="false" ht="12.75" hidden="false" customHeight="true" outlineLevel="0" collapsed="false">
      <c r="A86" s="415"/>
      <c r="B86" s="416"/>
      <c r="C86" s="438" t="n">
        <v>3</v>
      </c>
      <c r="D86" s="438" t="s">
        <v>1159</v>
      </c>
      <c r="E86" s="440" t="s">
        <v>1160</v>
      </c>
      <c r="F86" s="438" t="n">
        <v>138</v>
      </c>
    </row>
    <row r="87" customFormat="false" ht="12.75" hidden="false" customHeight="true" outlineLevel="0" collapsed="false">
      <c r="A87" s="415"/>
      <c r="B87" s="416"/>
      <c r="C87" s="417" t="n">
        <v>4</v>
      </c>
      <c r="D87" s="417" t="s">
        <v>1161</v>
      </c>
      <c r="E87" s="418" t="s">
        <v>1162</v>
      </c>
      <c r="F87" s="417" t="n">
        <v>24</v>
      </c>
    </row>
    <row r="88" customFormat="false" ht="12.75" hidden="false" customHeight="true" outlineLevel="0" collapsed="false">
      <c r="A88" s="415"/>
      <c r="B88" s="416" t="s">
        <v>1163</v>
      </c>
      <c r="C88" s="417" t="n">
        <v>4</v>
      </c>
      <c r="D88" s="417" t="s">
        <v>1164</v>
      </c>
      <c r="E88" s="418" t="s">
        <v>1165</v>
      </c>
      <c r="F88" s="417" t="n">
        <v>34</v>
      </c>
    </row>
    <row r="89" customFormat="false" ht="12.75" hidden="false" customHeight="true" outlineLevel="0" collapsed="false">
      <c r="A89" s="415"/>
      <c r="B89" s="416"/>
      <c r="C89" s="417" t="n">
        <v>4</v>
      </c>
      <c r="D89" s="417" t="s">
        <v>1166</v>
      </c>
      <c r="E89" s="418" t="s">
        <v>1167</v>
      </c>
      <c r="F89" s="417" t="n">
        <v>39</v>
      </c>
    </row>
    <row r="90" customFormat="false" ht="12.75" hidden="false" customHeight="true" outlineLevel="0" collapsed="false">
      <c r="A90" s="415"/>
      <c r="B90" s="416"/>
      <c r="C90" s="417" t="n">
        <v>4</v>
      </c>
      <c r="D90" s="417" t="s">
        <v>1168</v>
      </c>
      <c r="E90" s="418" t="s">
        <v>1169</v>
      </c>
      <c r="F90" s="417" t="n">
        <v>47</v>
      </c>
    </row>
    <row r="91" customFormat="false" ht="12.75" hidden="false" customHeight="true" outlineLevel="0" collapsed="false">
      <c r="A91" s="420"/>
      <c r="B91" s="421"/>
      <c r="C91" s="417" t="n">
        <v>4</v>
      </c>
      <c r="D91" s="417" t="s">
        <v>1170</v>
      </c>
      <c r="E91" s="418" t="s">
        <v>1171</v>
      </c>
      <c r="F91" s="417" t="n">
        <v>50</v>
      </c>
    </row>
    <row r="92" customFormat="false" ht="12.75" hidden="false" customHeight="true" outlineLevel="0" collapsed="false">
      <c r="A92" s="420"/>
      <c r="B92" s="421"/>
      <c r="C92" s="417" t="n">
        <v>4</v>
      </c>
      <c r="D92" s="417" t="s">
        <v>1172</v>
      </c>
      <c r="E92" s="418" t="s">
        <v>1173</v>
      </c>
      <c r="F92" s="417" t="n">
        <v>51</v>
      </c>
    </row>
    <row r="93" customFormat="false" ht="12.75" hidden="false" customHeight="true" outlineLevel="0" collapsed="false">
      <c r="A93" s="420"/>
      <c r="B93" s="421"/>
      <c r="C93" s="422" t="n">
        <v>4</v>
      </c>
      <c r="D93" s="422" t="s">
        <v>1174</v>
      </c>
      <c r="E93" s="423" t="s">
        <v>1175</v>
      </c>
      <c r="F93" s="422" t="n">
        <v>66</v>
      </c>
    </row>
    <row r="94" customFormat="false" ht="12.75" hidden="false" customHeight="true" outlineLevel="0" collapsed="false">
      <c r="A94" s="428" t="s">
        <v>5</v>
      </c>
      <c r="B94" s="429" t="s">
        <v>1176</v>
      </c>
      <c r="C94" s="422" t="n">
        <v>4</v>
      </c>
      <c r="D94" s="422" t="s">
        <v>1177</v>
      </c>
      <c r="E94" s="423" t="s">
        <v>1178</v>
      </c>
      <c r="F94" s="422" t="n">
        <v>86</v>
      </c>
    </row>
    <row r="95" customFormat="false" ht="12.75" hidden="false" customHeight="true" outlineLevel="0" collapsed="false">
      <c r="A95" s="428"/>
      <c r="B95" s="429"/>
      <c r="C95" s="422" t="n">
        <v>4</v>
      </c>
      <c r="D95" s="422" t="s">
        <v>1179</v>
      </c>
      <c r="E95" s="423" t="s">
        <v>1180</v>
      </c>
      <c r="F95" s="422" t="n">
        <v>99</v>
      </c>
    </row>
    <row r="96" customFormat="false" ht="12.75" hidden="false" customHeight="true" outlineLevel="0" collapsed="false">
      <c r="A96" s="428"/>
      <c r="B96" s="429"/>
      <c r="C96" s="425" t="n">
        <v>4</v>
      </c>
      <c r="D96" s="425" t="s">
        <v>1181</v>
      </c>
      <c r="E96" s="426" t="s">
        <v>1182</v>
      </c>
      <c r="F96" s="425" t="n">
        <v>109</v>
      </c>
    </row>
    <row r="97" customFormat="false" ht="12.75" hidden="false" customHeight="true" outlineLevel="0" collapsed="false">
      <c r="A97" s="428"/>
      <c r="B97" s="429"/>
      <c r="C97" s="425" t="n">
        <v>4</v>
      </c>
      <c r="D97" s="425" t="s">
        <v>1183</v>
      </c>
      <c r="E97" s="426" t="s">
        <v>1184</v>
      </c>
      <c r="F97" s="425" t="n">
        <v>112</v>
      </c>
    </row>
    <row r="98" customFormat="false" ht="12.75" hidden="false" customHeight="true" outlineLevel="0" collapsed="false">
      <c r="A98" s="428"/>
      <c r="B98" s="429"/>
      <c r="C98" s="425" t="n">
        <v>4</v>
      </c>
      <c r="D98" s="425" t="s">
        <v>1185</v>
      </c>
      <c r="E98" s="426" t="s">
        <v>1186</v>
      </c>
      <c r="F98" s="425" t="n">
        <v>113</v>
      </c>
    </row>
    <row r="99" customFormat="false" ht="12.75" hidden="false" customHeight="true" outlineLevel="0" collapsed="false">
      <c r="A99" s="428"/>
      <c r="B99" s="429"/>
      <c r="C99" s="425" t="n">
        <v>4</v>
      </c>
      <c r="D99" s="425" t="s">
        <v>1187</v>
      </c>
      <c r="E99" s="426" t="s">
        <v>1188</v>
      </c>
      <c r="F99" s="425" t="n">
        <v>114</v>
      </c>
    </row>
    <row r="100" customFormat="false" ht="12.75" hidden="false" customHeight="true" outlineLevel="0" collapsed="false">
      <c r="A100" s="430"/>
      <c r="B100" s="431"/>
      <c r="C100" s="432" t="n">
        <v>4</v>
      </c>
      <c r="D100" s="432" t="s">
        <v>1189</v>
      </c>
      <c r="E100" s="433" t="s">
        <v>1190</v>
      </c>
      <c r="F100" s="432" t="n">
        <v>120</v>
      </c>
    </row>
    <row r="101" customFormat="false" ht="12.75" hidden="false" customHeight="true" outlineLevel="0" collapsed="false">
      <c r="A101" s="430"/>
      <c r="B101" s="431"/>
      <c r="C101" s="432" t="n">
        <v>4</v>
      </c>
      <c r="D101" s="432" t="s">
        <v>1191</v>
      </c>
      <c r="E101" s="433" t="s">
        <v>1192</v>
      </c>
      <c r="F101" s="432" t="n">
        <v>122</v>
      </c>
    </row>
    <row r="102" customFormat="false" ht="12.75" hidden="false" customHeight="true" outlineLevel="0" collapsed="false">
      <c r="A102" s="430"/>
      <c r="B102" s="431"/>
      <c r="C102" s="432" t="n">
        <v>4</v>
      </c>
      <c r="D102" s="432" t="s">
        <v>1193</v>
      </c>
      <c r="E102" s="433" t="s">
        <v>1194</v>
      </c>
      <c r="F102" s="432" t="n">
        <v>124</v>
      </c>
    </row>
    <row r="103" customFormat="false" ht="12.75" hidden="false" customHeight="true" outlineLevel="0" collapsed="false">
      <c r="A103" s="430"/>
      <c r="B103" s="431"/>
      <c r="C103" s="432" t="n">
        <v>4</v>
      </c>
      <c r="D103" s="432" t="s">
        <v>1195</v>
      </c>
      <c r="E103" s="433" t="s">
        <v>1196</v>
      </c>
      <c r="F103" s="432" t="n">
        <v>125</v>
      </c>
    </row>
    <row r="104" customFormat="false" ht="12.75" hidden="false" customHeight="true" outlineLevel="0" collapsed="false">
      <c r="A104" s="430"/>
      <c r="B104" s="431"/>
      <c r="C104" s="432" t="n">
        <v>4</v>
      </c>
      <c r="D104" s="432" t="s">
        <v>1197</v>
      </c>
      <c r="E104" s="433" t="s">
        <v>1198</v>
      </c>
      <c r="F104" s="432" t="n">
        <v>126</v>
      </c>
    </row>
    <row r="105" customFormat="false" ht="12.75" hidden="false" customHeight="true" outlineLevel="0" collapsed="false">
      <c r="A105" s="436"/>
      <c r="B105" s="437"/>
      <c r="C105" s="438" t="n">
        <v>4</v>
      </c>
      <c r="D105" s="438" t="s">
        <v>1199</v>
      </c>
      <c r="E105" s="440" t="s">
        <v>1200</v>
      </c>
      <c r="F105" s="438" t="n">
        <v>137</v>
      </c>
    </row>
    <row r="106" customFormat="false" ht="12.75" hidden="false" customHeight="true" outlineLevel="0" collapsed="false">
      <c r="A106" s="420"/>
      <c r="B106" s="421"/>
      <c r="C106" s="422" t="n">
        <v>5</v>
      </c>
      <c r="D106" s="422" t="s">
        <v>1201</v>
      </c>
      <c r="E106" s="423" t="s">
        <v>1202</v>
      </c>
      <c r="F106" s="422" t="n">
        <v>87</v>
      </c>
    </row>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6.25"/>
    <col collapsed="false" customWidth="true" hidden="false" outlineLevel="0" max="2" min="2" style="0" width="76.25"/>
    <col collapsed="false" customWidth="true" hidden="false" outlineLevel="0" max="26" min="3" style="0" width="10.63"/>
  </cols>
  <sheetData>
    <row r="1" customFormat="false" ht="12.75" hidden="false" customHeight="true" outlineLevel="0" collapsed="false">
      <c r="A1" s="441" t="s">
        <v>1203</v>
      </c>
      <c r="B1" s="441" t="s">
        <v>1204</v>
      </c>
    </row>
    <row r="2" customFormat="false" ht="12.75" hidden="false" customHeight="true" outlineLevel="0" collapsed="false">
      <c r="A2" s="442" t="s">
        <v>106</v>
      </c>
      <c r="B2" s="443" t="s">
        <v>1205</v>
      </c>
    </row>
    <row r="3" customFormat="false" ht="12.75" hidden="false" customHeight="true" outlineLevel="0" collapsed="false">
      <c r="A3" s="442" t="s">
        <v>108</v>
      </c>
      <c r="B3" s="443" t="s">
        <v>1206</v>
      </c>
    </row>
    <row r="4" customFormat="false" ht="12.75" hidden="false" customHeight="true" outlineLevel="0" collapsed="false">
      <c r="A4" s="442" t="s">
        <v>110</v>
      </c>
      <c r="B4" s="443" t="s">
        <v>1207</v>
      </c>
    </row>
    <row r="5" customFormat="false" ht="12.75" hidden="false" customHeight="true" outlineLevel="0" collapsed="false">
      <c r="A5" s="442" t="s">
        <v>124</v>
      </c>
      <c r="B5" s="443" t="s">
        <v>1208</v>
      </c>
    </row>
    <row r="6" customFormat="false" ht="12.75" hidden="false" customHeight="true" outlineLevel="0" collapsed="false">
      <c r="A6" s="442" t="s">
        <v>126</v>
      </c>
      <c r="B6" s="443" t="s">
        <v>1209</v>
      </c>
    </row>
    <row r="7" customFormat="false" ht="12.75" hidden="false" customHeight="true" outlineLevel="0" collapsed="false">
      <c r="A7" s="442" t="s">
        <v>128</v>
      </c>
      <c r="B7" s="443" t="s">
        <v>1210</v>
      </c>
    </row>
    <row r="8" customFormat="false" ht="12.75" hidden="false" customHeight="true" outlineLevel="0" collapsed="false">
      <c r="A8" s="442" t="s">
        <v>112</v>
      </c>
      <c r="B8" s="443" t="s">
        <v>1211</v>
      </c>
    </row>
    <row r="9" customFormat="false" ht="12.75" hidden="false" customHeight="true" outlineLevel="0" collapsed="false">
      <c r="A9" s="442" t="s">
        <v>114</v>
      </c>
      <c r="B9" s="443" t="s">
        <v>1212</v>
      </c>
    </row>
    <row r="10" customFormat="false" ht="12.75" hidden="false" customHeight="true" outlineLevel="0" collapsed="false">
      <c r="A10" s="442" t="s">
        <v>116</v>
      </c>
      <c r="B10" s="443" t="s">
        <v>1213</v>
      </c>
    </row>
    <row r="11" customFormat="false" ht="12.75" hidden="false" customHeight="true" outlineLevel="0" collapsed="false">
      <c r="A11" s="442" t="s">
        <v>118</v>
      </c>
      <c r="B11" s="443" t="s">
        <v>1214</v>
      </c>
    </row>
    <row r="12" customFormat="false" ht="12.75" hidden="false" customHeight="true" outlineLevel="0" collapsed="false">
      <c r="A12" s="442" t="s">
        <v>120</v>
      </c>
      <c r="B12" s="443" t="s">
        <v>1215</v>
      </c>
    </row>
    <row r="13" customFormat="false" ht="12.75" hidden="false" customHeight="true" outlineLevel="0" collapsed="false">
      <c r="A13" s="442" t="s">
        <v>122</v>
      </c>
      <c r="B13" s="443" t="s">
        <v>1216</v>
      </c>
    </row>
    <row r="14" customFormat="false" ht="12.75" hidden="false" customHeight="true" outlineLevel="0" collapsed="false">
      <c r="A14" s="442" t="s">
        <v>90</v>
      </c>
      <c r="B14" s="443" t="s">
        <v>1217</v>
      </c>
    </row>
    <row r="15" customFormat="false" ht="12.75" hidden="false" customHeight="true" outlineLevel="0" collapsed="false">
      <c r="A15" s="442" t="s">
        <v>92</v>
      </c>
      <c r="B15" s="443" t="s">
        <v>1218</v>
      </c>
    </row>
    <row r="16" customFormat="false" ht="12.75" hidden="false" customHeight="true" outlineLevel="0" collapsed="false">
      <c r="A16" s="442" t="s">
        <v>80</v>
      </c>
      <c r="B16" s="443" t="s">
        <v>1219</v>
      </c>
    </row>
    <row r="17" customFormat="false" ht="12.75" hidden="false" customHeight="true" outlineLevel="0" collapsed="false">
      <c r="A17" s="442" t="s">
        <v>82</v>
      </c>
      <c r="B17" s="443" t="s">
        <v>1220</v>
      </c>
    </row>
    <row r="18" customFormat="false" ht="12.75" hidden="false" customHeight="true" outlineLevel="0" collapsed="false">
      <c r="A18" s="442" t="s">
        <v>84</v>
      </c>
      <c r="B18" s="443" t="s">
        <v>1221</v>
      </c>
    </row>
    <row r="19" customFormat="false" ht="12.75" hidden="false" customHeight="true" outlineLevel="0" collapsed="false">
      <c r="A19" s="442" t="s">
        <v>86</v>
      </c>
      <c r="B19" s="443" t="s">
        <v>1222</v>
      </c>
    </row>
    <row r="20" customFormat="false" ht="12.75" hidden="false" customHeight="true" outlineLevel="0" collapsed="false">
      <c r="A20" s="442" t="s">
        <v>88</v>
      </c>
      <c r="B20" s="443" t="s">
        <v>1223</v>
      </c>
    </row>
    <row r="21" customFormat="false" ht="12.75" hidden="false" customHeight="true" outlineLevel="0" collapsed="false">
      <c r="A21" s="442" t="s">
        <v>52</v>
      </c>
      <c r="B21" s="443" t="s">
        <v>1224</v>
      </c>
    </row>
    <row r="22" customFormat="false" ht="12.75" hidden="false" customHeight="true" outlineLevel="0" collapsed="false">
      <c r="A22" s="442" t="s">
        <v>54</v>
      </c>
      <c r="B22" s="443" t="s">
        <v>1225</v>
      </c>
    </row>
    <row r="23" customFormat="false" ht="12.75" hidden="false" customHeight="true" outlineLevel="0" collapsed="false">
      <c r="A23" s="442" t="s">
        <v>56</v>
      </c>
      <c r="B23" s="443" t="s">
        <v>1226</v>
      </c>
    </row>
    <row r="24" customFormat="false" ht="12.75" hidden="false" customHeight="true" outlineLevel="0" collapsed="false">
      <c r="A24" s="442" t="s">
        <v>58</v>
      </c>
      <c r="B24" s="443" t="s">
        <v>1227</v>
      </c>
    </row>
    <row r="25" customFormat="false" ht="12.75" hidden="false" customHeight="true" outlineLevel="0" collapsed="false">
      <c r="A25" s="442" t="s">
        <v>164</v>
      </c>
      <c r="B25" s="443" t="s">
        <v>1228</v>
      </c>
    </row>
    <row r="26" customFormat="false" ht="12.75" hidden="false" customHeight="true" outlineLevel="0" collapsed="false">
      <c r="A26" s="442" t="s">
        <v>166</v>
      </c>
      <c r="B26" s="443" t="s">
        <v>1229</v>
      </c>
    </row>
    <row r="27" customFormat="false" ht="21.75" hidden="false" customHeight="true" outlineLevel="0" collapsed="false">
      <c r="A27" s="442" t="s">
        <v>168</v>
      </c>
      <c r="B27" s="443" t="s">
        <v>1230</v>
      </c>
    </row>
    <row r="28" customFormat="false" ht="12.75" hidden="false" customHeight="true" outlineLevel="0" collapsed="false">
      <c r="A28" s="442" t="s">
        <v>170</v>
      </c>
      <c r="B28" s="443" t="s">
        <v>1231</v>
      </c>
    </row>
    <row r="29" customFormat="false" ht="12.75" hidden="false" customHeight="true" outlineLevel="0" collapsed="false">
      <c r="A29" s="442" t="s">
        <v>172</v>
      </c>
      <c r="B29" s="443" t="s">
        <v>1232</v>
      </c>
    </row>
    <row r="30" customFormat="false" ht="12.75" hidden="false" customHeight="true" outlineLevel="0" collapsed="false">
      <c r="A30" s="442" t="s">
        <v>174</v>
      </c>
      <c r="B30" s="443" t="s">
        <v>1233</v>
      </c>
    </row>
    <row r="31" customFormat="false" ht="12.75" hidden="false" customHeight="true" outlineLevel="0" collapsed="false">
      <c r="A31" s="442" t="s">
        <v>176</v>
      </c>
      <c r="B31" s="443" t="s">
        <v>1234</v>
      </c>
    </row>
    <row r="32" customFormat="false" ht="12.75" hidden="false" customHeight="true" outlineLevel="0" collapsed="false">
      <c r="A32" s="442" t="s">
        <v>178</v>
      </c>
      <c r="B32" s="443" t="s">
        <v>1235</v>
      </c>
    </row>
    <row r="33" customFormat="false" ht="12.75" hidden="false" customHeight="true" outlineLevel="0" collapsed="false">
      <c r="A33" s="442" t="s">
        <v>180</v>
      </c>
      <c r="B33" s="443" t="s">
        <v>1236</v>
      </c>
    </row>
    <row r="34" customFormat="false" ht="12.75" hidden="false" customHeight="true" outlineLevel="0" collapsed="false">
      <c r="A34" s="442" t="s">
        <v>182</v>
      </c>
      <c r="B34" s="443" t="s">
        <v>1237</v>
      </c>
    </row>
    <row r="35" customFormat="false" ht="12.75" hidden="false" customHeight="true" outlineLevel="0" collapsed="false">
      <c r="A35" s="442" t="s">
        <v>184</v>
      </c>
      <c r="B35" s="443" t="s">
        <v>1238</v>
      </c>
    </row>
    <row r="36" customFormat="false" ht="12.75" hidden="false" customHeight="true" outlineLevel="0" collapsed="false">
      <c r="A36" s="442" t="s">
        <v>134</v>
      </c>
      <c r="B36" s="443" t="s">
        <v>1239</v>
      </c>
    </row>
    <row r="37" customFormat="false" ht="12.75" hidden="false" customHeight="true" outlineLevel="0" collapsed="false">
      <c r="A37" s="442" t="s">
        <v>136</v>
      </c>
      <c r="B37" s="443" t="s">
        <v>1240</v>
      </c>
    </row>
    <row r="38" customFormat="false" ht="12.75" hidden="false" customHeight="true" outlineLevel="0" collapsed="false">
      <c r="A38" s="442" t="s">
        <v>138</v>
      </c>
      <c r="B38" s="443" t="s">
        <v>1241</v>
      </c>
    </row>
    <row r="39" customFormat="false" ht="12.75" hidden="false" customHeight="true" outlineLevel="0" collapsed="false">
      <c r="A39" s="442" t="s">
        <v>140</v>
      </c>
      <c r="B39" s="443" t="s">
        <v>1242</v>
      </c>
    </row>
    <row r="40" customFormat="false" ht="12.75" hidden="false" customHeight="true" outlineLevel="0" collapsed="false">
      <c r="A40" s="442" t="s">
        <v>142</v>
      </c>
      <c r="B40" s="443" t="s">
        <v>1243</v>
      </c>
    </row>
    <row r="41" customFormat="false" ht="12.75" hidden="false" customHeight="true" outlineLevel="0" collapsed="false">
      <c r="A41" s="442" t="s">
        <v>144</v>
      </c>
      <c r="B41" s="443" t="s">
        <v>1244</v>
      </c>
    </row>
    <row r="42" customFormat="false" ht="12.75" hidden="false" customHeight="true" outlineLevel="0" collapsed="false">
      <c r="A42" s="442" t="s">
        <v>146</v>
      </c>
      <c r="B42" s="443" t="s">
        <v>1245</v>
      </c>
    </row>
    <row r="43" customFormat="false" ht="12.75" hidden="false" customHeight="true" outlineLevel="0" collapsed="false">
      <c r="A43" s="442" t="s">
        <v>148</v>
      </c>
      <c r="B43" s="443" t="s">
        <v>1246</v>
      </c>
    </row>
    <row r="44" customFormat="false" ht="12.75" hidden="false" customHeight="true" outlineLevel="0" collapsed="false">
      <c r="A44" s="442" t="s">
        <v>150</v>
      </c>
      <c r="B44" s="443" t="s">
        <v>1247</v>
      </c>
    </row>
    <row r="45" customFormat="false" ht="12.75" hidden="false" customHeight="true" outlineLevel="0" collapsed="false">
      <c r="A45" s="442" t="s">
        <v>152</v>
      </c>
      <c r="B45" s="443" t="s">
        <v>1248</v>
      </c>
    </row>
    <row r="46" customFormat="false" ht="12.75" hidden="false" customHeight="true" outlineLevel="0" collapsed="false">
      <c r="A46" s="442" t="s">
        <v>154</v>
      </c>
      <c r="B46" s="443" t="s">
        <v>1249</v>
      </c>
    </row>
    <row r="47" customFormat="false" ht="12.75" hidden="false" customHeight="true" outlineLevel="0" collapsed="false">
      <c r="A47" s="442" t="s">
        <v>156</v>
      </c>
      <c r="B47" s="443" t="s">
        <v>1250</v>
      </c>
    </row>
    <row r="48" customFormat="false" ht="12.75" hidden="false" customHeight="true" outlineLevel="0" collapsed="false">
      <c r="A48" s="442" t="s">
        <v>158</v>
      </c>
      <c r="B48" s="443" t="s">
        <v>1251</v>
      </c>
    </row>
    <row r="49" customFormat="false" ht="12.75" hidden="false" customHeight="true" outlineLevel="0" collapsed="false">
      <c r="A49" s="442" t="s">
        <v>160</v>
      </c>
      <c r="B49" s="443" t="s">
        <v>1252</v>
      </c>
    </row>
    <row r="50" customFormat="false" ht="12.75" hidden="false" customHeight="true" outlineLevel="0" collapsed="false">
      <c r="A50" s="442" t="s">
        <v>162</v>
      </c>
      <c r="B50" s="443" t="s">
        <v>1253</v>
      </c>
    </row>
    <row r="51" customFormat="false" ht="12.75" hidden="false" customHeight="true" outlineLevel="0" collapsed="false">
      <c r="A51" s="442" t="s">
        <v>50</v>
      </c>
      <c r="B51" s="443" t="s">
        <v>1254</v>
      </c>
    </row>
    <row r="52" customFormat="false" ht="12.75" hidden="false" customHeight="true" outlineLevel="0" collapsed="false">
      <c r="A52" s="442" t="s">
        <v>130</v>
      </c>
      <c r="B52" s="443" t="s">
        <v>1255</v>
      </c>
    </row>
    <row r="53" customFormat="false" ht="12.75" hidden="false" customHeight="true" outlineLevel="0" collapsed="false">
      <c r="A53" s="442" t="s">
        <v>132</v>
      </c>
      <c r="B53" s="443" t="s">
        <v>1256</v>
      </c>
    </row>
    <row r="54" customFormat="false" ht="12.75" hidden="false" customHeight="true" outlineLevel="0" collapsed="false">
      <c r="A54" s="442" t="s">
        <v>94</v>
      </c>
      <c r="B54" s="443" t="s">
        <v>1257</v>
      </c>
    </row>
    <row r="55" customFormat="false" ht="12.75" hidden="false" customHeight="true" outlineLevel="0" collapsed="false">
      <c r="A55" s="442" t="s">
        <v>96</v>
      </c>
      <c r="B55" s="443" t="s">
        <v>1258</v>
      </c>
    </row>
    <row r="56" customFormat="false" ht="12.75" hidden="false" customHeight="true" outlineLevel="0" collapsed="false">
      <c r="A56" s="442" t="s">
        <v>98</v>
      </c>
      <c r="B56" s="443" t="s">
        <v>1259</v>
      </c>
    </row>
    <row r="57" customFormat="false" ht="12.75" hidden="false" customHeight="true" outlineLevel="0" collapsed="false">
      <c r="A57" s="442" t="s">
        <v>100</v>
      </c>
      <c r="B57" s="443" t="s">
        <v>1260</v>
      </c>
    </row>
    <row r="58" customFormat="false" ht="12.75" hidden="false" customHeight="true" outlineLevel="0" collapsed="false">
      <c r="A58" s="442" t="s">
        <v>102</v>
      </c>
      <c r="B58" s="443" t="s">
        <v>1261</v>
      </c>
    </row>
    <row r="59" customFormat="false" ht="12.75" hidden="false" customHeight="true" outlineLevel="0" collapsed="false">
      <c r="A59" s="442" t="s">
        <v>104</v>
      </c>
      <c r="B59" s="443" t="s">
        <v>1262</v>
      </c>
    </row>
    <row r="60" customFormat="false" ht="12.75" hidden="false" customHeight="true" outlineLevel="0" collapsed="false">
      <c r="A60" s="442" t="s">
        <v>68</v>
      </c>
      <c r="B60" s="443" t="s">
        <v>1263</v>
      </c>
    </row>
    <row r="61" customFormat="false" ht="12.75" hidden="false" customHeight="true" outlineLevel="0" collapsed="false">
      <c r="A61" s="442" t="s">
        <v>70</v>
      </c>
      <c r="B61" s="443" t="s">
        <v>1264</v>
      </c>
    </row>
    <row r="62" customFormat="false" ht="12.75" hidden="false" customHeight="true" outlineLevel="0" collapsed="false">
      <c r="A62" s="442" t="s">
        <v>72</v>
      </c>
      <c r="B62" s="443" t="s">
        <v>1265</v>
      </c>
    </row>
    <row r="63" customFormat="false" ht="12.75" hidden="false" customHeight="true" outlineLevel="0" collapsed="false">
      <c r="A63" s="442" t="s">
        <v>74</v>
      </c>
      <c r="B63" s="443" t="s">
        <v>1266</v>
      </c>
    </row>
    <row r="64" customFormat="false" ht="12.75" hidden="false" customHeight="true" outlineLevel="0" collapsed="false">
      <c r="A64" s="442" t="s">
        <v>76</v>
      </c>
      <c r="B64" s="443" t="s">
        <v>1267</v>
      </c>
    </row>
    <row r="65" customFormat="false" ht="12.75" hidden="false" customHeight="true" outlineLevel="0" collapsed="false">
      <c r="A65" s="442" t="s">
        <v>78</v>
      </c>
      <c r="B65" s="443" t="s">
        <v>1268</v>
      </c>
    </row>
    <row r="66" customFormat="false" ht="12.75" hidden="false" customHeight="true" outlineLevel="0" collapsed="false">
      <c r="A66" s="442" t="s">
        <v>60</v>
      </c>
      <c r="B66" s="443" t="s">
        <v>1269</v>
      </c>
    </row>
    <row r="67" customFormat="false" ht="12.75" hidden="false" customHeight="true" outlineLevel="0" collapsed="false">
      <c r="A67" s="442" t="s">
        <v>62</v>
      </c>
      <c r="B67" s="443" t="s">
        <v>1270</v>
      </c>
    </row>
    <row r="68" customFormat="false" ht="12.75" hidden="false" customHeight="true" outlineLevel="0" collapsed="false">
      <c r="A68" s="442" t="s">
        <v>64</v>
      </c>
      <c r="B68" s="443" t="s">
        <v>1271</v>
      </c>
    </row>
    <row r="69" customFormat="false" ht="12.75" hidden="false" customHeight="true" outlineLevel="0" collapsed="false">
      <c r="A69" s="442" t="s">
        <v>66</v>
      </c>
      <c r="B69" s="443" t="s">
        <v>1272</v>
      </c>
    </row>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2005-07-13T17:26:22Z</dcterms:created>
  <dc:creator>HKoncke</dc:creator>
  <dc:description/>
  <dc:language>es-ES</dc:language>
  <cp:lastModifiedBy/>
  <dcterms:modified xsi:type="dcterms:W3CDTF">2023-10-09T10:29:03Z</dcterms:modified>
  <cp:revision>1</cp:revision>
  <dc:subject/>
  <dc:title/>
</cp:coreProperties>
</file>